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D:\Current Projects\Lake Forest - The Meadows (Toll)\TCAC-CDLAC Joint Application\September 2021\"/>
    </mc:Choice>
  </mc:AlternateContent>
  <xr:revisionPtr revIDLastSave="0" documentId="13_ncr:1_{DFF9D4C5-B1FC-4041-85FC-7D1012C26961}" xr6:coauthVersionLast="47" xr6:coauthVersionMax="47" xr10:uidLastSave="{00000000-0000-0000-0000-000000000000}"/>
  <bookViews>
    <workbookView xWindow="-110" yWindow="-110" windowWidth="19420" windowHeight="10420" tabRatio="905" firstSheet="4"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 name="NOTES" sheetId="24"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7" l="1"/>
  <c r="C83" i="4" l="1"/>
  <c r="E83" i="4" s="1"/>
  <c r="S45" i="4"/>
  <c r="C93" i="4"/>
  <c r="E93" i="4" s="1"/>
  <c r="E29" i="4"/>
  <c r="E30" i="4"/>
  <c r="E85" i="4"/>
  <c r="E99" i="4"/>
  <c r="S69" i="4"/>
  <c r="E69" i="4"/>
  <c r="C69" i="4"/>
  <c r="E49" i="4"/>
  <c r="S65" i="4"/>
  <c r="E65" i="4"/>
  <c r="C65" i="4"/>
  <c r="E56" i="4"/>
  <c r="E46" i="4"/>
  <c r="E61" i="4"/>
  <c r="C61" i="4"/>
  <c r="E75" i="4"/>
  <c r="E58" i="4"/>
  <c r="E91" i="4"/>
  <c r="S80" i="4"/>
  <c r="E80" i="4"/>
  <c r="S53" i="4"/>
  <c r="E53" i="4"/>
  <c r="S51" i="4"/>
  <c r="E51" i="4"/>
  <c r="S52" i="4"/>
  <c r="E52" i="4"/>
  <c r="S89" i="4"/>
  <c r="E89" i="4"/>
  <c r="E88" i="4"/>
  <c r="S50" i="4"/>
  <c r="E50" i="4"/>
  <c r="E45" i="4"/>
  <c r="S43" i="4"/>
  <c r="S41" i="4"/>
  <c r="S40" i="4"/>
  <c r="E43" i="4"/>
  <c r="E41" i="4"/>
  <c r="E40" i="4"/>
  <c r="S92" i="4"/>
  <c r="E92" i="4"/>
  <c r="E90" i="4"/>
  <c r="E84" i="4"/>
  <c r="E86" i="4"/>
  <c r="E79" i="4"/>
  <c r="E33" i="4"/>
  <c r="E32" i="4"/>
  <c r="E31" i="4"/>
  <c r="E6"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G28" i="7"/>
  <c r="AC28" i="7"/>
  <c r="U28" i="7"/>
  <c r="M28" i="7"/>
  <c r="AA28" i="7"/>
  <c r="S28" i="7"/>
  <c r="K28" i="7"/>
  <c r="O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9" i="13"/>
  <c r="E87" i="13"/>
  <c r="E86" i="13"/>
  <c r="E84" i="13"/>
  <c r="E79" i="13"/>
  <c r="E65" i="13"/>
  <c r="E53" i="13"/>
  <c r="E52" i="13"/>
  <c r="E51" i="13"/>
  <c r="E50" i="13"/>
  <c r="E49" i="13"/>
  <c r="E48" i="13"/>
  <c r="E47" i="13"/>
  <c r="E46" i="13"/>
  <c r="E43" i="13"/>
  <c r="E41" i="13"/>
  <c r="E40" i="13"/>
  <c r="E37" i="13"/>
  <c r="E35" i="13"/>
  <c r="E34" i="13"/>
  <c r="E33"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E93" i="13" s="1"/>
  <c r="R92" i="4"/>
  <c r="R90" i="4"/>
  <c r="R89" i="4"/>
  <c r="R88" i="4"/>
  <c r="R87" i="4"/>
  <c r="R86" i="4"/>
  <c r="S86" i="4" s="1"/>
  <c r="R85" i="4"/>
  <c r="S85" i="4" s="1"/>
  <c r="E85" i="13" s="1"/>
  <c r="R83" i="4"/>
  <c r="R76" i="4"/>
  <c r="R75" i="4"/>
  <c r="R72" i="4"/>
  <c r="R73" i="4"/>
  <c r="R74" i="4"/>
  <c r="R69" i="4"/>
  <c r="R65" i="4"/>
  <c r="R61" i="4"/>
  <c r="R60" i="4"/>
  <c r="R59" i="4"/>
  <c r="R58" i="4"/>
  <c r="R57" i="4"/>
  <c r="R56" i="4"/>
  <c r="R53" i="4"/>
  <c r="R52" i="4"/>
  <c r="R51" i="4"/>
  <c r="R50" i="4"/>
  <c r="R49" i="4"/>
  <c r="R48" i="4"/>
  <c r="R47" i="4"/>
  <c r="R46" i="4"/>
  <c r="S46" i="4" s="1"/>
  <c r="R45" i="4"/>
  <c r="E45" i="13" s="1"/>
  <c r="R43" i="4"/>
  <c r="R41" i="4"/>
  <c r="R40" i="4"/>
  <c r="R37" i="4"/>
  <c r="R35" i="4"/>
  <c r="R34" i="4"/>
  <c r="R33" i="4"/>
  <c r="S33" i="4" s="1"/>
  <c r="R32" i="4"/>
  <c r="S32" i="4" s="1"/>
  <c r="E32" i="13" s="1"/>
  <c r="R31" i="4"/>
  <c r="S31" i="4" s="1"/>
  <c r="E31" i="13" s="1"/>
  <c r="R30" i="4"/>
  <c r="S30" i="4" s="1"/>
  <c r="E30" i="13" s="1"/>
  <c r="R29" i="4"/>
  <c r="S29" i="4" s="1"/>
  <c r="E29" i="13" s="1"/>
  <c r="R27" i="4"/>
  <c r="R25" i="4"/>
  <c r="R23" i="4"/>
  <c r="R22" i="4"/>
  <c r="R21" i="4"/>
  <c r="R20" i="4"/>
  <c r="R19" i="4"/>
  <c r="R18" i="4"/>
  <c r="S26" i="4" s="1"/>
  <c r="E26" i="13" s="1"/>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104" i="4" l="1"/>
  <c r="E104" i="13" s="1"/>
  <c r="D30" i="11"/>
  <c r="S38" i="4"/>
  <c r="E38" i="13" s="1"/>
  <c r="B77" i="4"/>
  <c r="D51" i="11"/>
  <c r="B26" i="4"/>
  <c r="E18" i="13"/>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E61" i="7" l="1"/>
  <c r="E65" i="7"/>
  <c r="E66" i="7"/>
  <c r="C98" i="1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U14" i="7"/>
  <c r="S21" i="7"/>
  <c r="S34" i="7" s="1"/>
  <c r="Q9" i="7"/>
  <c r="S8" i="7"/>
  <c r="O6" i="7"/>
  <c r="M7" i="7"/>
  <c r="M10" i="7" s="1"/>
  <c r="M36" i="7" s="1"/>
  <c r="I46" i="7" l="1"/>
  <c r="G69" i="7"/>
  <c r="G71" i="7" s="1"/>
  <c r="AZ854" i="3"/>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46" i="7"/>
  <c r="O47" i="7"/>
  <c r="O61" i="7" l="1"/>
  <c r="O66" i="7"/>
  <c r="O65" i="7"/>
  <c r="M69" i="7"/>
  <c r="M71" i="7" s="1"/>
  <c r="Q44" i="7"/>
  <c r="Q46" i="7" s="1"/>
  <c r="S44" i="7"/>
  <c r="S48" i="7"/>
  <c r="W6" i="7"/>
  <c r="U7" i="7"/>
  <c r="U10" i="7" s="1"/>
  <c r="U36" i="7" s="1"/>
  <c r="Y4" i="7"/>
  <c r="W5" i="7"/>
  <c r="AA21" i="7"/>
  <c r="AA34" i="7" s="1"/>
  <c r="AC14" i="7"/>
  <c r="Y9" i="7"/>
  <c r="AA8" i="7"/>
  <c r="O69" i="7" l="1"/>
  <c r="O71" i="7" s="1"/>
  <c r="Q47" i="7"/>
  <c r="U44" i="7"/>
  <c r="U48" i="7"/>
  <c r="AE14" i="7"/>
  <c r="AC21" i="7"/>
  <c r="AC34" i="7" s="1"/>
  <c r="W7" i="7"/>
  <c r="W10" i="7" s="1"/>
  <c r="W36" i="7" s="1"/>
  <c r="Y6" i="7"/>
  <c r="AA4" i="7"/>
  <c r="Y5" i="7"/>
  <c r="AA9" i="7"/>
  <c r="AC8" i="7"/>
  <c r="S47" i="7"/>
  <c r="S46" i="7"/>
  <c r="S61" i="7" l="1"/>
  <c r="S66" i="7"/>
  <c r="S65" i="7"/>
  <c r="Q61" i="7"/>
  <c r="Q66" i="7"/>
  <c r="Q65" i="7"/>
  <c r="AA6" i="7"/>
  <c r="Y7" i="7"/>
  <c r="Y10" i="7" s="1"/>
  <c r="Y36" i="7" s="1"/>
  <c r="AE8" i="7"/>
  <c r="AC9" i="7"/>
  <c r="AC4" i="7"/>
  <c r="AA5" i="7"/>
  <c r="W48" i="7"/>
  <c r="W44" i="7"/>
  <c r="AG14" i="7"/>
  <c r="AG21" i="7" s="1"/>
  <c r="AG34" i="7" s="1"/>
  <c r="AE21" i="7"/>
  <c r="AE34" i="7" s="1"/>
  <c r="U47" i="7"/>
  <c r="U46" i="7"/>
  <c r="S69" i="7" l="1"/>
  <c r="S71" i="7" s="1"/>
  <c r="Q69" i="7"/>
  <c r="Q71" i="7" s="1"/>
  <c r="U61" i="7"/>
  <c r="U66" i="7"/>
  <c r="U65" i="7"/>
  <c r="W46" i="7"/>
  <c r="W47" i="7"/>
  <c r="Y44" i="7"/>
  <c r="Y48" i="7"/>
  <c r="AE4" i="7"/>
  <c r="AC5" i="7"/>
  <c r="AE9" i="7"/>
  <c r="AG8" i="7"/>
  <c r="AG9" i="7" s="1"/>
  <c r="AA7" i="7"/>
  <c r="AA10" i="7" s="1"/>
  <c r="AA36" i="7" s="1"/>
  <c r="AC6" i="7"/>
  <c r="U69" i="7" l="1"/>
  <c r="U71" i="7" s="1"/>
  <c r="W61" i="7"/>
  <c r="W65" i="7"/>
  <c r="W66" i="7"/>
  <c r="AA48" i="7"/>
  <c r="AA44" i="7"/>
  <c r="AE5" i="7"/>
  <c r="AG4" i="7"/>
  <c r="Y47" i="7"/>
  <c r="Y46" i="7"/>
  <c r="AC7" i="7"/>
  <c r="AC10" i="7" s="1"/>
  <c r="AC36" i="7" s="1"/>
  <c r="AE6" i="7"/>
  <c r="Y66" i="7" l="1"/>
  <c r="Y65" i="7"/>
  <c r="Y61" i="7"/>
  <c r="W69" i="7"/>
  <c r="W71" i="7" s="1"/>
  <c r="AE7" i="7"/>
  <c r="AE10" i="7" s="1"/>
  <c r="AE36" i="7" s="1"/>
  <c r="AG6" i="7"/>
  <c r="AG7" i="7" s="1"/>
  <c r="AC44" i="7"/>
  <c r="AC48" i="7"/>
  <c r="AG5" i="7"/>
  <c r="AA46" i="7"/>
  <c r="AA47" i="7"/>
  <c r="Y69" i="7" l="1"/>
  <c r="Y71" i="7" s="1"/>
  <c r="AA66" i="7"/>
  <c r="AA65" i="7"/>
  <c r="AA61" i="7"/>
  <c r="AG10" i="7"/>
  <c r="AG36" i="7" s="1"/>
  <c r="AG48" i="7" s="1"/>
  <c r="AE48" i="7"/>
  <c r="AE44" i="7"/>
  <c r="AC46" i="7"/>
  <c r="AC47" i="7"/>
  <c r="AA69" i="7" l="1"/>
  <c r="AA71" i="7" s="1"/>
  <c r="AC66" i="7"/>
  <c r="AC65" i="7"/>
  <c r="AC61" i="7"/>
  <c r="AG44" i="7"/>
  <c r="AG46" i="7" s="1"/>
  <c r="AE46" i="7"/>
  <c r="AE47" i="7"/>
  <c r="AC69" i="7" l="1"/>
  <c r="AC71" i="7" s="1"/>
  <c r="AE66" i="7"/>
  <c r="AE61" i="7"/>
  <c r="AE65"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<sst xmlns="http://schemas.openxmlformats.org/spreadsheetml/2006/main" count="5104" uniqueCount="2681">
  <si>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</si>
  <si>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</si>
  <si>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</si>
  <si>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</si>
  <si>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</si>
  <si>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</si>
  <si>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</si>
  <si>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</si>
  <si>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</si>
  <si>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</si>
  <si>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</si>
  <si>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</si>
  <si>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</si>
  <si>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</si>
  <si>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</si>
  <si>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</si>
  <si>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</si>
  <si>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</si>
  <si>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</si>
  <si>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</si>
  <si>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</si>
  <si>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</si>
  <si>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</si>
  <si>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</si>
  <si>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</si>
  <si>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</si>
  <si>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</si>
  <si>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</si>
  <si>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</si>
  <si>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</si>
  <si>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</si>
  <si>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</si>
  <si>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</si>
  <si>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</si>
  <si>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</si>
  <si>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</si>
  <si>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</si>
  <si>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</si>
  <si>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</si>
  <si>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</si>
  <si>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</si>
  <si>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</si>
  <si>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</si>
  <si>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</si>
  <si>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</si>
  <si>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</si>
  <si>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</si>
  <si>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</si>
  <si>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</si>
  <si>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</si>
  <si>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</si>
  <si>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</si>
  <si>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</si>
  <si>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</si>
  <si>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</si>
  <si>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</si>
  <si>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</si>
  <si>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</si>
  <si>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</si>
  <si>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</si>
  <si>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</si>
  <si>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</si>
  <si>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</si>
  <si>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</si>
  <si>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</si>
  <si>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</si>
  <si>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</si>
  <si>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</si>
  <si>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</si>
  <si>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</si>
  <si>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</si>
  <si>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</si>
  <si>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</si>
  <si>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</si>
  <si>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</si>
  <si>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</si>
  <si>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</si>
  <si>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</si>
  <si>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</si>
  <si>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</si>
  <si>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</si>
  <si>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</si>
  <si>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</si>
  <si>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</si>
  <si>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</si>
  <si>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</si>
  <si>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</si>
  <si>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</si>
  <si>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</si>
  <si>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</si>
  <si>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</si>
  <si>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</si>
  <si>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</si>
  <si>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</si>
  <si>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</si>
  <si>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</si>
  <si>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</si>
  <si>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</si>
  <si>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</si>
  <si>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</si>
  <si>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</si>
  <si>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</si>
  <si>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</si>
  <si>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</si>
  <si>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</si>
  <si>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</si>
  <si>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</si>
  <si>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</si>
  <si>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</si>
  <si>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</si>
  <si>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</si>
  <si>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</si>
  <si>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</si>
  <si>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</si>
  <si>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</si>
  <si>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</si>
  <si>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</si>
  <si>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</si>
  <si>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</si>
  <si>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</si>
  <si>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</si>
  <si>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</si>
  <si>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</si>
  <si>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</si>
  <si>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</si>
  <si>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</si>
  <si>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</si>
  <si>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</si>
  <si>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</si>
  <si>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</si>
  <si>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</si>
  <si>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</si>
  <si>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</si>
  <si>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</si>
  <si>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</si>
  <si>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</si>
  <si>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</si>
  <si>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</si>
  <si>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</si>
  <si>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</si>
  <si>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</si>
  <si>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</si>
  <si>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</si>
  <si>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</si>
  <si>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</si>
  <si>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</si>
  <si>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</si>
  <si>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</si>
  <si>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</si>
  <si>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</si>
  <si>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</si>
  <si>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</si>
  <si>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</si>
  <si>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</si>
  <si>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</si>
  <si>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</si>
  <si>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</si>
  <si>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</si>
  <si>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</si>
  <si>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</si>
  <si>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</si>
  <si>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</si>
  <si>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</si>
  <si>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</si>
  <si>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</si>
  <si>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</si>
  <si>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</si>
  <si>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</si>
  <si>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</si>
  <si>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</si>
  <si>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</si>
  <si>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</si>
  <si>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</si>
  <si>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</si>
  <si>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</si>
  <si>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</si>
  <si>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</si>
  <si>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</si>
  <si>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</si>
  <si>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</si>
  <si>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</si>
  <si>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</si>
  <si>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</si>
  <si>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</si>
  <si>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</si>
  <si>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</si>
  <si>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</si>
  <si>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</si>
  <si>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</si>
  <si>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</si>
  <si>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</si>
  <si>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</si>
  <si>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</si>
  <si>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</si>
  <si>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</si>
  <si>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</si>
  <si>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</si>
  <si>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</si>
  <si>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</si>
  <si>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</si>
  <si>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</si>
  <si>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</si>
  <si>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</si>
  <si>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</si>
  <si>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</si>
  <si>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</si>
  <si>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</si>
  <si>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</si>
  <si>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</si>
  <si>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</si>
  <si>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</si>
  <si>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</si>
  <si>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</si>
  <si>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</si>
  <si>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</si>
  <si>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</si>
  <si>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</si>
  <si>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</si>
  <si>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</si>
  <si>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</si>
  <si>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</si>
  <si>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</si>
  <si>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</si>
  <si>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</si>
  <si>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</si>
  <si>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</si>
  <si>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</si>
  <si>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</si>
  <si>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</si>
  <si>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</si>
  <si>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</si>
  <si>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</si>
  <si>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</si>
  <si>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</si>
  <si>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</si>
  <si>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</si>
  <si>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</si>
  <si>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</si>
  <si>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</si>
  <si>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</si>
  <si>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</si>
  <si>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</si>
  <si>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</si>
  <si>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</si>
  <si>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</si>
  <si>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</si>
  <si>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</si>
  <si>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</si>
  <si>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</si>
  <si>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</si>
  <si>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</si>
  <si>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</si>
  <si>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</si>
  <si>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</si>
  <si>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</si>
  <si>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</si>
  <si>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</si>
  <si>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</si>
  <si>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</si>
  <si>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</si>
  <si>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</si>
  <si>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</si>
  <si>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</si>
  <si>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</si>
  <si>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</si>
  <si>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</si>
  <si>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</si>
  <si>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</si>
  <si>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</si>
  <si>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</si>
  <si>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</si>
  <si>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</si>
  <si>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</si>
  <si>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</si>
  <si>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</si>
  <si>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</si>
  <si>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</si>
  <si>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</si>
  <si>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</si>
  <si>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</si>
  <si>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</si>
  <si>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</si>
  <si>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</si>
  <si>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</si>
  <si>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</si>
  <si>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</si>
  <si>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</si>
  <si>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</si>
  <si>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</si>
  <si>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</si>
  <si>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</si>
  <si>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</si>
  <si>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</si>
  <si>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</si>
  <si>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</si>
  <si>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</si>
  <si>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</si>
  <si>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</si>
  <si>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</si>
  <si>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</si>
  <si>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</si>
  <si>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</si>
  <si>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</si>
  <si>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</si>
  <si>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</si>
  <si>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</si>
  <si>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</si>
  <si>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</si>
  <si>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</si>
  <si>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</si>
  <si>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</si>
  <si>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</si>
  <si>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</si>
  <si>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</si>
  <si>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</si>
  <si>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</si>
  <si>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</si>
  <si>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</si>
  <si>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</si>
  <si>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</si>
  <si>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</si>
  <si>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</si>
  <si>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</si>
  <si>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</si>
  <si>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</si>
  <si>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</si>
  <si>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</si>
  <si>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</si>
  <si>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</si>
  <si>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</si>
  <si>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</si>
  <si>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</si>
  <si>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</si>
  <si>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</si>
  <si>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</si>
  <si>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</si>
  <si>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</si>
  <si>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</si>
  <si>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</si>
  <si>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</si>
  <si>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</si>
  <si>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</si>
  <si>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</si>
  <si>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</si>
  <si>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</si>
  <si>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</si>
  <si>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</si>
  <si>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</si>
  <si>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</si>
  <si>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</si>
  <si>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</si>
  <si>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</si>
  <si>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</si>
  <si>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</si>
  <si>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</si>
  <si>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</si>
  <si>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</si>
  <si>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</si>
  <si>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</si>
  <si>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</si>
  <si>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</si>
  <si>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</si>
  <si>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</si>
  <si>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</si>
  <si>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</si>
  <si>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</si>
  <si>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</si>
  <si>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</si>
  <si>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</si>
  <si>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</si>
  <si>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</si>
  <si>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</si>
  <si>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</si>
  <si>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</si>
  <si>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</si>
  <si>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</si>
  <si>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</si>
  <si>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</si>
  <si>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</si>
  <si>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</si>
  <si>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</si>
  <si>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</si>
  <si>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</si>
  <si>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</si>
  <si>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</si>
  <si>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</si>
  <si>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</si>
  <si>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</si>
  <si>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</si>
  <si>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</si>
  <si>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</si>
  <si>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</si>
  <si>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</si>
  <si>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</si>
  <si>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</si>
  <si>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</si>
  <si>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</si>
  <si>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</si>
  <si>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</si>
  <si>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</si>
  <si>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</si>
  <si>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</si>
  <si>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</si>
  <si>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</si>
  <si>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</si>
  <si>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</si>
  <si>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</si>
  <si>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</si>
  <si>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</si>
  <si>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</si>
  <si>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</si>
  <si>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</si>
  <si>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</si>
  <si>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</si>
  <si>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</si>
  <si>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</si>
  <si>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</si>
  <si>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</si>
  <si>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</si>
  <si>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</si>
  <si>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</si>
  <si>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</si>
  <si>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</si>
  <si>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</si>
  <si>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</si>
  <si>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</si>
  <si>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</si>
  <si>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</si>
  <si>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</si>
  <si>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</si>
  <si>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</si>
  <si>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</si>
  <si>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</si>
  <si>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</si>
  <si>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</si>
  <si>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</si>
  <si>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</si>
  <si>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</si>
  <si>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</si>
  <si>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</si>
  <si>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</si>
  <si>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</si>
  <si>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</si>
  <si>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</si>
  <si>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</si>
  <si>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</si>
  <si>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</si>
  <si>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</si>
  <si>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</si>
  <si>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</si>
  <si>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</si>
  <si>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</si>
  <si>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</si>
  <si>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</si>
  <si>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</si>
  <si>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</si>
  <si>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</si>
  <si>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</si>
  <si>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</si>
  <si>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</si>
  <si>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</si>
  <si>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</si>
  <si>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</si>
  <si>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</si>
  <si>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</si>
  <si>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</si>
  <si>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</si>
  <si>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</si>
  <si>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</si>
  <si>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</si>
  <si>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</si>
  <si>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</si>
  <si>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</si>
  <si>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</si>
  <si>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</si>
  <si>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</si>
  <si>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</si>
  <si>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</si>
  <si>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</si>
  <si>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</si>
  <si>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</si>
  <si>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</si>
  <si>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</si>
  <si>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</si>
  <si>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</si>
  <si>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</si>
  <si>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</si>
  <si>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</si>
  <si>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</si>
  <si>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</si>
  <si>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</si>
  <si>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</si>
  <si>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</si>
  <si>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</si>
  <si>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</si>
  <si>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</si>
  <si>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</si>
  <si>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</si>
  <si>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</si>
  <si>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</si>
  <si>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</si>
  <si>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</si>
  <si>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</si>
  <si>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</si>
  <si>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</si>
  <si>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</si>
  <si>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</si>
  <si>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</si>
  <si>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</si>
  <si>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</si>
  <si>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</si>
  <si>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</si>
  <si>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</si>
  <si>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</si>
  <si>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</si>
  <si>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</si>
  <si>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</si>
  <si>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</si>
  <si>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</si>
  <si>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</si>
  <si>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</si>
  <si>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</si>
  <si>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</si>
  <si>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</si>
  <si>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</si>
  <si>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</si>
  <si>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</si>
  <si>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</si>
  <si>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</si>
  <si>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</si>
  <si>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</si>
  <si>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</si>
  <si>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</si>
  <si>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</si>
  <si>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</si>
  <si>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</si>
  <si>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</si>
  <si>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</si>
  <si>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</si>
  <si>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</si>
  <si>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</si>
  <si>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</si>
  <si>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</si>
  <si>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</si>
  <si>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</si>
  <si>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</si>
  <si>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</si>
  <si>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</si>
  <si>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</si>
  <si>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</si>
  <si>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</si>
  <si>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</si>
  <si>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</si>
  <si>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</si>
  <si>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</si>
  <si>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</si>
  <si>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</si>
  <si>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</si>
  <si>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</si>
  <si>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</si>
  <si>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</si>
  <si>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</si>
  <si>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</si>
  <si>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</si>
  <si>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</si>
  <si>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</si>
  <si>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</si>
  <si>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</si>
  <si>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</si>
  <si>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</si>
  <si>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</si>
  <si>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</si>
  <si>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</si>
  <si>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</si>
  <si>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</si>
  <si>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</si>
  <si>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</si>
  <si>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</si>
  <si>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</si>
  <si>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</si>
  <si>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</si>
  <si>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</si>
  <si>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</si>
  <si>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</si>
  <si>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</si>
  <si>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</si>
  <si>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</si>
  <si>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</si>
  <si>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</si>
  <si>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</si>
  <si>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</si>
  <si>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</si>
  <si>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</si>
  <si>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</si>
  <si>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</si>
  <si>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</si>
  <si>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</si>
  <si>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</si>
  <si>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</si>
  <si>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</si>
  <si>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</si>
  <si>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</si>
  <si>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</si>
  <si>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</si>
  <si>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</si>
  <si>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</si>
  <si>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</si>
  <si>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</si>
  <si>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</si>
  <si>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</si>
  <si>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</si>
  <si>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</si>
  <si>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</si>
  <si>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</si>
  <si>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</si>
  <si>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</si>
  <si>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</si>
  <si>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</si>
  <si>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</si>
  <si>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</si>
  <si>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</si>
  <si>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</si>
  <si>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</si>
  <si>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</si>
  <si>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</si>
  <si>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</si>
  <si>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</si>
  <si>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</si>
  <si>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</si>
  <si>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</si>
  <si>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</si>
  <si>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</si>
  <si>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</si>
  <si>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</si>
  <si>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</si>
  <si>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</si>
  <si>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</si>
  <si>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</si>
  <si>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</si>
  <si>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</si>
  <si>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</si>
  <si>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</si>
  <si>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</si>
  <si>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</si>
  <si>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</si>
  <si>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</si>
  <si>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</si>
  <si>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</si>
  <si>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</si>
  <si>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</si>
  <si>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</si>
  <si>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</si>
  <si>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</si>
  <si>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</si>
  <si>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</si>
  <si>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</si>
  <si>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</si>
  <si>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</si>
  <si>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</si>
  <si>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</si>
  <si>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</si>
  <si>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</si>
  <si>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</si>
  <si>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</si>
  <si>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</si>
  <si>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</si>
  <si>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</si>
  <si>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</si>
  <si>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</si>
  <si>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</si>
  <si>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</si>
  <si>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</si>
  <si>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</si>
  <si>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</si>
  <si>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</si>
  <si>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</si>
  <si>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</si>
  <si>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</si>
  <si>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</si>
  <si>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</si>
  <si>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</si>
  <si>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</si>
  <si>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</si>
  <si>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</si>
  <si>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</si>
  <si>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</si>
  <si>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</si>
  <si>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</si>
  <si>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</si>
  <si>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</si>
  <si>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</si>
  <si>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</si>
  <si>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</si>
  <si>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</si>
  <si>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</si>
  <si>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</si>
  <si>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</si>
  <si>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</si>
  <si>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</si>
  <si>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</si>
  <si>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</si>
  <si>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</si>
  <si>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</si>
  <si>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</si>
  <si>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</si>
  <si>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</si>
  <si>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</si>
  <si>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</si>
  <si>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</si>
  <si>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</si>
  <si>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</si>
  <si>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</si>
  <si>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</si>
  <si>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</si>
  <si>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</si>
  <si>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</si>
  <si>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</si>
  <si>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</si>
  <si>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</si>
  <si>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</si>
  <si>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</si>
  <si>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</si>
  <si>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</si>
  <si>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</si>
  <si>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</si>
  <si>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</si>
  <si>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</si>
  <si>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</si>
  <si>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</si>
  <si>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</si>
  <si>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</si>
  <si>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</si>
  <si>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</si>
  <si>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</si>
  <si>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</si>
  <si>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</si>
  <si>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</si>
  <si>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</si>
  <si>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</si>
  <si>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</si>
  <si>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</si>
  <si>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</si>
  <si>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</si>
  <si>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</si>
  <si>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</si>
  <si>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</si>
  <si>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</si>
  <si>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</si>
  <si>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</si>
  <si>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</si>
  <si>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</si>
  <si>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</si>
  <si>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</si>
  <si>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</si>
  <si>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</si>
  <si>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</si>
  <si>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</si>
  <si>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</si>
  <si>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</si>
  <si>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</si>
  <si>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</si>
  <si>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</si>
  <si>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</si>
  <si>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</si>
  <si>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</si>
  <si>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</si>
  <si>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</si>
  <si>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</si>
  <si>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</si>
  <si>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</si>
  <si>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</si>
  <si>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</si>
  <si>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</si>
  <si>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</si>
  <si>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</si>
  <si>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</si>
  <si>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</si>
  <si>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</si>
  <si>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</si>
  <si>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</si>
  <si>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</si>
  <si>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</si>
  <si>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</si>
  <si>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</si>
  <si>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</si>
  <si>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</si>
  <si>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</si>
  <si>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</si>
  <si>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</si>
  <si>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</si>
  <si>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</si>
  <si>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</si>
  <si>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</si>
  <si>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</si>
  <si>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</si>
  <si>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</si>
  <si>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</si>
  <si>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</si>
  <si>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</si>
  <si>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</si>
  <si>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</si>
  <si>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</si>
  <si>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</si>
  <si>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</si>
  <si>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</si>
  <si>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</si>
  <si>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</si>
  <si>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</si>
  <si>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</si>
  <si>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</si>
  <si>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</si>
  <si>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</si>
  <si>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</si>
  <si>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</si>
  <si>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</si>
  <si>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</si>
  <si>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</si>
  <si>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</si>
  <si>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</si>
  <si>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</si>
  <si>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</si>
  <si>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</si>
  <si>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</si>
  <si>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</si>
  <si>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</si>
  <si>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</si>
  <si>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</si>
  <si>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</si>
  <si>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</si>
  <si>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</si>
  <si>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</si>
  <si>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</si>
  <si>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</si>
  <si>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</si>
  <si>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</si>
  <si>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</si>
  <si>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</si>
  <si>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</si>
  <si>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</si>
  <si>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</si>
  <si>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</si>
  <si>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</si>
  <si>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</si>
  <si>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</si>
  <si>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</si>
  <si>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</si>
  <si>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</si>
  <si>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</si>
  <si>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</si>
  <si>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</si>
  <si>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</si>
  <si>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</si>
  <si>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</si>
  <si>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</si>
  <si>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</si>
  <si>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</si>
  <si>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</si>
  <si>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</si>
  <si>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</si>
  <si>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</si>
  <si>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</si>
  <si>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</si>
  <si>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</si>
  <si>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</si>
  <si>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</si>
  <si>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</si>
  <si>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</si>
  <si>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</si>
  <si>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</si>
  <si>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</si>
  <si>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</si>
  <si>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</si>
  <si>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</si>
  <si>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</si>
  <si>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</si>
  <si>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</si>
  <si>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</si>
  <si>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</si>
  <si>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</si>
  <si>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</si>
  <si>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</si>
  <si>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</si>
  <si>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</si>
  <si>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</si>
  <si>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</si>
  <si>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</si>
  <si>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</si>
  <si>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</si>
  <si>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</si>
  <si>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</si>
  <si>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</si>
  <si>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</si>
  <si>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</si>
  <si>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</si>
  <si>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</si>
  <si>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</si>
  <si>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</si>
  <si>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</si>
  <si>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</si>
  <si>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</si>
  <si>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</si>
  <si>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</si>
  <si>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</si>
  <si>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</si>
  <si>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</si>
  <si>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</si>
  <si>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</si>
  <si>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</si>
  <si>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</si>
  <si>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</si>
  <si>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</si>
  <si>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</si>
  <si>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</si>
  <si>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</si>
  <si>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</si>
  <si>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</si>
  <si>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</si>
  <si>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</si>
  <si>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</si>
  <si>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</si>
  <si>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</si>
  <si>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</si>
  <si>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</si>
  <si>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</si>
  <si>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</si>
  <si>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</si>
  <si>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</si>
  <si>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</si>
  <si>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</si>
  <si>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</si>
  <si>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</si>
  <si>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</si>
  <si>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</si>
  <si>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</si>
  <si>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</si>
  <si>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</si>
  <si>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</si>
  <si>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</si>
  <si>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</si>
  <si>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</si>
  <si>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</si>
  <si>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</si>
  <si>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</si>
  <si>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</si>
  <si>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</si>
  <si>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</si>
  <si>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</si>
  <si>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</si>
  <si>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</si>
  <si>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</si>
  <si>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</si>
  <si>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</si>
  <si>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</si>
  <si>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</si>
  <si>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</si>
  <si>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</si>
  <si>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</si>
  <si>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</si>
  <si>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</si>
  <si>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</si>
  <si>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</si>
  <si>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</si>
  <si>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</si>
  <si>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</si>
  <si>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</si>
  <si>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</si>
  <si>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</si>
  <si>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</si>
  <si>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</si>
  <si>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</si>
  <si>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</si>
  <si>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</si>
  <si>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</si>
  <si>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</si>
  <si>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</si>
  <si>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</si>
  <si>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</si>
  <si>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</si>
  <si>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</si>
  <si>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</si>
  <si>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</si>
  <si>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</si>
  <si>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</si>
  <si>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</si>
  <si>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</si>
  <si>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</si>
  <si>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</si>
  <si>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</si>
  <si>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</si>
  <si>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</si>
  <si>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</si>
  <si>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</si>
  <si>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</si>
  <si>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</si>
  <si>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</si>
  <si>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</si>
  <si>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</si>
  <si>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</si>
  <si>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</si>
  <si>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</si>
  <si>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</si>
  <si>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</si>
  <si>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</si>
  <si>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</si>
  <si>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</si>
  <si>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</si>
  <si>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</si>
  <si>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</si>
  <si>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</si>
  <si>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</si>
  <si>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</si>
  <si>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</si>
  <si>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</si>
  <si>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</si>
  <si>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</si>
  <si>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</si>
  <si>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</si>
  <si>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</si>
  <si>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</si>
  <si>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</si>
  <si>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</si>
  <si>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</si>
  <si>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</si>
  <si>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</si>
  <si>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</si>
  <si>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</si>
  <si>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</si>
  <si>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</si>
  <si>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</si>
  <si>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</si>
  <si>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</si>
  <si>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</si>
  <si>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</si>
  <si>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</si>
  <si>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</si>
  <si>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</si>
  <si>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</si>
  <si>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</si>
  <si>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</si>
  <si>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</si>
  <si>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</si>
  <si>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</si>
  <si>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</si>
  <si>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</si>
  <si>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</si>
  <si>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</si>
  <si>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</si>
  <si>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</si>
  <si>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</si>
  <si>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</si>
  <si>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</si>
  <si>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</si>
  <si>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</si>
  <si>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</si>
  <si>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</si>
  <si>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</si>
  <si>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</si>
  <si>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</si>
  <si>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</si>
  <si>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</si>
  <si>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</si>
  <si>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</si>
  <si>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</si>
  <si>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</si>
  <si>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</si>
  <si>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</si>
  <si>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</si>
  <si>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</si>
  <si>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</si>
  <si>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</si>
  <si>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</si>
  <si>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</si>
  <si>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</si>
  <si>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</si>
  <si>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</si>
  <si>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</si>
  <si>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</si>
  <si>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</si>
  <si>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</si>
  <si>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</si>
  <si>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</si>
  <si>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</si>
  <si>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</si>
  <si>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</si>
  <si>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</si>
  <si>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</si>
  <si>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</si>
  <si>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</si>
  <si>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</si>
  <si>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</si>
  <si>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</si>
  <si>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</si>
  <si>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</si>
  <si>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</si>
  <si>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</si>
  <si>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</si>
  <si>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</si>
  <si>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</si>
  <si>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</si>
  <si>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</si>
  <si>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</si>
  <si>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</si>
  <si>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</si>
  <si>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</si>
  <si>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</si>
  <si>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</si>
  <si>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</si>
  <si>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</si>
  <si>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</si>
  <si>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</si>
  <si>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</si>
  <si>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</si>
  <si>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</si>
  <si>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</si>
  <si>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</si>
  <si>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</si>
  <si>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</si>
  <si>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</si>
  <si>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</si>
  <si>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</si>
  <si>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</si>
  <si>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</si>
  <si>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</si>
  <si>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</si>
  <si>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</si>
  <si>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</si>
  <si>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</si>
  <si>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</si>
  <si>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</si>
  <si>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</si>
  <si>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</si>
  <si>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</si>
  <si>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</si>
  <si>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</si>
  <si>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</si>
  <si>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</si>
  <si>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</si>
  <si>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</si>
  <si>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</si>
  <si>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</si>
  <si>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</si>
  <si>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</si>
  <si>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</si>
  <si>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</si>
  <si>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</si>
  <si>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</si>
  <si>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</si>
  <si>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</si>
  <si>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</si>
  <si>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</si>
  <si>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</si>
  <si>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</si>
  <si>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</si>
  <si>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</si>
  <si>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</si>
  <si>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</si>
  <si>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</si>
  <si>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</si>
  <si>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</si>
  <si>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</si>
  <si>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</si>
  <si>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</si>
  <si>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</si>
  <si>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</si>
  <si>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</si>
  <si>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</si>
  <si>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</si>
  <si>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</si>
  <si>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</si>
  <si>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</si>
  <si>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</si>
  <si>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</si>
  <si>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</si>
  <si>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</si>
  <si>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</si>
  <si>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</si>
  <si>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</si>
  <si>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</si>
  <si>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</si>
  <si>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</si>
  <si>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</si>
  <si>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</si>
  <si>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</si>
  <si>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</si>
  <si>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</si>
  <si>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</si>
  <si>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</si>
  <si>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</si>
  <si>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</si>
  <si>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</si>
  <si>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</si>
  <si>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</si>
  <si>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</si>
  <si>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</si>
  <si>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</si>
  <si>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</si>
  <si>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</si>
  <si>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</si>
  <si>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</si>
  <si>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</si>
  <si>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</si>
  <si>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</si>
  <si>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</si>
  <si>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</si>
  <si>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</si>
  <si>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</si>
  <si>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</si>
  <si>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</si>
  <si>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</si>
  <si>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</si>
  <si>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</si>
  <si>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</si>
  <si>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</si>
  <si>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</si>
  <si>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</si>
  <si>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</si>
  <si>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</si>
  <si>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</si>
  <si>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</si>
  <si>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</si>
  <si>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</si>
  <si>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</si>
  <si>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</si>
  <si>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</si>
  <si>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</si>
  <si>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</si>
  <si>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</si>
  <si>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</si>
  <si>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</si>
  <si>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</si>
  <si>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</si>
  <si>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</si>
  <si>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</si>
  <si>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</si>
  <si>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</si>
  <si>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</si>
  <si>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</si>
  <si>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</si>
  <si>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</si>
  <si>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</si>
  <si>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</si>
  <si>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</si>
  <si>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</si>
  <si>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</si>
  <si>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</si>
  <si>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</si>
  <si>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</si>
  <si>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</si>
  <si>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</si>
  <si>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</si>
  <si>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</si>
  <si>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</si>
  <si>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</si>
  <si>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</si>
  <si>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</si>
  <si>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</si>
  <si>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</si>
  <si>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</si>
  <si>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</si>
  <si>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</si>
  <si>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</si>
  <si>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</si>
  <si>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</si>
  <si>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</si>
  <si>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</si>
  <si>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</si>
  <si>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</si>
  <si>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</si>
  <si>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</si>
  <si>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</si>
  <si>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</si>
  <si>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</si>
  <si>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</si>
  <si>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</si>
  <si>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</si>
  <si>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</si>
  <si>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</si>
  <si>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</si>
  <si>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</si>
  <si>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</si>
  <si>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</si>
  <si>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</si>
  <si>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</si>
  <si>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</si>
  <si>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</si>
  <si>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</si>
  <si>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</si>
  <si>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</si>
  <si>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</si>
  <si>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</si>
  <si>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</si>
  <si>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</si>
  <si>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</si>
  <si>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</si>
  <si>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</si>
  <si>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</si>
  <si>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</si>
  <si>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</si>
  <si>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</si>
  <si>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</si>
  <si>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</si>
  <si>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</si>
  <si>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</si>
  <si>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</si>
  <si>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</si>
  <si>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</si>
  <si>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</si>
  <si>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</si>
  <si>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</si>
  <si>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</si>
  <si>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</si>
  <si>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</si>
  <si>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</si>
  <si>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</si>
  <si>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</si>
  <si>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</si>
  <si>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</si>
  <si>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</si>
  <si>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</si>
  <si>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</si>
  <si>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</si>
  <si>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</si>
  <si>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</si>
  <si>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</si>
  <si>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</si>
  <si>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</si>
  <si>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</si>
  <si>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</si>
  <si>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</si>
  <si>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</si>
  <si>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</si>
  <si>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</si>
  <si>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</si>
  <si>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</si>
  <si>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</si>
  <si>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</si>
  <si>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</si>
  <si>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</si>
  <si>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</si>
  <si>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</si>
  <si>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</si>
  <si>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</si>
  <si>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</si>
  <si>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</si>
  <si>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</si>
  <si>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</si>
  <si>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</si>
  <si>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</si>
  <si>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</si>
  <si>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</si>
  <si>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</si>
  <si>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</si>
  <si>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</si>
  <si>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</si>
  <si>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</si>
  <si>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</si>
  <si>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</si>
  <si>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</si>
  <si>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</si>
  <si>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</si>
  <si>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</si>
  <si>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</si>
  <si>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</si>
  <si>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</si>
  <si>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</si>
  <si>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</si>
  <si>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</si>
  <si>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</si>
  <si>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</si>
  <si>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</si>
  <si>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</si>
  <si>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</si>
  <si>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</si>
  <si>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</si>
  <si>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</si>
  <si>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</si>
  <si>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</si>
  <si>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</si>
  <si>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</si>
  <si>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</si>
  <si>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</si>
  <si>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</si>
  <si>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</si>
  <si>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</si>
  <si>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</si>
  <si>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</si>
  <si>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</si>
  <si>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</si>
  <si>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</si>
  <si>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</si>
  <si>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</si>
  <si>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</si>
  <si>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</si>
  <si>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</si>
  <si>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</si>
  <si>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</si>
  <si>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</si>
  <si>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</si>
  <si>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</si>
  <si>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</si>
  <si>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</si>
  <si>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</si>
  <si>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</si>
  <si>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</si>
  <si>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</si>
  <si>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</si>
  <si>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</si>
  <si>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</si>
  <si>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</si>
  <si>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</si>
  <si>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</si>
  <si>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</si>
  <si>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</si>
  <si>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</si>
  <si>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</si>
  <si>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</si>
  <si>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</si>
  <si>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</si>
  <si>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</si>
  <si>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</si>
  <si>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</si>
  <si>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</si>
  <si>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</si>
  <si>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</si>
  <si>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</si>
  <si>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</si>
  <si>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</si>
  <si>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</si>
  <si>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</si>
  <si>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</si>
  <si>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</si>
  <si>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</si>
  <si>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</si>
  <si>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</si>
  <si>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</si>
  <si>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</si>
  <si>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</si>
  <si>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</si>
  <si>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</si>
  <si>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</si>
  <si>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</si>
  <si>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</si>
  <si>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</si>
  <si>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</si>
  <si>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</si>
  <si>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</si>
  <si>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</si>
  <si>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</si>
  <si>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</si>
  <si>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</si>
  <si>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</si>
  <si>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</si>
  <si>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</si>
  <si>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</si>
  <si>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</si>
  <si>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</si>
  <si>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</si>
  <si>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</si>
  <si>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</si>
  <si>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</si>
  <si>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</si>
  <si>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</si>
  <si>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</si>
  <si>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</si>
  <si>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</si>
  <si>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</si>
  <si>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</si>
  <si>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</si>
  <si>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</si>
  <si>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</si>
  <si>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</si>
  <si>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</si>
  <si>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</si>
  <si>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</si>
  <si>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</si>
  <si>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</si>
  <si>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</si>
  <si>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</si>
  <si>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</si>
  <si>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</si>
  <si>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</si>
  <si>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</si>
  <si>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</si>
  <si>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</si>
  <si>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</si>
  <si>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</si>
  <si>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</si>
  <si>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</si>
  <si>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</si>
  <si>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</si>
  <si>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</si>
  <si>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</si>
  <si>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</si>
  <si>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</si>
  <si>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</si>
  <si>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</si>
  <si>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</si>
  <si>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</si>
  <si>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</si>
  <si>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</si>
  <si>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</si>
  <si>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</si>
  <si>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</si>
  <si>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</si>
  <si>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</si>
  <si>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</si>
  <si>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</si>
  <si>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</si>
  <si>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</si>
  <si>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</si>
  <si>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</si>
  <si>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</si>
  <si>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</si>
  <si>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</si>
  <si>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</si>
  <si>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</si>
  <si>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</si>
  <si>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</si>
  <si>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</si>
  <si>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</si>
  <si>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</si>
  <si>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</si>
  <si>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</si>
  <si>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</si>
  <si>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</si>
  <si>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</si>
  <si>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</si>
  <si>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</si>
  <si>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</si>
  <si>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</si>
  <si>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</si>
  <si>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</si>
  <si>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</si>
  <si>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</si>
  <si>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</si>
  <si>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</si>
  <si>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</si>
  <si>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</si>
  <si>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</si>
  <si>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</si>
  <si>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</si>
  <si>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</si>
  <si>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</si>
  <si>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</si>
  <si>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</si>
  <si>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</si>
  <si>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</si>
  <si>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</si>
  <si>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</si>
  <si>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</si>
  <si>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</si>
  <si>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</si>
  <si>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</si>
  <si>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</si>
  <si>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</si>
  <si>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</si>
  <si>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</si>
  <si>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</si>
  <si>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</si>
  <si>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</si>
  <si>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</si>
  <si>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</si>
  <si>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</si>
  <si>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</si>
  <si>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</si>
  <si>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</si>
  <si>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</si>
  <si>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</si>
  <si>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</si>
  <si>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</si>
  <si>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</si>
  <si>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</si>
  <si>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</si>
  <si>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</si>
  <si>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</si>
  <si>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</si>
  <si>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</si>
  <si>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</si>
  <si>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</si>
  <si>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</si>
  <si>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</si>
  <si>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</si>
  <si>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</si>
  <si>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</si>
  <si>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</si>
  <si>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</si>
  <si>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</si>
  <si>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</si>
  <si>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</si>
  <si>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</si>
  <si>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</si>
  <si>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</si>
  <si>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</si>
  <si>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</si>
  <si>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</si>
  <si>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</si>
  <si>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</si>
  <si>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</si>
  <si>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</si>
  <si>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</si>
  <si>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</si>
  <si>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</si>
  <si>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</si>
  <si>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</si>
  <si>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</si>
  <si>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</si>
  <si>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</si>
  <si>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</si>
  <si>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</si>
  <si>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</si>
  <si>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</si>
  <si>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</si>
  <si>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</si>
  <si>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</si>
  <si>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</si>
  <si>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</si>
  <si>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</si>
  <si>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</si>
  <si>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</si>
  <si>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</si>
  <si>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</si>
  <si>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</si>
  <si>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</si>
  <si>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</si>
  <si>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</si>
  <si>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</si>
  <si>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</si>
  <si>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</si>
  <si>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</si>
  <si>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</si>
  <si>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</si>
  <si>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</si>
  <si>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</si>
  <si>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</si>
  <si>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</si>
  <si>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</si>
  <si>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</si>
  <si>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</si>
  <si>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</si>
  <si>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</si>
  <si>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</si>
  <si>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</si>
  <si>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</si>
  <si>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</si>
  <si>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</si>
  <si>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</si>
  <si>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</si>
  <si>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</si>
  <si>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</si>
  <si>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</si>
  <si>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</si>
  <si>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</si>
  <si>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</si>
  <si>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</si>
  <si>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</si>
  <si>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</si>
  <si>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</si>
  <si>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</si>
  <si>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</si>
  <si>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</si>
  <si>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</si>
  <si>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</si>
  <si>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</si>
  <si>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</si>
  <si>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</si>
  <si>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</si>
  <si>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</si>
  <si>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</si>
  <si>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</si>
  <si>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</si>
  <si>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</si>
  <si>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</si>
  <si>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</si>
  <si>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</si>
  <si>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</si>
  <si>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</si>
  <si>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</si>
  <si>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</si>
  <si>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</si>
  <si>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</si>
  <si>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</si>
  <si>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</si>
  <si>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</si>
  <si>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</si>
  <si>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</si>
  <si>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</si>
  <si>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</si>
  <si>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</si>
  <si>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</si>
  <si>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</si>
  <si>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</si>
  <si>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</si>
  <si>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</si>
  <si>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</si>
  <si>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</si>
  <si>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</si>
  <si>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</si>
  <si>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</si>
  <si>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</si>
  <si>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</si>
  <si>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</si>
  <si>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</si>
  <si>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</si>
  <si>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</si>
  <si>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</si>
  <si>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</si>
  <si>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</si>
  <si>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</si>
  <si>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</si>
  <si>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</si>
  <si>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</si>
  <si>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</si>
  <si>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</si>
  <si>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</si>
  <si>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</si>
  <si>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</si>
  <si>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</si>
  <si>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</si>
  <si>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</si>
  <si>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</si>
  <si>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</si>
  <si>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</si>
  <si>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</si>
  <si>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</si>
  <si>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</si>
  <si>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</si>
  <si>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</si>
  <si>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</si>
  <si>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</si>
  <si>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</si>
  <si>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</si>
  <si>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</si>
  <si>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</si>
  <si>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</si>
  <si>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</si>
  <si>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</si>
  <si>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</si>
  <si>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</si>
  <si>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</si>
  <si>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</si>
  <si>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</si>
  <si>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</si>
  <si>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</si>
  <si>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</si>
  <si>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</si>
  <si>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</si>
  <si>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</si>
  <si>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</si>
  <si>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</si>
  <si>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</si>
  <si>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</si>
  <si>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</si>
  <si>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</si>
  <si>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</si>
  <si>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</si>
  <si>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</si>
  <si>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</si>
  <si>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</si>
  <si>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</si>
  <si>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</si>
  <si>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</si>
  <si>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</si>
  <si>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</si>
  <si>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</si>
  <si>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</si>
  <si>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</si>
  <si>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</si>
  <si>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</si>
  <si>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</si>
  <si>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</si>
  <si>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</si>
  <si>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</si>
  <si>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</si>
  <si>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</si>
  <si>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</si>
  <si>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</si>
  <si>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</si>
  <si>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</si>
  <si>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</si>
  <si>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</si>
  <si>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</si>
  <si>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</si>
  <si>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</si>
  <si>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</si>
  <si>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</si>
  <si>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</si>
  <si>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</si>
  <si>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</si>
  <si>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</si>
  <si>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</si>
  <si>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</si>
  <si>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</si>
  <si>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</si>
  <si>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</si>
  <si>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</si>
  <si>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</si>
  <si>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</si>
  <si>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</si>
  <si>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</si>
  <si>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</si>
  <si>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</si>
  <si>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</si>
  <si>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</si>
  <si>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</si>
  <si>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</si>
  <si>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</si>
  <si>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</si>
  <si>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</si>
  <si>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</si>
  <si>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</si>
  <si>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</si>
  <si>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</si>
  <si>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</si>
  <si>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</si>
  <si>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</si>
  <si>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</si>
  <si>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</si>
  <si>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</si>
  <si>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</si>
  <si>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</si>
  <si>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</si>
  <si>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</si>
  <si>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</si>
  <si>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</si>
  <si>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</si>
  <si>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</si>
  <si>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</si>
  <si>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</si>
  <si>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</si>
  <si>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</si>
  <si>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</si>
  <si>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</si>
  <si>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</si>
  <si>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</si>
  <si>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</si>
  <si>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</si>
  <si>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</si>
  <si>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</si>
  <si>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</si>
  <si>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</si>
  <si>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</si>
  <si>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</si>
  <si>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</si>
  <si>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</si>
  <si>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</si>
  <si>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</si>
  <si>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</si>
  <si>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</si>
  <si>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</si>
  <si>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</si>
  <si>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</si>
  <si>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</si>
  <si>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</si>
  <si>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</si>
  <si>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</si>
  <si>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</si>
  <si>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</si>
  <si>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</si>
  <si>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</si>
  <si>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</si>
  <si>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</si>
  <si>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</si>
  <si>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</si>
  <si>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</si>
  <si>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</si>
  <si>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</si>
  <si>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</si>
  <si>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</si>
  <si>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</si>
  <si>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</si>
  <si>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</si>
  <si>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</si>
  <si>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</si>
  <si>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</si>
  <si>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</si>
  <si>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</si>
  <si>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</si>
  <si>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</si>
  <si>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</si>
  <si>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</si>
  <si>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</si>
  <si>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</si>
  <si>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</si>
  <si>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</si>
  <si>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</si>
  <si>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</si>
  <si>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</si>
  <si>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</si>
  <si>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</si>
  <si>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</si>
  <si>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</si>
  <si>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</si>
  <si>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</si>
  <si>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</si>
  <si>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</si>
  <si>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</si>
  <si>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</si>
  <si>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</si>
  <si>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</si>
  <si>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</si>
  <si>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</si>
  <si>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</si>
  <si>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</si>
  <si>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</si>
  <si>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</si>
  <si>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</si>
  <si>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</si>
  <si>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</si>
  <si>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</si>
  <si>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</si>
  <si>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</si>
  <si>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</si>
  <si>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</si>
  <si>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</si>
  <si>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</si>
  <si>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</si>
  <si>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</si>
  <si>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</si>
  <si>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</si>
  <si>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</si>
  <si>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</si>
  <si>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</si>
  <si>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</si>
  <si>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</si>
  <si>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</si>
  <si>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</si>
  <si>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</si>
  <si>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</si>
  <si>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</si>
  <si>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</si>
  <si>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</si>
  <si>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</si>
  <si>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</si>
  <si>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</si>
  <si>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</si>
  <si>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</si>
  <si>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</si>
  <si>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</si>
  <si>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</si>
  <si>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</si>
  <si>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</si>
  <si>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</si>
  <si>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</si>
  <si>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</si>
  <si>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</si>
  <si>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</si>
  <si>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</si>
  <si>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</si>
  <si>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</si>
  <si>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</si>
  <si>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</si>
  <si>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</si>
  <si>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</si>
  <si>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</si>
  <si>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</si>
  <si>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</si>
  <si>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</si>
  <si>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</si>
  <si>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</si>
  <si>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</si>
  <si>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</si>
  <si>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</si>
  <si>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</si>
  <si>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</si>
  <si>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</si>
  <si>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</si>
  <si>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</si>
  <si>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</si>
  <si>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</si>
  <si>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</si>
  <si>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</si>
  <si>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</si>
  <si>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</si>
  <si>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</si>
  <si>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</si>
  <si>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</si>
  <si>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</si>
  <si>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</si>
  <si>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</si>
  <si>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</si>
  <si>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</si>
  <si>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</si>
  <si>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</si>
  <si>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</si>
  <si>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</si>
  <si>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</si>
  <si>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</si>
  <si>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</si>
  <si>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</si>
  <si>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</si>
  <si>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</si>
  <si>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</si>
  <si>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</si>
  <si>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</si>
  <si>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</si>
  <si>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</si>
  <si>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</si>
  <si>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</si>
  <si>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</si>
  <si>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</si>
  <si>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</si>
  <si>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</si>
  <si>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</si>
  <si>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</si>
  <si>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</si>
  <si>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</si>
  <si>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</si>
  <si>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</si>
  <si>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</si>
  <si>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</si>
  <si>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</si>
  <si>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</si>
  <si>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</si>
  <si>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</si>
  <si>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</si>
  <si>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</si>
  <si>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</si>
  <si>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</si>
  <si>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</si>
  <si>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</si>
  <si>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</si>
  <si>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</si>
  <si>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</si>
  <si>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</si>
  <si>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</si>
  <si>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</si>
  <si>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</si>
  <si>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</si>
  <si>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</si>
  <si>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</si>
  <si>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</si>
  <si>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</si>
  <si>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</si>
  <si>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</si>
  <si>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</si>
  <si>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</si>
  <si>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</si>
  <si>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</si>
  <si>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</si>
  <si>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</si>
  <si>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</si>
  <si>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</si>
  <si>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</si>
  <si>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</si>
  <si>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</si>
  <si>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</si>
  <si>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</si>
  <si>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</si>
  <si>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</si>
  <si>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</si>
  <si>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</si>
  <si>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</si>
  <si>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</si>
  <si>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</si>
  <si>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</si>
  <si>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</si>
  <si>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</si>
  <si>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</si>
  <si>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</si>
  <si>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</si>
  <si>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</si>
  <si>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</si>
  <si>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</si>
  <si>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</si>
  <si>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</si>
  <si>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</si>
  <si>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</si>
  <si>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</si>
  <si>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</si>
  <si>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</si>
  <si>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</si>
  <si>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</si>
  <si>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</si>
  <si>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</si>
  <si>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</si>
  <si>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</si>
  <si>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</si>
  <si>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</si>
  <si>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</si>
  <si>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</si>
  <si>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</si>
  <si>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</si>
  <si>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</si>
  <si>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</si>
  <si>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</si>
  <si>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</si>
  <si>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</si>
  <si>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</si>
  <si>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</si>
  <si>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</si>
  <si>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</si>
  <si>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</si>
  <si>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</si>
  <si>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</si>
  <si>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</si>
  <si>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</si>
  <si>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</si>
  <si>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</si>
  <si>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</si>
  <si>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</si>
  <si>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</si>
  <si>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</si>
  <si>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</si>
  <si>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</si>
  <si>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</si>
  <si>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</si>
  <si>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</si>
  <si>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</si>
  <si>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</si>
  <si>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</si>
  <si>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</si>
  <si>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</si>
  <si>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</si>
  <si>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</si>
  <si>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</si>
  <si>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</si>
  <si>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</si>
  <si>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</si>
  <si>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</si>
  <si>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</si>
  <si>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</si>
  <si>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</si>
  <si>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</si>
  <si>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</si>
  <si>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</si>
  <si>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</si>
  <si>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</si>
  <si>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</si>
  <si>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</si>
  <si>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</si>
  <si>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</si>
  <si>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</si>
  <si>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</si>
  <si>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</si>
  <si>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</si>
  <si>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</si>
  <si>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</si>
  <si>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</si>
  <si>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</si>
  <si>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</si>
  <si>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</si>
  <si>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</si>
  <si>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</si>
  <si>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</si>
  <si>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</si>
  <si>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</si>
  <si>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</si>
  <si>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</si>
  <si>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</si>
  <si>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</si>
  <si>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</si>
  <si>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</si>
  <si>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</si>
  <si>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</si>
  <si>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</si>
  <si>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</si>
  <si>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</si>
  <si>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</si>
  <si>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</si>
  <si>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</si>
  <si>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</si>
  <si>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</si>
  <si>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</si>
  <si>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</si>
  <si>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</si>
  <si>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</si>
  <si>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</si>
  <si>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</si>
  <si>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</si>
  <si>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</si>
  <si>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</si>
  <si>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</si>
  <si>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</si>
  <si>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</si>
  <si>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</si>
  <si>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</si>
  <si>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</si>
  <si>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</si>
  <si>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</si>
  <si>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</si>
  <si>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</si>
  <si>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</si>
  <si>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</si>
  <si>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</si>
  <si>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</si>
  <si>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</si>
  <si>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</si>
  <si>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</si>
  <si>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</si>
  <si>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</si>
  <si>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</si>
  <si>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</si>
  <si>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</si>
  <si>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</si>
  <si>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</si>
  <si>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</si>
  <si>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</si>
  <si>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</si>
  <si>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</si>
  <si>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</si>
  <si>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</si>
  <si>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</si>
  <si>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</si>
  <si>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</si>
  <si>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</si>
  <si>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</si>
  <si>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</si>
  <si>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</si>
  <si>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</si>
  <si>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</si>
  <si>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</si>
  <si>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</si>
  <si>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</si>
  <si>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</si>
  <si>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</si>
  <si>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</si>
  <si>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</si>
  <si>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</si>
  <si>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</si>
  <si>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</si>
  <si>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</si>
  <si>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</si>
  <si>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</si>
  <si>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</si>
  <si>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</si>
  <si>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</si>
  <si>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</si>
  <si>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</si>
  <si>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</si>
  <si>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</si>
  <si>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</si>
  <si>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</si>
  <si>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</si>
  <si>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</si>
  <si>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</si>
  <si>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</si>
  <si>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</si>
  <si>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</si>
  <si>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</si>
  <si>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</si>
  <si>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</si>
  <si>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</si>
  <si>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</si>
  <si>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</si>
  <si>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</si>
  <si>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</si>
  <si>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</si>
  <si>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</si>
  <si>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</si>
  <si>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</si>
  <si>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</si>
  <si>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</si>
  <si>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</si>
  <si>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</si>
  <si>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</si>
  <si>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</si>
  <si>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</si>
  <si>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</si>
  <si>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</si>
  <si>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</si>
  <si>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</si>
  <si>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</si>
  <si>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</si>
  <si>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</si>
  <si>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</si>
  <si>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</si>
  <si>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</si>
  <si>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</si>
  <si>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</si>
  <si>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</si>
  <si>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</si>
  <si>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</si>
  <si>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</si>
  <si>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</si>
  <si>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</si>
  <si>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</si>
  <si>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</si>
  <si>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</si>
  <si>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</si>
  <si>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</si>
  <si>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</si>
  <si>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</si>
  <si>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</si>
  <si>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</si>
  <si>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</si>
  <si>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</si>
  <si>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</si>
  <si>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</si>
  <si>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</si>
  <si>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</si>
  <si>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</si>
  <si>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</si>
  <si>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</si>
  <si>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</si>
  <si>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</si>
  <si>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</si>
  <si>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</si>
  <si>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</si>
  <si>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</si>
  <si>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</si>
  <si>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</si>
  <si>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</si>
  <si>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</si>
  <si>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</si>
  <si>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</si>
  <si>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</si>
  <si>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</si>
  <si>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</si>
  <si>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</si>
  <si>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</si>
  <si>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</si>
  <si>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</si>
  <si>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</si>
  <si>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</si>
  <si>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</si>
  <si>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</si>
  <si>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</si>
  <si>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</si>
  <si>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</si>
  <si>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</si>
  <si>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</si>
  <si>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</si>
  <si>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</si>
  <si>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</si>
  <si>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</si>
  <si>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</si>
  <si>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</si>
  <si>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</si>
  <si>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</si>
  <si>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</si>
  <si>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</si>
  <si>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</si>
  <si>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</si>
  <si>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</si>
  <si>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</si>
  <si>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</si>
  <si>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</si>
  <si>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</si>
  <si>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</si>
  <si>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</si>
  <si>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</si>
  <si>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</si>
  <si>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</si>
  <si>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</si>
  <si>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</si>
  <si>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</si>
  <si>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</si>
  <si>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</si>
  <si>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</si>
  <si>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</si>
  <si>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</si>
  <si>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</si>
  <si>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</si>
  <si>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</si>
  <si>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</si>
  <si>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</si>
  <si>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</si>
  <si>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</si>
  <si>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</si>
  <si>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</si>
  <si>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</si>
  <si>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</si>
  <si>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</si>
  <si>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</si>
  <si>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</si>
  <si>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</si>
  <si>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</si>
  <si>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</si>
  <si>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</si>
  <si>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</si>
  <si>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</si>
  <si>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</si>
  <si>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</si>
  <si>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</si>
  <si>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</si>
  <si>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</si>
  <si>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</si>
  <si>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</si>
  <si>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</si>
  <si>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</si>
  <si>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</si>
  <si>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</si>
  <si>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</si>
  <si>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</si>
  <si>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</si>
  <si>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</si>
  <si>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</si>
  <si>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</si>
  <si>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</si>
  <si>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</si>
  <si>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</si>
  <si>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</si>
  <si>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</si>
  <si>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</si>
  <si>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</si>
  <si>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</si>
  <si>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</si>
  <si>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</si>
  <si>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</si>
  <si>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</si>
  <si>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</si>
  <si>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</si>
  <si>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</si>
  <si>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</si>
  <si>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</si>
  <si>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</si>
  <si>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</si>
  <si>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</si>
  <si>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</si>
  <si>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</si>
  <si>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</si>
  <si>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</si>
  <si>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</si>
  <si>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</si>
  <si>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</si>
  <si>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</si>
  <si>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</si>
  <si>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</si>
  <si>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</si>
  <si>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</si>
  <si>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</si>
  <si>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</si>
  <si>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</si>
  <si>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</si>
  <si>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</si>
  <si>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</si>
  <si>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</si>
  <si>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</si>
  <si>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</si>
  <si>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</si>
  <si>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</si>
  <si>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</si>
  <si>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</si>
  <si>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</si>
  <si>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</si>
  <si>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</si>
  <si>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</si>
  <si>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</si>
  <si>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</si>
  <si>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</si>
  <si>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</si>
  <si>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</si>
  <si>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</si>
  <si>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</si>
  <si>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</si>
  <si>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</si>
  <si>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</si>
  <si>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</si>
  <si>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</si>
  <si>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</si>
  <si>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</si>
  <si>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</si>
  <si>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</si>
  <si>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</si>
  <si>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</si>
  <si>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</si>
  <si>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</si>
  <si>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</si>
  <si>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</si>
  <si>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</si>
  <si>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</si>
  <si>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</si>
  <si>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</si>
  <si>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</si>
  <si>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</si>
  <si>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</si>
  <si>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</si>
  <si>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</si>
  <si>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</si>
  <si>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</si>
  <si>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</si>
  <si>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</si>
  <si>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</si>
  <si>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</si>
  <si>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</si>
  <si>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</si>
  <si>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</si>
  <si>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</si>
  <si>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</si>
  <si>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</si>
  <si>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</si>
  <si>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</si>
  <si>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</si>
  <si>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</si>
  <si>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</si>
  <si>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</si>
  <si>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</si>
  <si>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</si>
  <si>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</si>
  <si>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</si>
  <si>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</si>
  <si>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</si>
  <si>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</si>
  <si>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</si>
  <si>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</si>
  <si>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</si>
  <si>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</si>
  <si>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</si>
  <si>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</si>
  <si>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</si>
  <si>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</si>
  <si>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</si>
  <si>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</si>
  <si>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</si>
  <si>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</si>
  <si>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</si>
  <si>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</si>
  <si>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</si>
  <si>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</si>
  <si>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</si>
  <si>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</si>
  <si>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</si>
  <si>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</si>
  <si>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</si>
  <si>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</si>
  <si>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</si>
  <si>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</si>
  <si>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</si>
  <si>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</si>
  <si>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</si>
  <si>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City of Lake Forest</t>
  </si>
  <si>
    <t>Debra D. Rose</t>
  </si>
  <si>
    <t>100 Civic Center Drive</t>
  </si>
  <si>
    <t>Lake Forest</t>
  </si>
  <si>
    <t>drose@lakeforestca.gov</t>
  </si>
  <si>
    <t>CDLAC-TCAC Joint Application (submitting concurrently)</t>
  </si>
  <si>
    <t>40%/60% Average Income</t>
  </si>
  <si>
    <t>C&amp;C Development Co., LLC</t>
  </si>
  <si>
    <t>14211 Yorba Street, Suite 200</t>
  </si>
  <si>
    <t>Tustin</t>
  </si>
  <si>
    <t>CA</t>
  </si>
  <si>
    <t>Todd Cottle</t>
  </si>
  <si>
    <t>todd@c-cdev.com</t>
  </si>
  <si>
    <t>Units with communication features</t>
  </si>
  <si>
    <t>76 Spaces Provided</t>
  </si>
  <si>
    <t>Bank of America</t>
  </si>
  <si>
    <t>333 S. Hope St.</t>
  </si>
  <si>
    <t>Los Angeles, CA 90071</t>
  </si>
  <si>
    <t>Maria Joyce Maynard</t>
  </si>
  <si>
    <t>Construction Loan</t>
  </si>
  <si>
    <t>BSBY</t>
  </si>
  <si>
    <t>20621 Lake Forest Drive</t>
  </si>
  <si>
    <t>612-221-01</t>
  </si>
  <si>
    <t>Applicant</t>
  </si>
  <si>
    <t>Tustin, CA 92780</t>
  </si>
  <si>
    <t>Bassenian/Lagoni</t>
  </si>
  <si>
    <t>Mark Kiner</t>
  </si>
  <si>
    <t>2031 Orchard Drive, Suite 100</t>
  </si>
  <si>
    <t>Newport Beach, CA 92660</t>
  </si>
  <si>
    <t>mkiner@bassenianlagoni.com</t>
  </si>
  <si>
    <t>TBD</t>
  </si>
  <si>
    <t>Goldfarb &amp; Lipman</t>
  </si>
  <si>
    <t>1300 Clay Street, 11th Floor</t>
  </si>
  <si>
    <t>Oakland, CA 94612</t>
  </si>
  <si>
    <t>Lynn Hutchins</t>
  </si>
  <si>
    <t>lhutchins@goldfarblipman.com</t>
  </si>
  <si>
    <t>Amy DeVaudreuil</t>
  </si>
  <si>
    <t>adevaudreuil@goldfarblipman.com</t>
  </si>
  <si>
    <t>Keller and Associates</t>
  </si>
  <si>
    <t>18645 Sherman Way, Suite 110</t>
  </si>
  <si>
    <t>Reseda, CA 91335</t>
  </si>
  <si>
    <t>David Keller</t>
  </si>
  <si>
    <t>david.keller67@yahoo.com</t>
  </si>
  <si>
    <t>National Equity Fund Inc.</t>
  </si>
  <si>
    <t>500 S. Grand Avenue, Suite 2300</t>
  </si>
  <si>
    <t>Todd Fabian</t>
  </si>
  <si>
    <t>tfabian@nefinc.org</t>
  </si>
  <si>
    <t>Kinetic Valuation</t>
  </si>
  <si>
    <t>11060 Oak Street Suite 6</t>
  </si>
  <si>
    <t>Omaha, NE 68144</t>
  </si>
  <si>
    <t>Amanda Baker</t>
  </si>
  <si>
    <t>amanda@kvgteam.com</t>
  </si>
  <si>
    <t>CSCDA</t>
  </si>
  <si>
    <t>Advanced Property Services Management, Inc.</t>
  </si>
  <si>
    <t>Barry Cottle</t>
  </si>
  <si>
    <t>barry@c-cdev.com</t>
  </si>
  <si>
    <t>1700 North Broadway, Suite 405</t>
  </si>
  <si>
    <t>Walnut Creek, CA 94596</t>
  </si>
  <si>
    <t>James Hamill</t>
  </si>
  <si>
    <t>jhamill@cscda.org</t>
  </si>
  <si>
    <t>Variable</t>
  </si>
  <si>
    <t>Master Developer Transfer</t>
  </si>
  <si>
    <t>General Partner Equity</t>
  </si>
  <si>
    <t>Limited Partner Equity</t>
  </si>
  <si>
    <t>Other Costs Deferred Until Completion</t>
  </si>
  <si>
    <t>725 West Town and Country Road, Suite 200</t>
  </si>
  <si>
    <t>Ilan Feingold</t>
  </si>
  <si>
    <t>Donation</t>
  </si>
  <si>
    <t>GP Equity</t>
  </si>
  <si>
    <t>Investor Equity</t>
  </si>
  <si>
    <t>BofA Tax-Exempt Perm Loan</t>
  </si>
  <si>
    <t>Permanent Loan</t>
  </si>
  <si>
    <t>Residual Receipts</t>
  </si>
  <si>
    <t>Orange County Housing Authority</t>
  </si>
  <si>
    <t>Office, Phone, Misc.</t>
  </si>
  <si>
    <t>Payroll Taxes/Benefits</t>
  </si>
  <si>
    <t>Supplies and Fire Safety/Alarm</t>
  </si>
  <si>
    <t>Business Tax</t>
  </si>
  <si>
    <t>Storm Drain Maintenance</t>
  </si>
  <si>
    <t>The Meadows Seniors Apartments</t>
  </si>
  <si>
    <t>Managing GP</t>
  </si>
  <si>
    <t>Administrative GP</t>
  </si>
  <si>
    <t>Toll Brothers West Inc.</t>
  </si>
  <si>
    <t>Division Vice President</t>
  </si>
  <si>
    <t>725 West Town and Country Road, Suite 200, Orange, CA 92868</t>
  </si>
  <si>
    <t>Secured by Fee Interest</t>
  </si>
  <si>
    <t>Toll Brothers Inc.</t>
  </si>
  <si>
    <t>Lender Inspection Fees</t>
  </si>
  <si>
    <t>Permanent Lender Fees</t>
  </si>
  <si>
    <t>Borrower's Legal Fees</t>
  </si>
  <si>
    <t>Lender Fees</t>
  </si>
  <si>
    <t>Orange County Housing Finance Trust</t>
  </si>
  <si>
    <t>Adam Eliason</t>
  </si>
  <si>
    <t>1 League #62335</t>
  </si>
  <si>
    <t>Irvine</t>
  </si>
  <si>
    <t>Orange County Housing Trust Fund</t>
  </si>
  <si>
    <t>Master Developer Contribution</t>
  </si>
  <si>
    <t>Meadows Seniors LP (to be formed)</t>
  </si>
  <si>
    <t>Meadows CCR LLC (to be formed)</t>
  </si>
  <si>
    <t>Senior Affordable Housing in the Nakase Property Area Plan</t>
  </si>
  <si>
    <t>4 Stories</t>
  </si>
  <si>
    <t>1.16 Spaces per unit (76 spaces)</t>
  </si>
  <si>
    <t>Please refer to the NOTES tab</t>
  </si>
  <si>
    <t>Expected</t>
  </si>
  <si>
    <t>Purchase</t>
  </si>
  <si>
    <t>SOFT</t>
  </si>
  <si>
    <t>Seller /</t>
  </si>
  <si>
    <t xml:space="preserve">Date of </t>
  </si>
  <si>
    <t>Escrow</t>
  </si>
  <si>
    <t>Purchased</t>
  </si>
  <si>
    <t>Real</t>
  </si>
  <si>
    <t>Historical</t>
  </si>
  <si>
    <t>Holding</t>
  </si>
  <si>
    <t>Projected</t>
  </si>
  <si>
    <t>Price</t>
  </si>
  <si>
    <t xml:space="preserve">Perm. </t>
  </si>
  <si>
    <t>Owner</t>
  </si>
  <si>
    <t>Signatory of</t>
  </si>
  <si>
    <t>Expiration</t>
  </si>
  <si>
    <t>Closing</t>
  </si>
  <si>
    <t>from</t>
  </si>
  <si>
    <t>Estate</t>
  </si>
  <si>
    <t>Property</t>
  </si>
  <si>
    <t>Costs per</t>
  </si>
  <si>
    <t>Over</t>
  </si>
  <si>
    <t>Financing</t>
  </si>
  <si>
    <t>Name of Seller / Owner</t>
  </si>
  <si>
    <t>Principal</t>
  </si>
  <si>
    <t>Title</t>
  </si>
  <si>
    <t>Seller</t>
  </si>
  <si>
    <t>Seller / Owner Address</t>
  </si>
  <si>
    <t>Phone</t>
  </si>
  <si>
    <t>Contract / Option</t>
  </si>
  <si>
    <t>Date of Option</t>
  </si>
  <si>
    <t>Affiliate</t>
  </si>
  <si>
    <t>Tax Rate</t>
  </si>
  <si>
    <t>Site</t>
  </si>
  <si>
    <t>Costs</t>
  </si>
  <si>
    <t>Appraisal</t>
  </si>
  <si>
    <t>DRP CA 5 LLC*</t>
  </si>
  <si>
    <t>(714) 347-1313</t>
  </si>
  <si>
    <t>84 hours/yr</t>
  </si>
  <si>
    <t>LifeSTEPS</t>
  </si>
  <si>
    <t>MOU</t>
  </si>
  <si>
    <t>60 hours/yr</t>
  </si>
  <si>
    <t>Petty Cash - Supplies</t>
  </si>
  <si>
    <t>*Property Owner - The property is owned by DRP cA 5 LLC (See Attachment 1B1b, the Grant Deed) which is an affiliate of Toll West Inc. (Toll West Inc. is also referred to and does business as Toll Brothers West Inc.). Toll west Inc. has has a recorded Option Agreement (Item 44 of the Preliminary Title Report,</t>
  </si>
  <si>
    <t xml:space="preserve">  attachment 1-B1c, and Attachment 1-B1d) to purchase the entire master planned community from DRP CA 5 LLC. The Option Agreement gives Toll West Inc. the right to donate the land to the Developer. Toll West Inc.'s Option Agreement is valid through August 5, 2024.</t>
  </si>
  <si>
    <t xml:space="preserve">  Agreement is valid through the award of a Tax Credit and Tax Exempt Bond allocation.  Please see Attachment 1-B1a.</t>
  </si>
  <si>
    <t>**</t>
  </si>
  <si>
    <t>***Estimated construction / acquisition close.</t>
  </si>
  <si>
    <t>5/27/2022***</t>
  </si>
  <si>
    <t>$2,760,000****</t>
  </si>
  <si>
    <t>**The Donation Agreement is valid through the application filing deadline and all other conditions necessary to keep the agreement valid have been met. Please see Attachment 1-B1a.</t>
  </si>
  <si>
    <t xml:space="preserve">  Site Control Description - This affordable development is an inclustionary housing project. The Applicant has a Donation Agreement with the owner/master developer (Toll West Inc.) to donate the 2.63 acre site to the Applicant. This document serves as the site control document for the property. The Donation </t>
  </si>
  <si>
    <t>Air Conditioner</t>
  </si>
  <si>
    <t>One or Two Story Garden</t>
  </si>
  <si>
    <t>Orange County Housign Finance Trust</t>
  </si>
  <si>
    <t xml:space="preserve">****The Meadows' site size is 2.63 acres. The property has been appraised at fair market value for $2,760,000. The appraisal effective date is May 31, 2021, which is within 120 days of the exectuted Donation Agreement. Please see the appraisal in Attachment 8-D1 and the executed Donation Agreement.  </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</si>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</sst>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8"/>
      <color theme="1"/>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8">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4" fontId="170" fillId="0" borderId="0" applyFont="0" applyFill="0" applyBorder="0" applyAlignment="0" applyProtection="0"/>
    <xf numFmtId="43" fontId="170"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1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165" fontId="20" fillId="0" borderId="0" xfId="271" applyNumberFormat="1" applyFont="1" applyBorder="1" applyAlignment="1" applyProtection="1">
      <alignment horizontal="center"/>
    </xf>
    <xf numFmtId="0" fontId="20" fillId="0" borderId="0" xfId="271" applyFont="1" applyBorder="1" applyAlignment="1" applyProtection="1">
      <alignment horizontal="center"/>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3" fillId="0" borderId="0" xfId="0" applyFont="1" applyFill="1" applyProtection="1">
      <protection locked="0"/>
    </xf>
    <xf numFmtId="0" fontId="115" fillId="0" borderId="0" xfId="0" applyFont="1" applyBorder="1" applyProtection="1"/>
    <xf numFmtId="0" fontId="102" fillId="0" borderId="0" xfId="0" applyFont="1" applyBorder="1" applyAlignment="1" applyProtection="1">
      <alignment horizontal="right"/>
    </xf>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49" fontId="133" fillId="0" borderId="0" xfId="570" applyNumberFormat="1" applyFont="1" applyFill="1" applyBorder="1" applyAlignment="1" applyProtection="1">
      <alignment vertical="center"/>
    </xf>
    <xf numFmtId="0" fontId="18" fillId="0" borderId="0" xfId="570" applyFont="1" applyBorder="1"/>
    <xf numFmtId="0" fontId="18" fillId="0" borderId="0" xfId="570" applyFont="1" applyFill="1" applyBorder="1"/>
    <xf numFmtId="0" fontId="18" fillId="0" borderId="0" xfId="570" applyFont="1" applyBorder="1" applyAlignment="1">
      <alignment horizontal="left" vertical="center" wrapText="1"/>
    </xf>
    <xf numFmtId="0" fontId="18" fillId="0" borderId="0" xfId="570" applyFont="1" applyBorder="1" applyAlignment="1">
      <alignment horizontal="left" vertical="center"/>
    </xf>
    <xf numFmtId="1" fontId="18" fillId="0" borderId="6" xfId="570" applyNumberFormat="1" applyFont="1" applyFill="1" applyBorder="1" applyAlignment="1">
      <alignment horizontal="left" vertical="center" wrapText="1"/>
    </xf>
    <xf numFmtId="0" fontId="18" fillId="0" borderId="6" xfId="570" applyFont="1" applyFill="1" applyBorder="1" applyAlignment="1" applyProtection="1">
      <alignment horizontal="left" vertical="center" wrapText="1"/>
    </xf>
    <xf numFmtId="0" fontId="18" fillId="5" borderId="6" xfId="570" applyFont="1" applyFill="1" applyBorder="1" applyAlignment="1" applyProtection="1">
      <alignment horizontal="left" vertical="center" wrapText="1"/>
      <protection locked="0"/>
    </xf>
    <xf numFmtId="0" fontId="18" fillId="0" borderId="0" xfId="570" applyFont="1" applyBorder="1" applyAlignment="1">
      <alignment horizontal="left"/>
    </xf>
    <xf numFmtId="0" fontId="18" fillId="0" borderId="0" xfId="570" applyFont="1" applyBorder="1" applyAlignment="1" applyProtection="1">
      <alignment horizontal="left"/>
    </xf>
    <xf numFmtId="0" fontId="18" fillId="0" borderId="6" xfId="570" applyFont="1" applyFill="1" applyBorder="1" applyAlignment="1" applyProtection="1">
      <alignment horizontal="left" wrapText="1"/>
    </xf>
    <xf numFmtId="0" fontId="18" fillId="0" borderId="6" xfId="570" applyFont="1" applyBorder="1"/>
    <xf numFmtId="0" fontId="20" fillId="43" borderId="8" xfId="570" applyFont="1" applyFill="1" applyBorder="1" applyAlignment="1"/>
    <xf numFmtId="0" fontId="13" fillId="43" borderId="0" xfId="570" applyFill="1" applyBorder="1" applyAlignment="1"/>
    <xf numFmtId="0" fontId="133" fillId="49" borderId="15" xfId="570" applyFont="1" applyFill="1" applyBorder="1" applyAlignment="1" applyProtection="1">
      <alignment horizontal="center" vertical="center" wrapText="1"/>
    </xf>
    <xf numFmtId="49" fontId="133" fillId="49" borderId="15" xfId="570" applyNumberFormat="1" applyFont="1" applyFill="1" applyBorder="1" applyAlignment="1" applyProtection="1">
      <alignment horizontal="center" vertical="center" wrapText="1"/>
    </xf>
    <xf numFmtId="49" fontId="18" fillId="0" borderId="8" xfId="570" applyNumberFormat="1" applyFont="1" applyBorder="1"/>
    <xf numFmtId="0" fontId="18" fillId="5" borderId="14" xfId="570" applyFont="1" applyFill="1" applyBorder="1" applyProtection="1">
      <protection locked="0"/>
    </xf>
    <xf numFmtId="168" fontId="18" fillId="5" borderId="14" xfId="570" applyNumberFormat="1" applyFont="1" applyFill="1" applyBorder="1" applyProtection="1">
      <protection locked="0"/>
    </xf>
    <xf numFmtId="49" fontId="18" fillId="5" borderId="14" xfId="570" applyNumberFormat="1" applyFont="1" applyFill="1" applyBorder="1" applyProtection="1">
      <protection locked="0"/>
    </xf>
    <xf numFmtId="3" fontId="18" fillId="5" borderId="14" xfId="570" applyNumberFormat="1" applyFont="1" applyFill="1" applyBorder="1" applyProtection="1">
      <protection locked="0"/>
    </xf>
    <xf numFmtId="0" fontId="18" fillId="0" borderId="12" xfId="570" applyFont="1" applyFill="1" applyBorder="1"/>
    <xf numFmtId="0" fontId="18" fillId="5" borderId="12" xfId="570" applyFont="1" applyFill="1" applyBorder="1" applyProtection="1">
      <protection locked="0"/>
    </xf>
    <xf numFmtId="49" fontId="18" fillId="0" borderId="9" xfId="570" applyNumberFormat="1" applyFont="1" applyBorder="1"/>
    <xf numFmtId="0" fontId="18" fillId="0" borderId="6" xfId="570" applyFont="1" applyFill="1" applyBorder="1"/>
    <xf numFmtId="0" fontId="18" fillId="0" borderId="10" xfId="570" applyFont="1" applyFill="1" applyBorder="1"/>
    <xf numFmtId="49" fontId="20" fillId="43" borderId="8" xfId="570" applyNumberFormat="1" applyFont="1" applyFill="1" applyBorder="1"/>
    <xf numFmtId="0" fontId="18" fillId="43" borderId="0" xfId="570" applyFont="1" applyFill="1" applyBorder="1"/>
    <xf numFmtId="0" fontId="18" fillId="49" borderId="14" xfId="570" applyFont="1" applyFill="1" applyBorder="1" applyProtection="1"/>
    <xf numFmtId="3" fontId="18" fillId="49" borderId="14" xfId="570" applyNumberFormat="1" applyFont="1" applyFill="1" applyBorder="1" applyProtection="1"/>
    <xf numFmtId="49" fontId="18" fillId="49" borderId="14" xfId="570" applyNumberFormat="1" applyFont="1" applyFill="1" applyBorder="1" applyProtection="1"/>
    <xf numFmtId="0" fontId="18" fillId="0" borderId="9" xfId="570" applyFont="1" applyBorder="1"/>
    <xf numFmtId="49" fontId="62" fillId="43" borderId="8" xfId="570" applyNumberFormat="1" applyFont="1" applyFill="1" applyBorder="1"/>
    <xf numFmtId="0" fontId="18" fillId="49" borderId="14" xfId="570" applyFont="1" applyFill="1" applyBorder="1" applyProtection="1">
      <protection locked="0"/>
    </xf>
    <xf numFmtId="3" fontId="18" fillId="49" borderId="14" xfId="570" applyNumberFormat="1" applyFont="1" applyFill="1" applyBorder="1" applyProtection="1">
      <protection locked="0"/>
    </xf>
    <xf numFmtId="49" fontId="18" fillId="49" borderId="14" xfId="570" applyNumberFormat="1" applyFont="1" applyFill="1" applyBorder="1" applyProtection="1">
      <protection locked="0"/>
    </xf>
    <xf numFmtId="0" fontId="18" fillId="5" borderId="6" xfId="570" applyFont="1" applyFill="1" applyBorder="1" applyProtection="1">
      <protection locked="0"/>
    </xf>
    <xf numFmtId="0" fontId="18" fillId="5" borderId="4" xfId="570" applyFont="1" applyFill="1" applyBorder="1" applyProtection="1">
      <protection locked="0"/>
    </xf>
    <xf numFmtId="0" fontId="18" fillId="0" borderId="13" xfId="570" applyFont="1" applyBorder="1"/>
    <xf numFmtId="49" fontId="62" fillId="0" borderId="3" xfId="570" applyNumberFormat="1" applyFont="1" applyBorder="1"/>
    <xf numFmtId="0" fontId="18" fillId="0" borderId="4" xfId="570" applyFont="1" applyBorder="1"/>
    <xf numFmtId="0" fontId="18" fillId="3" borderId="13" xfId="570" applyFont="1" applyFill="1" applyBorder="1"/>
    <xf numFmtId="168" fontId="18" fillId="0" borderId="11" xfId="570" applyNumberFormat="1" applyFont="1" applyBorder="1"/>
    <xf numFmtId="0" fontId="18" fillId="3" borderId="5" xfId="570" applyFont="1" applyFill="1" applyBorder="1"/>
    <xf numFmtId="0" fontId="143" fillId="0" borderId="0" xfId="570" applyFont="1" applyBorder="1"/>
    <xf numFmtId="0" fontId="143" fillId="0" borderId="0" xfId="570" applyFont="1" applyBorder="1" applyProtection="1">
      <protection locked="0"/>
    </xf>
    <xf numFmtId="0" fontId="18" fillId="0" borderId="0" xfId="570" applyFont="1" applyBorder="1" applyProtection="1">
      <protection locked="0"/>
    </xf>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45" fillId="0" borderId="50" xfId="1193" applyFont="1" applyBorder="1" applyAlignment="1" applyProtection="1">
      <alignment horizontal="left"/>
    </xf>
    <xf numFmtId="0" fontId="146" fillId="0" borderId="51" xfId="4496" applyFont="1" applyFill="1" applyBorder="1" applyAlignment="1" applyProtection="1">
      <alignment vertical="top"/>
    </xf>
    <xf numFmtId="0" fontId="145" fillId="0" borderId="51" xfId="4496" applyFont="1" applyFill="1" applyBorder="1" applyAlignment="1" applyProtection="1">
      <alignment vertical="top" wrapText="1"/>
    </xf>
    <xf numFmtId="0" fontId="146" fillId="0" borderId="51" xfId="4496" applyFont="1" applyBorder="1" applyProtection="1"/>
    <xf numFmtId="0" fontId="146" fillId="0" borderId="53" xfId="1193" applyFont="1" applyBorder="1" applyAlignment="1" applyProtection="1">
      <alignment horizontal="left"/>
    </xf>
    <xf numFmtId="0" fontId="146" fillId="0" borderId="0" xfId="4496" applyFont="1" applyFill="1" applyBorder="1" applyAlignment="1" applyProtection="1">
      <alignment vertical="top"/>
    </xf>
    <xf numFmtId="0" fontId="145" fillId="0" borderId="0" xfId="4496" applyFont="1" applyFill="1" applyBorder="1" applyAlignment="1" applyProtection="1">
      <alignment vertical="top" wrapText="1"/>
    </xf>
    <xf numFmtId="0" fontId="146" fillId="0" borderId="0" xfId="4496" applyFont="1" applyBorder="1" applyProtection="1"/>
    <xf numFmtId="0" fontId="145" fillId="0" borderId="53" xfId="1193" applyFont="1" applyBorder="1" applyAlignment="1" applyProtection="1">
      <alignment horizontal="left"/>
    </xf>
    <xf numFmtId="0" fontId="145" fillId="0" borderId="57" xfId="1193" applyFont="1" applyBorder="1" applyAlignment="1" applyProtection="1">
      <alignment horizontal="left"/>
    </xf>
    <xf numFmtId="0" fontId="146" fillId="0" borderId="58" xfId="4496" applyFont="1" applyFill="1" applyBorder="1" applyAlignment="1" applyProtection="1">
      <alignment vertical="top"/>
    </xf>
    <xf numFmtId="0" fontId="145" fillId="0" borderId="58" xfId="4496" applyFont="1" applyFill="1" applyBorder="1" applyAlignment="1" applyProtection="1">
      <alignment vertical="top" wrapText="1"/>
    </xf>
    <xf numFmtId="0" fontId="146"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6" fillId="0" borderId="0" xfId="4501"/>
    <xf numFmtId="0" fontId="100" fillId="0" borderId="0" xfId="4501" applyFont="1"/>
    <xf numFmtId="0" fontId="6" fillId="51" borderId="67" xfId="4501" applyFill="1" applyBorder="1"/>
    <xf numFmtId="0" fontId="6" fillId="51" borderId="0" xfId="4501" applyFill="1"/>
    <xf numFmtId="0" fontId="99" fillId="51" borderId="41" xfId="4501" applyFont="1" applyFill="1" applyBorder="1" applyAlignment="1">
      <alignment horizontal="center"/>
    </xf>
    <xf numFmtId="0" fontId="99" fillId="51" borderId="0" xfId="4501" applyFont="1" applyFill="1"/>
    <xf numFmtId="183" fontId="0" fillId="51" borderId="0" xfId="4502" applyNumberFormat="1" applyFont="1" applyFill="1" applyBorder="1" applyAlignment="1"/>
    <xf numFmtId="183" fontId="100" fillId="51" borderId="0" xfId="4502" applyNumberFormat="1" applyFont="1" applyFill="1" applyBorder="1" applyAlignment="1"/>
    <xf numFmtId="183" fontId="154" fillId="51" borderId="0" xfId="4502" applyNumberFormat="1" applyFont="1" applyFill="1" applyBorder="1" applyAlignment="1"/>
    <xf numFmtId="0" fontId="6" fillId="51" borderId="41" xfId="4501" applyFill="1" applyBorder="1"/>
    <xf numFmtId="0" fontId="100" fillId="51" borderId="0" xfId="4501" applyFont="1" applyFill="1"/>
    <xf numFmtId="0" fontId="160" fillId="51" borderId="0" xfId="4501" applyFont="1" applyFill="1"/>
    <xf numFmtId="0" fontId="99" fillId="51" borderId="41" xfId="4501" applyFont="1" applyFill="1" applyBorder="1"/>
    <xf numFmtId="0" fontId="99" fillId="0" borderId="0" xfId="4501" applyFont="1"/>
    <xf numFmtId="0" fontId="99" fillId="45" borderId="0" xfId="4501" applyFont="1" applyFill="1"/>
    <xf numFmtId="0" fontId="6" fillId="45" borderId="0" xfId="4501" applyFill="1"/>
    <xf numFmtId="0" fontId="162" fillId="51" borderId="0" xfId="4501" applyFont="1" applyFill="1"/>
    <xf numFmtId="0" fontId="6" fillId="50" borderId="66" xfId="4501" applyFill="1" applyBorder="1"/>
    <xf numFmtId="0" fontId="6" fillId="50" borderId="29" xfId="4501" applyFill="1" applyBorder="1"/>
    <xf numFmtId="0" fontId="6" fillId="50" borderId="31" xfId="4501" applyFill="1" applyBorder="1"/>
    <xf numFmtId="0" fontId="6" fillId="50" borderId="67" xfId="4501" applyFill="1" applyBorder="1"/>
    <xf numFmtId="0" fontId="6" fillId="50" borderId="0" xfId="4501" applyFill="1" applyBorder="1"/>
    <xf numFmtId="0" fontId="6" fillId="50" borderId="41" xfId="4501" applyFill="1" applyBorder="1"/>
    <xf numFmtId="0" fontId="6" fillId="50" borderId="88" xfId="4501" applyFill="1" applyBorder="1"/>
    <xf numFmtId="0" fontId="6" fillId="50" borderId="42" xfId="4501" applyFill="1" applyBorder="1"/>
    <xf numFmtId="0" fontId="6" fillId="50" borderId="44" xfId="4501" applyFill="1" applyBorder="1"/>
    <xf numFmtId="0" fontId="150" fillId="45" borderId="0" xfId="4501" applyFont="1" applyFill="1" applyAlignment="1">
      <alignment horizontal="left"/>
    </xf>
    <xf numFmtId="0" fontId="151" fillId="50" borderId="4" xfId="4501" applyFont="1" applyFill="1" applyBorder="1" applyAlignment="1">
      <alignment horizontal="center"/>
    </xf>
    <xf numFmtId="0" fontId="151" fillId="50" borderId="81" xfId="4501" applyFont="1" applyFill="1" applyBorder="1" applyAlignment="1">
      <alignment horizontal="center"/>
    </xf>
    <xf numFmtId="0" fontId="6" fillId="51" borderId="0" xfId="4501" applyFill="1" applyBorder="1"/>
    <xf numFmtId="0" fontId="99" fillId="51" borderId="67" xfId="4501" applyFont="1" applyFill="1" applyBorder="1"/>
    <xf numFmtId="49" fontId="99" fillId="51" borderId="67" xfId="4501" applyNumberFormat="1" applyFont="1" applyFill="1" applyBorder="1" applyAlignment="1">
      <alignment horizontal="right" vertical="top"/>
    </xf>
    <xf numFmtId="0" fontId="99" fillId="51" borderId="0" xfId="4501" applyFont="1" applyFill="1" applyBorder="1"/>
    <xf numFmtId="0" fontId="6" fillId="51" borderId="0" xfId="4501" applyFill="1" applyBorder="1" applyAlignment="1">
      <alignment vertical="top" wrapText="1"/>
    </xf>
    <xf numFmtId="0" fontId="6" fillId="51" borderId="88" xfId="4501" applyFill="1" applyBorder="1"/>
    <xf numFmtId="0" fontId="6" fillId="51" borderId="42" xfId="4501" applyFill="1" applyBorder="1"/>
    <xf numFmtId="0" fontId="6" fillId="51" borderId="44" xfId="4501" applyFill="1" applyBorder="1"/>
    <xf numFmtId="0" fontId="6" fillId="45" borderId="67" xfId="4501" applyFill="1" applyBorder="1"/>
    <xf numFmtId="0" fontId="6" fillId="45" borderId="0" xfId="4501" applyFill="1" applyBorder="1"/>
    <xf numFmtId="0" fontId="6" fillId="45" borderId="41" xfId="4501" applyFill="1" applyBorder="1"/>
    <xf numFmtId="0" fontId="6" fillId="45" borderId="0" xfId="4501" applyFill="1" applyBorder="1" applyAlignment="1">
      <alignment horizontal="left"/>
    </xf>
    <xf numFmtId="0" fontId="6" fillId="45" borderId="88" xfId="4501" applyFill="1" applyBorder="1"/>
    <xf numFmtId="0" fontId="6" fillId="45" borderId="42" xfId="4501" applyFill="1" applyBorder="1"/>
    <xf numFmtId="0" fontId="6" fillId="45" borderId="44" xfId="4501" applyFill="1" applyBorder="1"/>
    <xf numFmtId="0" fontId="167" fillId="0" borderId="0" xfId="4501" applyFont="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8"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8"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0" fontId="5" fillId="0" borderId="0" xfId="4501" applyFont="1"/>
    <xf numFmtId="0" fontId="5" fillId="51" borderId="0" xfId="4501" applyFont="1" applyFill="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6" applyFont="1" applyAlignment="1" applyProtection="1">
      <alignment horizontal="center"/>
    </xf>
    <xf numFmtId="43" fontId="13" fillId="0" borderId="0" xfId="4506" applyFont="1" applyAlignment="1" applyProtection="1">
      <alignment horizontal="center"/>
    </xf>
    <xf numFmtId="43" fontId="13" fillId="0" borderId="0" xfId="4506" applyFont="1" applyProtection="1"/>
    <xf numFmtId="0" fontId="20" fillId="0" borderId="0" xfId="0" applyFont="1" applyAlignment="1">
      <alignment vertical="top"/>
    </xf>
    <xf numFmtId="0" fontId="20" fillId="0" borderId="0" xfId="570" applyFont="1" applyAlignment="1" applyProtection="1">
      <alignment horizontal="lef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6" fillId="51" borderId="67" xfId="4501" applyFill="1" applyBorder="1" applyProtection="1"/>
    <xf numFmtId="0" fontId="6" fillId="51" borderId="0" xfId="4501" applyFill="1" applyProtection="1"/>
    <xf numFmtId="0" fontId="99" fillId="51" borderId="0" xfId="4501" applyFont="1" applyFill="1" applyProtection="1"/>
    <xf numFmtId="0" fontId="6" fillId="0" borderId="0" xfId="4501" applyProtection="1"/>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6"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50" fillId="5" borderId="11" xfId="0" applyFont="1" applyFill="1" applyBorder="1" applyAlignment="1" applyProtection="1">
      <alignment horizontal="right" vertical="top" wrapText="1"/>
      <protection locked="0"/>
    </xf>
    <xf numFmtId="0" fontId="2" fillId="0" borderId="0" xfId="17147"/>
    <xf numFmtId="0" fontId="20" fillId="0" borderId="0" xfId="17147" applyFont="1" applyAlignment="1">
      <alignment horizontal="center"/>
    </xf>
    <xf numFmtId="0" fontId="20" fillId="0" borderId="0" xfId="17147" applyFont="1"/>
    <xf numFmtId="0" fontId="20" fillId="0" borderId="6" xfId="17147" applyFont="1" applyBorder="1"/>
    <xf numFmtId="0" fontId="20" fillId="0" borderId="6" xfId="17147" applyFont="1" applyBorder="1" applyAlignment="1">
      <alignment horizontal="center"/>
    </xf>
    <xf numFmtId="0" fontId="20" fillId="0" borderId="6" xfId="17147" quotePrefix="1" applyFont="1" applyBorder="1" applyAlignment="1">
      <alignment horizontal="center"/>
    </xf>
    <xf numFmtId="0" fontId="13" fillId="0" borderId="0" xfId="17147" applyFont="1"/>
    <xf numFmtId="0" fontId="13" fillId="0" borderId="0" xfId="17147" applyFont="1" applyAlignment="1">
      <alignment horizontal="center"/>
    </xf>
    <xf numFmtId="14" fontId="13" fillId="0" borderId="0" xfId="17147" applyNumberFormat="1" applyFont="1" applyAlignment="1">
      <alignment horizontal="center"/>
    </xf>
    <xf numFmtId="6" fontId="2" fillId="0" borderId="0" xfId="17147" applyNumberFormat="1"/>
    <xf numFmtId="0" fontId="0" fillId="0" borderId="0" xfId="0" applyAlignment="1">
      <alignment horizontal="center"/>
    </xf>
    <xf numFmtId="10" fontId="13" fillId="0" borderId="0" xfId="17147" applyNumberFormat="1" applyFont="1" applyFill="1" applyAlignment="1">
      <alignment horizontal="center"/>
    </xf>
    <xf numFmtId="14" fontId="172" fillId="0" borderId="0" xfId="17147" applyNumberFormat="1" applyFont="1" applyFill="1" applyAlignment="1">
      <alignment horizontal="center"/>
    </xf>
    <xf numFmtId="6" fontId="1" fillId="0" borderId="0" xfId="17147" applyNumberFormat="1" applyFont="1"/>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0" fontId="13" fillId="0" borderId="0" xfId="0" applyFont="1" applyFill="1" applyBorder="1" applyAlignment="1">
      <alignment horizontal="left" vertical="center" wrapText="1"/>
    </xf>
    <xf numFmtId="0" fontId="20" fillId="0" borderId="4" xfId="0" applyFont="1" applyFill="1" applyBorder="1" applyAlignment="1" applyProtection="1">
      <alignment horizontal="left"/>
    </xf>
    <xf numFmtId="0" fontId="13" fillId="0" borderId="0" xfId="0" applyFont="1" applyFill="1" applyBorder="1" applyAlignment="1">
      <alignment horizontal="left" wrapText="1"/>
    </xf>
    <xf numFmtId="0" fontId="20" fillId="0" borderId="0" xfId="0" applyFont="1" applyAlignment="1">
      <alignment horizontal="left" vertical="top"/>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4" fontId="13" fillId="0" borderId="0" xfId="0" applyNumberFormat="1" applyFont="1" applyAlignment="1" applyProtection="1">
      <alignment horizontal="left"/>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49" fontId="20" fillId="0" borderId="0" xfId="0" applyNumberFormat="1" applyFont="1" applyAlignment="1">
      <alignment horizontal="left"/>
    </xf>
    <xf numFmtId="0" fontId="31" fillId="0" borderId="0" xfId="1193" applyFont="1" applyFill="1" applyAlignment="1">
      <alignment horizontal="left" vertical="top" wrapText="1"/>
    </xf>
    <xf numFmtId="49" fontId="20" fillId="0" borderId="0" xfId="0" applyNumberFormat="1" applyFont="1" applyAlignment="1">
      <alignment horizontal="left" vertical="top"/>
    </xf>
    <xf numFmtId="49" fontId="13" fillId="0" borderId="0" xfId="0" applyNumberFormat="1" applyFont="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0" applyFont="1" applyBorder="1" applyAlignment="1">
      <alignment horizontal="left" vertical="top"/>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20" fillId="0" borderId="0" xfId="570" applyFont="1" applyAlignment="1">
      <alignment horizontal="left"/>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31" fillId="0" borderId="0" xfId="570" applyFont="1" applyAlignment="1" applyProtection="1">
      <alignment horizontal="left"/>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20" fillId="0" borderId="0" xfId="570" applyFont="1" applyAlignment="1">
      <alignment horizontal="left" vertical="top" wrapText="1"/>
    </xf>
    <xf numFmtId="4" fontId="13" fillId="0" borderId="0" xfId="570" applyNumberFormat="1" applyFont="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22"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2"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3" fillId="0" borderId="11"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2" fillId="5" borderId="5" xfId="0" applyFont="1" applyFill="1" applyBorder="1" applyAlignment="1" applyProtection="1">
      <alignment horizontal="left"/>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0" borderId="11" xfId="543" applyNumberFormat="1"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2" fillId="5" borderId="3" xfId="0" applyFont="1" applyFill="1" applyBorder="1" applyAlignment="1" applyProtection="1">
      <alignment horizontal="lef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22" fillId="0" borderId="3" xfId="0" applyFont="1" applyBorder="1" applyAlignment="1" applyProtection="1">
      <alignment horizontal="left"/>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3"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0" borderId="0" xfId="543" applyFont="1" applyBorder="1" applyAlignment="1" applyProtection="1">
      <alignment horizontal="center"/>
    </xf>
    <xf numFmtId="0" fontId="13" fillId="0" borderId="0" xfId="543" applyFont="1" applyFill="1" applyAlignment="1" applyProtection="1">
      <alignment horizontal="center"/>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1" fontId="13" fillId="44" borderId="4" xfId="0" applyNumberFormat="1" applyFont="1" applyFill="1" applyBorder="1" applyAlignment="1" applyProtection="1">
      <alignment horizontal="center"/>
      <protection locked="0"/>
    </xf>
    <xf numFmtId="166" fontId="22" fillId="5" borderId="6" xfId="0" applyNumberFormat="1"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22" fillId="5" borderId="6" xfId="0" applyFon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20" fillId="0" borderId="17" xfId="0" applyFont="1" applyFill="1" applyBorder="1" applyAlignment="1" applyProtection="1">
      <alignment horizontal="center"/>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11" xfId="0" applyFon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3" fillId="0" borderId="1" xfId="0" applyFont="1" applyFill="1" applyBorder="1" applyAlignment="1" applyProtection="1">
      <alignment horizontal="center" vertical="top" wrapText="1"/>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14" fontId="0" fillId="5" borderId="11"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2" fillId="5" borderId="3" xfId="0" applyNumberFormat="1" applyFont="1" applyFill="1" applyBorder="1" applyAlignment="1" applyProtection="1">
      <alignment horizontal="right" vertical="top"/>
      <protection locked="0"/>
    </xf>
    <xf numFmtId="0" fontId="20"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0" fontId="13" fillId="0" borderId="6" xfId="0" applyFont="1" applyFill="1" applyBorder="1" applyAlignment="1" applyProtection="1">
      <alignment horizontal="center"/>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0" fontId="13" fillId="5" borderId="0" xfId="244" applyFont="1" applyFill="1" applyBorder="1" applyAlignment="1" applyProtection="1">
      <alignment horizontal="left"/>
      <protection locked="0"/>
    </xf>
    <xf numFmtId="166" fontId="22" fillId="5" borderId="4" xfId="271" applyNumberFormat="1" applyFont="1" applyFill="1" applyBorder="1" applyAlignment="1" applyProtection="1">
      <alignment horizontal="left"/>
      <protection locked="0"/>
    </xf>
    <xf numFmtId="0" fontId="22" fillId="0" borderId="6" xfId="0" applyFont="1" applyBorder="1" applyAlignment="1" applyProtection="1">
      <alignment horizontal="left"/>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166" fontId="13" fillId="5" borderId="6" xfId="0" applyNumberFormat="1" applyFont="1" applyFill="1" applyBorder="1" applyAlignment="1" applyProtection="1">
      <alignment horizontal="left"/>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0" fillId="0" borderId="5" xfId="0" applyBorder="1" applyAlignment="1" applyProtection="1">
      <alignment horizontal="left"/>
    </xf>
    <xf numFmtId="0" fontId="20"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3"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175" fontId="0" fillId="5" borderId="4" xfId="0" applyNumberFormat="1" applyFill="1" applyBorder="1" applyAlignment="1" applyProtection="1">
      <alignment horizontal="center"/>
      <protection locked="0"/>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Font="1" applyBorder="1" applyAlignment="1" applyProtection="1">
      <alignment horizontal="left"/>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32" fillId="5" borderId="6" xfId="0" applyFont="1" applyFill="1" applyBorder="1" applyAlignment="1" applyProtection="1">
      <alignment horizontal="left"/>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4504" applyFont="1" applyFill="1" applyBorder="1" applyAlignment="1">
      <alignment horizontal="left" vertical="top"/>
    </xf>
    <xf numFmtId="0" fontId="6" fillId="48" borderId="68" xfId="4501" applyFill="1" applyBorder="1" applyAlignment="1" applyProtection="1">
      <alignment horizontal="center"/>
      <protection locked="0"/>
    </xf>
    <xf numFmtId="0" fontId="6" fillId="48" borderId="69" xfId="4501" applyFill="1" applyBorder="1" applyAlignment="1" applyProtection="1">
      <alignment horizontal="center"/>
      <protection locked="0"/>
    </xf>
    <xf numFmtId="0" fontId="6" fillId="48" borderId="70" xfId="4501" applyFill="1" applyBorder="1" applyAlignment="1" applyProtection="1">
      <alignment horizontal="center"/>
      <protection locked="0"/>
    </xf>
    <xf numFmtId="0" fontId="99" fillId="45" borderId="0" xfId="4501" applyFont="1" applyFill="1" applyBorder="1" applyAlignment="1">
      <alignment horizontal="left"/>
    </xf>
    <xf numFmtId="0" fontId="20" fillId="45" borderId="0" xfId="4501" applyFont="1" applyFill="1" applyBorder="1" applyAlignment="1">
      <alignment horizontal="left" vertical="top"/>
    </xf>
    <xf numFmtId="0" fontId="99" fillId="51" borderId="67" xfId="4501" applyFont="1" applyFill="1" applyBorder="1" applyAlignment="1">
      <alignment horizontal="center"/>
    </xf>
    <xf numFmtId="0" fontId="99" fillId="51" borderId="0" xfId="4501" applyFont="1" applyFill="1" applyBorder="1" applyAlignment="1">
      <alignment horizontal="center"/>
    </xf>
    <xf numFmtId="0" fontId="99" fillId="51" borderId="41" xfId="4501" applyFont="1" applyFill="1" applyBorder="1" applyAlignment="1">
      <alignment horizontal="center"/>
    </xf>
    <xf numFmtId="0" fontId="99" fillId="51" borderId="0" xfId="4501" applyFont="1" applyFill="1" applyBorder="1" applyAlignment="1">
      <alignment horizontal="left"/>
    </xf>
    <xf numFmtId="0" fontId="99" fillId="51" borderId="0" xfId="4501" applyFont="1" applyFill="1" applyBorder="1" applyAlignment="1">
      <alignment horizontal="left" vertical="top" wrapText="1"/>
    </xf>
    <xf numFmtId="0" fontId="99" fillId="51" borderId="42" xfId="4501" applyFont="1" applyFill="1" applyBorder="1" applyAlignment="1">
      <alignment horizontal="center"/>
    </xf>
    <xf numFmtId="0" fontId="99" fillId="45" borderId="74" xfId="4501" applyFont="1" applyFill="1" applyBorder="1" applyAlignment="1">
      <alignment horizontal="center"/>
    </xf>
    <xf numFmtId="0" fontId="99" fillId="45" borderId="75" xfId="4501" applyFont="1" applyFill="1" applyBorder="1" applyAlignment="1">
      <alignment horizontal="center"/>
    </xf>
    <xf numFmtId="44" fontId="155" fillId="45" borderId="75" xfId="4502" applyFont="1" applyFill="1" applyBorder="1" applyAlignment="1">
      <alignment horizontal="center"/>
    </xf>
    <xf numFmtId="44" fontId="155" fillId="45" borderId="95" xfId="4502" applyFont="1" applyFill="1" applyBorder="1" applyAlignment="1">
      <alignment horizontal="center"/>
    </xf>
    <xf numFmtId="0" fontId="61" fillId="51" borderId="66" xfId="4501" applyFont="1" applyFill="1" applyBorder="1" applyAlignment="1">
      <alignment horizontal="center"/>
    </xf>
    <xf numFmtId="0" fontId="61" fillId="51" borderId="29" xfId="4501" applyFont="1" applyFill="1" applyBorder="1" applyAlignment="1">
      <alignment horizontal="center"/>
    </xf>
    <xf numFmtId="0" fontId="61" fillId="51" borderId="31" xfId="4501" applyFont="1" applyFill="1" applyBorder="1" applyAlignment="1">
      <alignment horizontal="center"/>
    </xf>
    <xf numFmtId="0" fontId="6" fillId="51" borderId="67" xfId="4501" applyFill="1" applyBorder="1" applyAlignment="1">
      <alignment horizontal="center"/>
    </xf>
    <xf numFmtId="0" fontId="6" fillId="51" borderId="0" xfId="4501" applyFill="1" applyBorder="1" applyAlignment="1">
      <alignment horizontal="center"/>
    </xf>
    <xf numFmtId="0" fontId="6" fillId="51" borderId="41" xfId="4501" applyFill="1" applyBorder="1" applyAlignment="1">
      <alignment horizontal="center"/>
    </xf>
    <xf numFmtId="0" fontId="20" fillId="51" borderId="67" xfId="4501" applyFont="1" applyFill="1" applyBorder="1" applyAlignment="1">
      <alignment horizontal="center"/>
    </xf>
    <xf numFmtId="0" fontId="20" fillId="51" borderId="0" xfId="4501" applyFont="1" applyFill="1" applyBorder="1" applyAlignment="1">
      <alignment horizontal="center"/>
    </xf>
    <xf numFmtId="0" fontId="20" fillId="51" borderId="41" xfId="4501" applyFont="1" applyFill="1" applyBorder="1" applyAlignment="1">
      <alignment horizontal="center"/>
    </xf>
    <xf numFmtId="0" fontId="151" fillId="48" borderId="83" xfId="4501" applyFont="1" applyFill="1" applyBorder="1" applyAlignment="1" applyProtection="1">
      <alignment horizontal="center"/>
      <protection locked="0"/>
    </xf>
    <xf numFmtId="0" fontId="151" fillId="48" borderId="84" xfId="4501" applyFont="1" applyFill="1" applyBorder="1" applyAlignment="1" applyProtection="1">
      <alignment horizontal="center"/>
      <protection locked="0"/>
    </xf>
    <xf numFmtId="0" fontId="51" fillId="48" borderId="75" xfId="4501" applyFont="1" applyFill="1" applyBorder="1" applyAlignment="1" applyProtection="1">
      <alignment horizontal="center"/>
      <protection locked="0"/>
    </xf>
    <xf numFmtId="0" fontId="51" fillId="48" borderId="95" xfId="4501" applyFont="1" applyFill="1" applyBorder="1" applyAlignment="1" applyProtection="1">
      <alignment horizontal="center"/>
      <protection locked="0"/>
    </xf>
    <xf numFmtId="164" fontId="6" fillId="48" borderId="84" xfId="4501" applyNumberFormat="1" applyFill="1" applyBorder="1" applyAlignment="1" applyProtection="1">
      <alignment horizontal="center"/>
      <protection locked="0"/>
    </xf>
    <xf numFmtId="164" fontId="6" fillId="48" borderId="87" xfId="4501" applyNumberFormat="1" applyFill="1" applyBorder="1" applyAlignment="1" applyProtection="1">
      <alignment horizontal="center"/>
      <protection locked="0"/>
    </xf>
    <xf numFmtId="0" fontId="6" fillId="48" borderId="83" xfId="4501" applyFill="1" applyBorder="1" applyAlignment="1" applyProtection="1">
      <alignment horizontal="center"/>
      <protection locked="0"/>
    </xf>
    <xf numFmtId="0" fontId="6" fillId="48" borderId="84" xfId="4501" applyFill="1" applyBorder="1" applyAlignment="1" applyProtection="1">
      <alignment horizontal="center"/>
      <protection locked="0"/>
    </xf>
    <xf numFmtId="0" fontId="6" fillId="48" borderId="87" xfId="4501" applyFill="1" applyBorder="1" applyAlignment="1" applyProtection="1">
      <alignment horizontal="center"/>
      <protection locked="0"/>
    </xf>
    <xf numFmtId="0" fontId="166" fillId="0" borderId="67" xfId="4501" applyFont="1" applyBorder="1" applyAlignment="1">
      <alignment horizontal="center"/>
    </xf>
    <xf numFmtId="0" fontId="166" fillId="0" borderId="0" xfId="4501" applyFont="1" applyBorder="1" applyAlignment="1">
      <alignment horizontal="center"/>
    </xf>
    <xf numFmtId="0" fontId="166" fillId="0" borderId="12" xfId="4501" applyFont="1" applyBorder="1" applyAlignment="1">
      <alignment horizontal="center"/>
    </xf>
    <xf numFmtId="44" fontId="155" fillId="45" borderId="105" xfId="4505" applyFont="1" applyFill="1" applyBorder="1" applyAlignment="1">
      <alignment horizontal="center"/>
    </xf>
    <xf numFmtId="44" fontId="155" fillId="45" borderId="29" xfId="4505" applyFont="1" applyFill="1" applyBorder="1" applyAlignment="1">
      <alignment horizontal="center"/>
    </xf>
    <xf numFmtId="44" fontId="155" fillId="45" borderId="31" xfId="4505" applyFont="1" applyFill="1" applyBorder="1" applyAlignment="1">
      <alignment horizontal="center"/>
    </xf>
    <xf numFmtId="0" fontId="51" fillId="48" borderId="94" xfId="4501" applyFont="1" applyFill="1" applyBorder="1" applyAlignment="1" applyProtection="1">
      <alignment horizontal="center"/>
      <protection locked="0"/>
    </xf>
    <xf numFmtId="0" fontId="51" fillId="48" borderId="4" xfId="4501" applyFont="1" applyFill="1" applyBorder="1" applyAlignment="1" applyProtection="1">
      <alignment horizontal="center"/>
      <protection locked="0"/>
    </xf>
    <xf numFmtId="0" fontId="51" fillId="48" borderId="11" xfId="4501" applyFont="1" applyFill="1" applyBorder="1" applyAlignment="1" applyProtection="1">
      <alignment horizontal="center"/>
      <protection locked="0"/>
    </xf>
    <xf numFmtId="0" fontId="51" fillId="48" borderId="93" xfId="4501" applyFont="1" applyFill="1" applyBorder="1" applyAlignment="1" applyProtection="1">
      <alignment horizontal="center"/>
      <protection locked="0"/>
    </xf>
    <xf numFmtId="164" fontId="6" fillId="48" borderId="4" xfId="4501" applyNumberFormat="1" applyFill="1" applyBorder="1" applyAlignment="1" applyProtection="1">
      <alignment horizontal="center"/>
    </xf>
    <xf numFmtId="164" fontId="6" fillId="48" borderId="81" xfId="4501" applyNumberFormat="1" applyFill="1" applyBorder="1" applyAlignment="1" applyProtection="1">
      <alignment horizontal="center"/>
    </xf>
    <xf numFmtId="0" fontId="6" fillId="48" borderId="94" xfId="4501" applyFill="1" applyBorder="1" applyAlignment="1" applyProtection="1">
      <alignment horizontal="center"/>
      <protection locked="0"/>
    </xf>
    <xf numFmtId="0" fontId="6" fillId="48" borderId="4" xfId="4501" applyFill="1" applyBorder="1" applyAlignment="1" applyProtection="1">
      <alignment horizontal="center"/>
      <protection locked="0"/>
    </xf>
    <xf numFmtId="0" fontId="6" fillId="48" borderId="81" xfId="4501" applyFill="1" applyBorder="1" applyAlignment="1" applyProtection="1">
      <alignment horizontal="center"/>
      <protection locked="0"/>
    </xf>
    <xf numFmtId="0" fontId="151" fillId="48" borderId="94"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5" borderId="94" xfId="4501" applyFont="1" applyFill="1" applyBorder="1" applyAlignment="1">
      <alignment horizontal="center"/>
    </xf>
    <xf numFmtId="0" fontId="151" fillId="45" borderId="4" xfId="4501" applyFont="1" applyFill="1" applyBorder="1" applyAlignment="1">
      <alignment horizontal="center"/>
    </xf>
    <xf numFmtId="0" fontId="151" fillId="45" borderId="81" xfId="4501" applyFont="1" applyFill="1" applyBorder="1" applyAlignment="1">
      <alignment horizontal="center"/>
    </xf>
    <xf numFmtId="164" fontId="6" fillId="52" borderId="4" xfId="4501" applyNumberFormat="1" applyFill="1" applyBorder="1" applyAlignment="1">
      <alignment horizontal="center"/>
    </xf>
    <xf numFmtId="164" fontId="6" fillId="52" borderId="81" xfId="4501" applyNumberFormat="1" applyFill="1" applyBorder="1" applyAlignment="1">
      <alignment horizontal="center"/>
    </xf>
    <xf numFmtId="0" fontId="150" fillId="45" borderId="83" xfId="4501" applyFont="1" applyFill="1" applyBorder="1" applyAlignment="1">
      <alignment horizontal="center"/>
    </xf>
    <xf numFmtId="0" fontId="150" fillId="45" borderId="84" xfId="4501" applyFont="1" applyFill="1" applyBorder="1" applyAlignment="1">
      <alignment horizontal="center"/>
    </xf>
    <xf numFmtId="164" fontId="171" fillId="53" borderId="11" xfId="4502" applyNumberFormat="1" applyFont="1" applyFill="1" applyBorder="1" applyAlignment="1">
      <alignment horizontal="center"/>
    </xf>
    <xf numFmtId="44" fontId="171" fillId="53" borderId="11" xfId="4502" applyFont="1" applyFill="1" applyBorder="1" applyAlignment="1">
      <alignment horizontal="center"/>
    </xf>
    <xf numFmtId="0" fontId="99" fillId="0" borderId="94" xfId="4501" applyFont="1" applyBorder="1" applyAlignment="1">
      <alignment horizontal="center"/>
    </xf>
    <xf numFmtId="0" fontId="99" fillId="0" borderId="4" xfId="4501" applyFont="1" applyBorder="1" applyAlignment="1">
      <alignment horizontal="center"/>
    </xf>
    <xf numFmtId="0" fontId="99" fillId="0" borderId="81" xfId="4501" applyFont="1" applyBorder="1" applyAlignment="1">
      <alignment horizontal="center"/>
    </xf>
    <xf numFmtId="164" fontId="165" fillId="52" borderId="4" xfId="4501" applyNumberFormat="1" applyFont="1" applyFill="1" applyBorder="1" applyAlignment="1">
      <alignment horizontal="center"/>
    </xf>
    <xf numFmtId="164" fontId="165" fillId="52" borderId="81" xfId="4501" applyNumberFormat="1" applyFont="1" applyFill="1" applyBorder="1" applyAlignment="1">
      <alignment horizontal="center"/>
    </xf>
    <xf numFmtId="0" fontId="151" fillId="45" borderId="5" xfId="4501" applyFont="1" applyFill="1" applyBorder="1" applyAlignment="1">
      <alignment horizontal="center"/>
    </xf>
    <xf numFmtId="164" fontId="50" fillId="48" borderId="11" xfId="4502" applyNumberFormat="1" applyFont="1" applyFill="1" applyBorder="1" applyAlignment="1" applyProtection="1">
      <alignment horizontal="center"/>
      <protection locked="0"/>
    </xf>
    <xf numFmtId="44" fontId="50" fillId="48" borderId="11" xfId="4502" applyFont="1" applyFill="1" applyBorder="1" applyAlignment="1" applyProtection="1">
      <alignment horizontal="center"/>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81" xfId="4501" applyFont="1" applyFill="1" applyBorder="1" applyAlignment="1">
      <alignment horizontal="center"/>
    </xf>
    <xf numFmtId="164" fontId="165" fillId="48" borderId="4" xfId="4501" applyNumberFormat="1" applyFont="1" applyFill="1" applyBorder="1" applyAlignment="1" applyProtection="1">
      <alignment horizontal="center"/>
      <protection locked="0"/>
    </xf>
    <xf numFmtId="164" fontId="165" fillId="48" borderId="81" xfId="4501" applyNumberFormat="1" applyFont="1" applyFill="1" applyBorder="1" applyAlignment="1" applyProtection="1">
      <alignment horizontal="center"/>
      <protection locked="0"/>
    </xf>
    <xf numFmtId="0" fontId="151" fillId="50" borderId="94" xfId="4501" applyFont="1" applyFill="1" applyBorder="1" applyAlignment="1">
      <alignment horizontal="center"/>
    </xf>
    <xf numFmtId="0" fontId="151" fillId="50" borderId="4" xfId="4501" applyFont="1" applyFill="1" applyBorder="1" applyAlignment="1">
      <alignment horizontal="center"/>
    </xf>
    <xf numFmtId="0" fontId="151" fillId="50" borderId="5" xfId="4501" applyFont="1" applyFill="1" applyBorder="1" applyAlignment="1">
      <alignment horizontal="center"/>
    </xf>
    <xf numFmtId="44" fontId="155" fillId="50" borderId="3" xfId="4502" applyFont="1" applyFill="1" applyBorder="1" applyAlignment="1">
      <alignment horizontal="center"/>
    </xf>
    <xf numFmtId="44" fontId="155" fillId="50" borderId="4" xfId="4502" applyFont="1" applyFill="1" applyBorder="1" applyAlignment="1">
      <alignment horizontal="center"/>
    </xf>
    <xf numFmtId="44" fontId="155" fillId="50" borderId="5" xfId="4502" applyFont="1" applyFill="1" applyBorder="1" applyAlignment="1">
      <alignment horizontal="center"/>
    </xf>
    <xf numFmtId="0" fontId="151" fillId="48" borderId="81" xfId="4501" applyFont="1" applyFill="1" applyBorder="1" applyAlignment="1" applyProtection="1">
      <alignment horizontal="center"/>
      <protection locked="0"/>
    </xf>
    <xf numFmtId="0" fontId="151" fillId="50" borderId="81" xfId="4501" applyFont="1" applyFill="1" applyBorder="1" applyAlignment="1">
      <alignment horizontal="center"/>
    </xf>
    <xf numFmtId="0" fontId="151" fillId="45" borderId="82" xfId="4501" applyFont="1" applyFill="1" applyBorder="1" applyAlignment="1">
      <alignment horizontal="center"/>
    </xf>
    <xf numFmtId="0" fontId="151" fillId="45" borderId="11" xfId="4501" applyFont="1" applyFill="1" applyBorder="1" applyAlignment="1">
      <alignment horizontal="center"/>
    </xf>
    <xf numFmtId="0" fontId="6" fillId="48" borderId="11" xfId="4501" applyFill="1" applyBorder="1" applyAlignment="1" applyProtection="1">
      <alignment horizontal="center"/>
      <protection locked="0"/>
    </xf>
    <xf numFmtId="14" fontId="6" fillId="48" borderId="11" xfId="4501" applyNumberFormat="1" applyFill="1" applyBorder="1" applyAlignment="1" applyProtection="1">
      <alignment horizontal="center"/>
      <protection locked="0"/>
    </xf>
    <xf numFmtId="0" fontId="6" fillId="0" borderId="77" xfId="4501" applyBorder="1" applyAlignment="1">
      <alignment horizontal="center"/>
    </xf>
    <xf numFmtId="0" fontId="6" fillId="0" borderId="78" xfId="4501" applyBorder="1" applyAlignment="1">
      <alignment horizontal="center"/>
    </xf>
    <xf numFmtId="0" fontId="6" fillId="0" borderId="79" xfId="4501" applyBorder="1" applyAlignment="1">
      <alignment horizontal="center"/>
    </xf>
    <xf numFmtId="0" fontId="151" fillId="0" borderId="78" xfId="4501" applyFont="1" applyBorder="1" applyAlignment="1">
      <alignment horizontal="center"/>
    </xf>
    <xf numFmtId="0" fontId="151" fillId="0" borderId="79" xfId="4501" applyFont="1" applyBorder="1" applyAlignment="1">
      <alignment horizontal="center"/>
    </xf>
    <xf numFmtId="0" fontId="51" fillId="0" borderId="77" xfId="4501" applyFont="1" applyBorder="1" applyAlignment="1">
      <alignment horizontal="center"/>
    </xf>
    <xf numFmtId="0" fontId="51" fillId="0" borderId="78" xfId="4501" applyFont="1" applyBorder="1" applyAlignment="1">
      <alignment horizontal="center"/>
    </xf>
    <xf numFmtId="0" fontId="51" fillId="0" borderId="79" xfId="4501" applyFont="1" applyBorder="1" applyAlignment="1">
      <alignment horizontal="center"/>
    </xf>
    <xf numFmtId="0" fontId="151" fillId="45" borderId="71" xfId="4501" applyFont="1" applyFill="1" applyBorder="1" applyAlignment="1">
      <alignment horizontal="center"/>
    </xf>
    <xf numFmtId="0" fontId="151" fillId="45" borderId="72" xfId="4501" applyFont="1" applyFill="1" applyBorder="1" applyAlignment="1">
      <alignment horizontal="center"/>
    </xf>
    <xf numFmtId="0" fontId="99" fillId="45" borderId="68" xfId="4501" applyFont="1" applyFill="1" applyBorder="1" applyAlignment="1">
      <alignment horizontal="center"/>
    </xf>
    <xf numFmtId="0" fontId="99" fillId="45" borderId="69" xfId="4501" applyFont="1" applyFill="1" applyBorder="1" applyAlignment="1">
      <alignment horizontal="center"/>
    </xf>
    <xf numFmtId="0" fontId="99" fillId="45" borderId="70" xfId="4501" applyFont="1" applyFill="1" applyBorder="1" applyAlignment="1">
      <alignment horizontal="center"/>
    </xf>
    <xf numFmtId="0" fontId="150" fillId="45" borderId="71" xfId="4501" applyFont="1" applyFill="1" applyBorder="1" applyAlignment="1">
      <alignment horizontal="left"/>
    </xf>
    <xf numFmtId="0" fontId="150" fillId="45" borderId="72" xfId="4501" applyFont="1" applyFill="1" applyBorder="1" applyAlignment="1">
      <alignment horizontal="left"/>
    </xf>
    <xf numFmtId="0" fontId="150" fillId="45" borderId="76" xfId="4501" applyFont="1" applyFill="1" applyBorder="1" applyAlignment="1">
      <alignment horizontal="left"/>
    </xf>
    <xf numFmtId="0" fontId="99" fillId="45" borderId="66" xfId="4501" applyFont="1" applyFill="1" applyBorder="1" applyAlignment="1">
      <alignment horizontal="center"/>
    </xf>
    <xf numFmtId="0" fontId="99" fillId="45" borderId="29" xfId="4501" applyFont="1" applyFill="1" applyBorder="1" applyAlignment="1">
      <alignment horizontal="center"/>
    </xf>
    <xf numFmtId="0" fontId="99" fillId="45" borderId="31" xfId="4501" applyFont="1" applyFill="1" applyBorder="1" applyAlignment="1">
      <alignment horizontal="center"/>
    </xf>
    <xf numFmtId="0" fontId="6" fillId="48" borderId="82" xfId="4501" applyFill="1" applyBorder="1" applyAlignment="1" applyProtection="1">
      <alignment horizontal="left" vertical="top"/>
      <protection locked="0"/>
    </xf>
    <xf numFmtId="0" fontId="6" fillId="48" borderId="11" xfId="4501" applyFill="1" applyBorder="1" applyAlignment="1" applyProtection="1">
      <alignment horizontal="left" vertical="top"/>
      <protection locked="0"/>
    </xf>
    <xf numFmtId="0" fontId="6" fillId="48" borderId="93" xfId="4501" applyFill="1" applyBorder="1" applyAlignment="1" applyProtection="1">
      <alignment horizontal="left" vertical="top"/>
      <protection locked="0"/>
    </xf>
    <xf numFmtId="0" fontId="6" fillId="48" borderId="74" xfId="4501" applyFill="1" applyBorder="1" applyAlignment="1" applyProtection="1">
      <alignment horizontal="left" vertical="top"/>
      <protection locked="0"/>
    </xf>
    <xf numFmtId="0" fontId="6" fillId="48" borderId="75" xfId="4501" applyFill="1" applyBorder="1" applyAlignment="1" applyProtection="1">
      <alignment horizontal="left" vertical="top"/>
      <protection locked="0"/>
    </xf>
    <xf numFmtId="0" fontId="6" fillId="48" borderId="95" xfId="4501" applyFill="1" applyBorder="1" applyAlignment="1" applyProtection="1">
      <alignment horizontal="left" vertical="top"/>
      <protection locked="0"/>
    </xf>
    <xf numFmtId="0" fontId="151" fillId="45" borderId="74" xfId="4501" applyFont="1" applyFill="1" applyBorder="1" applyAlignment="1">
      <alignment horizontal="center"/>
    </xf>
    <xf numFmtId="0" fontId="151" fillId="45" borderId="75" xfId="4501" applyFont="1" applyFill="1" applyBorder="1" applyAlignment="1">
      <alignment horizontal="center"/>
    </xf>
    <xf numFmtId="0" fontId="155" fillId="48" borderId="11" xfId="4501" applyFont="1" applyFill="1" applyBorder="1" applyAlignment="1" applyProtection="1">
      <alignment horizontal="center"/>
      <protection locked="0"/>
    </xf>
    <xf numFmtId="14" fontId="155" fillId="48" borderId="11" xfId="4501" applyNumberFormat="1" applyFont="1" applyFill="1" applyBorder="1" applyAlignment="1" applyProtection="1">
      <alignment horizontal="center"/>
      <protection locked="0"/>
    </xf>
    <xf numFmtId="44" fontId="155" fillId="48" borderId="3" xfId="4502" applyFont="1" applyFill="1" applyBorder="1" applyAlignment="1" applyProtection="1">
      <alignment horizontal="center"/>
      <protection locked="0"/>
    </xf>
    <xf numFmtId="44" fontId="155" fillId="48" borderId="4" xfId="4502" applyFont="1" applyFill="1" applyBorder="1" applyAlignment="1" applyProtection="1">
      <alignment horizontal="center"/>
      <protection locked="0"/>
    </xf>
    <xf numFmtId="44" fontId="155" fillId="48" borderId="81" xfId="4502" applyFont="1" applyFill="1" applyBorder="1" applyAlignment="1" applyProtection="1">
      <alignment horizontal="center"/>
      <protection locked="0"/>
    </xf>
    <xf numFmtId="0" fontId="155" fillId="48" borderId="75" xfId="4501" applyFont="1" applyFill="1" applyBorder="1" applyAlignment="1" applyProtection="1">
      <alignment horizontal="center"/>
      <protection locked="0"/>
    </xf>
    <xf numFmtId="14" fontId="155" fillId="48" borderId="75" xfId="4501" applyNumberFormat="1" applyFont="1" applyFill="1" applyBorder="1" applyAlignment="1" applyProtection="1">
      <alignment horizontal="center"/>
      <protection locked="0"/>
    </xf>
    <xf numFmtId="44" fontId="155" fillId="48" borderId="86" xfId="4502" applyFont="1" applyFill="1" applyBorder="1" applyAlignment="1" applyProtection="1">
      <alignment horizontal="center"/>
      <protection locked="0"/>
    </xf>
    <xf numFmtId="44" fontId="155" fillId="48" borderId="84" xfId="4502" applyFont="1" applyFill="1" applyBorder="1" applyAlignment="1" applyProtection="1">
      <alignment horizontal="center"/>
      <protection locked="0"/>
    </xf>
    <xf numFmtId="44" fontId="155" fillId="48" borderId="87" xfId="4502" applyFont="1" applyFill="1" applyBorder="1" applyAlignment="1" applyProtection="1">
      <alignment horizontal="center"/>
      <protection locked="0"/>
    </xf>
    <xf numFmtId="0" fontId="6" fillId="52" borderId="3" xfId="4501" applyFill="1" applyBorder="1" applyAlignment="1">
      <alignment horizontal="center"/>
    </xf>
    <xf numFmtId="0" fontId="6" fillId="52" borderId="4" xfId="4501" applyFill="1" applyBorder="1" applyAlignment="1">
      <alignment horizontal="center"/>
    </xf>
    <xf numFmtId="0" fontId="6" fillId="52" borderId="5" xfId="4501" applyFill="1" applyBorder="1" applyAlignment="1">
      <alignment horizontal="center"/>
    </xf>
    <xf numFmtId="14" fontId="6" fillId="48" borderId="3" xfId="4501" applyNumberFormat="1" applyFill="1" applyBorder="1" applyAlignment="1" applyProtection="1">
      <alignment horizontal="center"/>
      <protection locked="0"/>
    </xf>
    <xf numFmtId="14" fontId="6" fillId="48" borderId="4" xfId="4501" applyNumberFormat="1" applyFill="1" applyBorder="1" applyAlignment="1" applyProtection="1">
      <alignment horizontal="center"/>
      <protection locked="0"/>
    </xf>
    <xf numFmtId="14" fontId="6"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5" fillId="48" borderId="3" xfId="4501" applyFont="1" applyFill="1" applyBorder="1" applyAlignment="1" applyProtection="1">
      <alignment horizontal="center"/>
      <protection locked="0"/>
    </xf>
    <xf numFmtId="0" fontId="155" fillId="48" borderId="4" xfId="4501" applyFont="1" applyFill="1" applyBorder="1" applyAlignment="1" applyProtection="1">
      <alignment horizontal="center"/>
      <protection locked="0"/>
    </xf>
    <xf numFmtId="0" fontId="155" fillId="48" borderId="5" xfId="4501" applyFont="1" applyFill="1" applyBorder="1" applyAlignment="1" applyProtection="1">
      <alignment horizontal="center"/>
      <protection locked="0"/>
    </xf>
    <xf numFmtId="14" fontId="155" fillId="48" borderId="3" xfId="4501" applyNumberFormat="1" applyFont="1" applyFill="1" applyBorder="1" applyAlignment="1" applyProtection="1">
      <alignment horizontal="center"/>
      <protection locked="0"/>
    </xf>
    <xf numFmtId="14" fontId="155" fillId="48" borderId="4" xfId="4501" applyNumberFormat="1" applyFont="1" applyFill="1" applyBorder="1" applyAlignment="1" applyProtection="1">
      <alignment horizontal="center"/>
      <protection locked="0"/>
    </xf>
    <xf numFmtId="0" fontId="6" fillId="50" borderId="3" xfId="4501" applyFill="1" applyBorder="1" applyAlignment="1">
      <alignment horizontal="center"/>
    </xf>
    <xf numFmtId="0" fontId="6" fillId="50" borderId="4" xfId="4501" applyFill="1" applyBorder="1" applyAlignment="1">
      <alignment horizontal="center"/>
    </xf>
    <xf numFmtId="0" fontId="6" fillId="50" borderId="5" xfId="4501" applyFill="1" applyBorder="1" applyAlignment="1">
      <alignment horizontal="center"/>
    </xf>
    <xf numFmtId="14" fontId="6" fillId="52" borderId="3" xfId="4501" applyNumberFormat="1" applyFill="1" applyBorder="1" applyAlignment="1">
      <alignment horizontal="center"/>
    </xf>
    <xf numFmtId="14" fontId="6" fillId="52" borderId="4" xfId="4501" applyNumberFormat="1" applyFill="1" applyBorder="1" applyAlignment="1">
      <alignment horizontal="center"/>
    </xf>
    <xf numFmtId="0" fontId="99" fillId="48" borderId="3" xfId="4501" applyFont="1" applyFill="1" applyBorder="1" applyAlignment="1" applyProtection="1">
      <alignment horizontal="center"/>
      <protection locked="0"/>
    </xf>
    <xf numFmtId="0" fontId="99" fillId="48" borderId="4" xfId="4501" applyFont="1" applyFill="1" applyBorder="1" applyAlignment="1" applyProtection="1">
      <alignment horizontal="center"/>
      <protection locked="0"/>
    </xf>
    <xf numFmtId="0" fontId="99" fillId="48" borderId="5" xfId="4501" applyFont="1" applyFill="1" applyBorder="1" applyAlignment="1" applyProtection="1">
      <alignment horizontal="center"/>
      <protection locked="0"/>
    </xf>
    <xf numFmtId="0" fontId="150" fillId="0" borderId="77" xfId="4501" applyFont="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99" fillId="0" borderId="5" xfId="4501" applyFont="1" applyBorder="1" applyAlignment="1">
      <alignment horizontal="center"/>
    </xf>
    <xf numFmtId="0" fontId="99" fillId="0" borderId="3" xfId="4501" applyFont="1" applyBorder="1" applyAlignment="1">
      <alignment horizontal="center"/>
    </xf>
    <xf numFmtId="0" fontId="159" fillId="0" borderId="3" xfId="4501" applyFont="1" applyBorder="1" applyAlignment="1">
      <alignment horizontal="center"/>
    </xf>
    <xf numFmtId="0" fontId="159" fillId="0" borderId="4" xfId="4501" applyFont="1" applyBorder="1" applyAlignment="1">
      <alignment horizontal="center"/>
    </xf>
    <xf numFmtId="0" fontId="159" fillId="0" borderId="5" xfId="4501" applyFont="1" applyBorder="1" applyAlignment="1">
      <alignment horizontal="center"/>
    </xf>
    <xf numFmtId="0" fontId="99" fillId="0" borderId="86" xfId="4501" applyFont="1" applyBorder="1" applyAlignment="1">
      <alignment horizontal="center"/>
    </xf>
    <xf numFmtId="0" fontId="99" fillId="0" borderId="84" xfId="4501" applyFont="1" applyBorder="1" applyAlignment="1">
      <alignment horizontal="center"/>
    </xf>
    <xf numFmtId="0" fontId="99" fillId="0" borderId="87" xfId="4501" applyFont="1" applyBorder="1" applyAlignment="1">
      <alignment horizontal="center"/>
    </xf>
    <xf numFmtId="0" fontId="153" fillId="48" borderId="66" xfId="4501" applyFont="1" applyFill="1" applyBorder="1" applyAlignment="1" applyProtection="1">
      <alignment vertical="top" wrapText="1"/>
      <protection locked="0"/>
    </xf>
    <xf numFmtId="0" fontId="153" fillId="0" borderId="29" xfId="4501" applyFont="1" applyBorder="1" applyAlignment="1" applyProtection="1">
      <alignment vertical="top" wrapText="1"/>
      <protection locked="0"/>
    </xf>
    <xf numFmtId="0" fontId="153" fillId="0" borderId="31" xfId="4501" applyFont="1" applyBorder="1" applyAlignment="1" applyProtection="1">
      <alignment vertical="top" wrapText="1"/>
      <protection locked="0"/>
    </xf>
    <xf numFmtId="0" fontId="153" fillId="0" borderId="67" xfId="4501" applyFont="1" applyBorder="1" applyAlignment="1" applyProtection="1">
      <alignment vertical="top" wrapText="1"/>
      <protection locked="0"/>
    </xf>
    <xf numFmtId="0" fontId="153" fillId="0" borderId="0" xfId="4501" applyFont="1" applyAlignment="1" applyProtection="1">
      <alignment vertical="top" wrapText="1"/>
      <protection locked="0"/>
    </xf>
    <xf numFmtId="0" fontId="153" fillId="0" borderId="41" xfId="4501" applyFont="1" applyBorder="1" applyAlignment="1" applyProtection="1">
      <alignment vertical="top" wrapText="1"/>
      <protection locked="0"/>
    </xf>
    <xf numFmtId="0" fontId="153" fillId="0" borderId="88" xfId="4501" applyFont="1" applyBorder="1" applyAlignment="1" applyProtection="1">
      <alignment vertical="top" wrapText="1"/>
      <protection locked="0"/>
    </xf>
    <xf numFmtId="0" fontId="153" fillId="0" borderId="42" xfId="4501" applyFont="1" applyBorder="1" applyAlignment="1" applyProtection="1">
      <alignment vertical="top" wrapText="1"/>
      <protection locked="0"/>
    </xf>
    <xf numFmtId="0" fontId="153" fillId="0" borderId="44" xfId="4501" applyFont="1" applyBorder="1" applyAlignment="1" applyProtection="1">
      <alignment vertical="top" wrapText="1"/>
      <protection locked="0"/>
    </xf>
    <xf numFmtId="0" fontId="150" fillId="45" borderId="77" xfId="4501" applyFont="1" applyFill="1" applyBorder="1" applyAlignment="1">
      <alignment horizontal="center"/>
    </xf>
    <xf numFmtId="0" fontId="150" fillId="45" borderId="78" xfId="4501" applyFont="1" applyFill="1" applyBorder="1" applyAlignment="1">
      <alignment horizontal="center"/>
    </xf>
    <xf numFmtId="0" fontId="150" fillId="45" borderId="91" xfId="4501" applyFont="1" applyFill="1" applyBorder="1" applyAlignment="1">
      <alignment horizontal="center"/>
    </xf>
    <xf numFmtId="0" fontId="99" fillId="45" borderId="94" xfId="4501" applyFont="1" applyFill="1" applyBorder="1" applyAlignment="1">
      <alignment horizontal="center"/>
    </xf>
    <xf numFmtId="0" fontId="99" fillId="45" borderId="4" xfId="4501" applyFont="1" applyFill="1" applyBorder="1" applyAlignment="1">
      <alignment horizontal="center"/>
    </xf>
    <xf numFmtId="0" fontId="99" fillId="45" borderId="5" xfId="4501" applyFont="1" applyFill="1" applyBorder="1" applyAlignment="1">
      <alignment horizontal="center"/>
    </xf>
    <xf numFmtId="0" fontId="150" fillId="45" borderId="3" xfId="4501" applyFont="1" applyFill="1" applyBorder="1" applyAlignment="1">
      <alignment horizontal="center"/>
    </xf>
    <xf numFmtId="0" fontId="150" fillId="45" borderId="5" xfId="4501" applyFont="1" applyFill="1" applyBorder="1" applyAlignment="1">
      <alignment horizontal="center"/>
    </xf>
    <xf numFmtId="0" fontId="99" fillId="45" borderId="82" xfId="4501" applyFont="1" applyFill="1" applyBorder="1" applyAlignment="1">
      <alignment horizontal="center"/>
    </xf>
    <xf numFmtId="0" fontId="99" fillId="45" borderId="11" xfId="4501" applyFont="1" applyFill="1" applyBorder="1" applyAlignment="1">
      <alignment horizontal="center"/>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29" xfId="4501" applyFont="1" applyFill="1" applyBorder="1" applyAlignment="1">
      <alignment horizontal="center"/>
    </xf>
    <xf numFmtId="0" fontId="155" fillId="48" borderId="29" xfId="4501" applyFont="1" applyFill="1" applyBorder="1" applyAlignment="1" applyProtection="1">
      <alignment horizontal="center"/>
      <protection locked="0"/>
    </xf>
    <xf numFmtId="0" fontId="155" fillId="48" borderId="31" xfId="4501" applyFont="1" applyFill="1" applyBorder="1" applyAlignment="1" applyProtection="1">
      <alignment horizontal="center"/>
      <protection locked="0"/>
    </xf>
    <xf numFmtId="0" fontId="163" fillId="45" borderId="68" xfId="4501" applyFont="1" applyFill="1" applyBorder="1" applyAlignment="1">
      <alignment horizontal="center"/>
    </xf>
    <xf numFmtId="0" fontId="163" fillId="45" borderId="69" xfId="4501" applyFont="1" applyFill="1" applyBorder="1" applyAlignment="1">
      <alignment horizontal="center"/>
    </xf>
    <xf numFmtId="0" fontId="163" fillId="45" borderId="70" xfId="4501" applyFont="1" applyFill="1" applyBorder="1" applyAlignment="1">
      <alignment horizontal="center"/>
    </xf>
    <xf numFmtId="0" fontId="153" fillId="48" borderId="68" xfId="4501" applyFont="1" applyFill="1" applyBorder="1" applyAlignment="1" applyProtection="1">
      <alignment horizontal="left"/>
      <protection locked="0"/>
    </xf>
    <xf numFmtId="0" fontId="153" fillId="48" borderId="69" xfId="4501" applyFont="1" applyFill="1" applyBorder="1" applyAlignment="1" applyProtection="1">
      <alignment horizontal="left"/>
      <protection locked="0"/>
    </xf>
    <xf numFmtId="0" fontId="153" fillId="48" borderId="70" xfId="4501" applyFont="1" applyFill="1" applyBorder="1" applyAlignment="1" applyProtection="1">
      <alignment horizontal="left"/>
      <protection locked="0"/>
    </xf>
    <xf numFmtId="0" fontId="99" fillId="45" borderId="102" xfId="4501" applyFont="1" applyFill="1" applyBorder="1" applyAlignment="1">
      <alignment horizontal="center"/>
    </xf>
    <xf numFmtId="0" fontId="99" fillId="45" borderId="103" xfId="4501" applyFont="1" applyFill="1" applyBorder="1" applyAlignment="1">
      <alignment horizontal="center"/>
    </xf>
    <xf numFmtId="0" fontId="99" fillId="45" borderId="104" xfId="4501" applyFont="1" applyFill="1" applyBorder="1" applyAlignment="1">
      <alignment horizontal="center"/>
    </xf>
    <xf numFmtId="0" fontId="99" fillId="48" borderId="10" xfId="4501" applyFont="1" applyFill="1" applyBorder="1" applyAlignment="1" applyProtection="1">
      <alignment horizontal="center"/>
      <protection locked="0"/>
    </xf>
    <xf numFmtId="0" fontId="99" fillId="48" borderId="13" xfId="4501" applyFont="1" applyFill="1" applyBorder="1" applyAlignment="1" applyProtection="1">
      <alignment horizontal="center"/>
      <protection locked="0"/>
    </xf>
    <xf numFmtId="0" fontId="99" fillId="48" borderId="98" xfId="4501" applyFont="1" applyFill="1" applyBorder="1" applyAlignment="1" applyProtection="1">
      <alignment horizontal="center"/>
      <protection locked="0"/>
    </xf>
    <xf numFmtId="0" fontId="6" fillId="48" borderId="13" xfId="4501" applyFill="1" applyBorder="1" applyAlignment="1" applyProtection="1">
      <alignment horizontal="center"/>
      <protection locked="0"/>
    </xf>
    <xf numFmtId="0" fontId="6" fillId="48" borderId="98" xfId="4501" applyFill="1" applyBorder="1" applyAlignment="1" applyProtection="1">
      <alignment horizontal="center"/>
      <protection locked="0"/>
    </xf>
    <xf numFmtId="0" fontId="99" fillId="48" borderId="85" xfId="4501" applyFont="1" applyFill="1" applyBorder="1" applyAlignment="1" applyProtection="1">
      <alignment horizontal="center"/>
      <protection locked="0"/>
    </xf>
    <xf numFmtId="0" fontId="99" fillId="48" borderId="75" xfId="4501" applyFont="1" applyFill="1" applyBorder="1" applyAlignment="1" applyProtection="1">
      <alignment horizontal="center"/>
      <protection locked="0"/>
    </xf>
    <xf numFmtId="0" fontId="99" fillId="48" borderId="95" xfId="4501" applyFont="1" applyFill="1" applyBorder="1" applyAlignment="1" applyProtection="1">
      <alignment horizontal="center"/>
      <protection locked="0"/>
    </xf>
    <xf numFmtId="0" fontId="6" fillId="48" borderId="75" xfId="4501" applyFill="1" applyBorder="1" applyAlignment="1" applyProtection="1">
      <alignment horizontal="center"/>
      <protection locked="0"/>
    </xf>
    <xf numFmtId="0" fontId="6" fillId="48" borderId="95" xfId="4501" applyFill="1" applyBorder="1" applyAlignment="1" applyProtection="1">
      <alignment horizontal="center"/>
      <protection locked="0"/>
    </xf>
    <xf numFmtId="0" fontId="150" fillId="0" borderId="68" xfId="4501" applyFont="1" applyFill="1" applyBorder="1" applyAlignment="1">
      <alignment horizontal="center"/>
    </xf>
    <xf numFmtId="0" fontId="150" fillId="0" borderId="69" xfId="4501" applyFont="1" applyFill="1" applyBorder="1" applyAlignment="1">
      <alignment horizontal="center"/>
    </xf>
    <xf numFmtId="0" fontId="150" fillId="0" borderId="70" xfId="4501" applyFont="1" applyFill="1" applyBorder="1" applyAlignment="1">
      <alignment horizontal="center"/>
    </xf>
    <xf numFmtId="0" fontId="99" fillId="48" borderId="9" xfId="4501" applyFont="1" applyFill="1" applyBorder="1" applyAlignment="1" applyProtection="1">
      <alignment horizontal="center"/>
      <protection locked="0"/>
    </xf>
    <xf numFmtId="0" fontId="99" fillId="48" borderId="86" xfId="4501" applyFont="1" applyFill="1" applyBorder="1" applyAlignment="1" applyProtection="1">
      <alignment horizontal="center"/>
      <protection locked="0"/>
    </xf>
    <xf numFmtId="0" fontId="6" fillId="0" borderId="69" xfId="4501" applyBorder="1" applyAlignment="1"/>
    <xf numFmtId="0" fontId="6" fillId="0" borderId="70" xfId="4501" applyBorder="1" applyAlignment="1"/>
    <xf numFmtId="0" fontId="6" fillId="48" borderId="82" xfId="4501" applyFill="1" applyBorder="1" applyAlignment="1" applyProtection="1">
      <alignment horizontal="center"/>
      <protection locked="0"/>
    </xf>
    <xf numFmtId="44" fontId="100" fillId="48" borderId="11" xfId="4502" applyFont="1" applyFill="1" applyBorder="1" applyAlignment="1" applyProtection="1">
      <alignment horizontal="center"/>
      <protection locked="0"/>
    </xf>
    <xf numFmtId="44" fontId="100" fillId="48" borderId="93" xfId="4502" applyFont="1" applyFill="1" applyBorder="1" applyAlignment="1" applyProtection="1">
      <alignment horizontal="center"/>
      <protection locked="0"/>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0" fontId="150" fillId="45" borderId="76" xfId="4501" applyFont="1" applyFill="1" applyBorder="1" applyAlignment="1">
      <alignment horizontal="center"/>
    </xf>
    <xf numFmtId="0" fontId="6" fillId="48" borderId="93" xfId="4501" applyFill="1" applyBorder="1" applyAlignment="1" applyProtection="1">
      <alignment horizontal="center"/>
      <protection locked="0"/>
    </xf>
    <xf numFmtId="0" fontId="6" fillId="48" borderId="74" xfId="4501" applyFill="1" applyBorder="1" applyAlignment="1" applyProtection="1">
      <alignment horizontal="center"/>
      <protection locked="0"/>
    </xf>
    <xf numFmtId="44" fontId="100" fillId="48" borderId="99" xfId="4502" applyFont="1" applyFill="1" applyBorder="1" applyAlignment="1" applyProtection="1">
      <alignment horizontal="center"/>
      <protection locked="0"/>
    </xf>
    <xf numFmtId="44" fontId="100" fillId="48" borderId="100" xfId="4502" applyFont="1" applyFill="1" applyBorder="1" applyAlignment="1" applyProtection="1">
      <alignment horizontal="center"/>
      <protection locked="0"/>
    </xf>
    <xf numFmtId="0" fontId="150" fillId="45" borderId="96" xfId="4501" applyFont="1" applyFill="1" applyBorder="1" applyAlignment="1">
      <alignment horizontal="right"/>
    </xf>
    <xf numFmtId="0" fontId="150" fillId="45" borderId="43" xfId="4501" applyFont="1" applyFill="1" applyBorder="1" applyAlignment="1">
      <alignment horizontal="right"/>
    </xf>
    <xf numFmtId="44" fontId="150" fillId="45" borderId="43" xfId="4501" applyNumberFormat="1" applyFont="1" applyFill="1" applyBorder="1" applyAlignment="1">
      <alignment horizontal="center"/>
    </xf>
    <xf numFmtId="0" fontId="150" fillId="45" borderId="43" xfId="4501" applyFont="1" applyFill="1" applyBorder="1" applyAlignment="1">
      <alignment horizontal="center"/>
    </xf>
    <xf numFmtId="0" fontId="150" fillId="45" borderId="101" xfId="4501" applyFont="1" applyFill="1" applyBorder="1" applyAlignment="1">
      <alignment horizontal="center"/>
    </xf>
    <xf numFmtId="0" fontId="100" fillId="48" borderId="82" xfId="4501" applyFont="1" applyFill="1" applyBorder="1" applyAlignment="1" applyProtection="1">
      <alignment horizontal="center"/>
      <protection locked="0"/>
    </xf>
    <xf numFmtId="0" fontId="100" fillId="48" borderId="11" xfId="4501" applyFont="1" applyFill="1" applyBorder="1" applyAlignment="1" applyProtection="1">
      <alignment horizontal="center"/>
      <protection locked="0"/>
    </xf>
    <xf numFmtId="0" fontId="150" fillId="45" borderId="97" xfId="4501" applyFont="1" applyFill="1" applyBorder="1" applyAlignment="1">
      <alignment horizontal="center"/>
    </xf>
    <xf numFmtId="0" fontId="150" fillId="45" borderId="13" xfId="4501" applyFont="1" applyFill="1" applyBorder="1" applyAlignment="1">
      <alignment horizontal="center"/>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150" fillId="45" borderId="79" xfId="4501" applyFont="1" applyFill="1" applyBorder="1" applyAlignment="1">
      <alignment horizontal="center"/>
    </xf>
    <xf numFmtId="0" fontId="99" fillId="45" borderId="71" xfId="4501" applyFont="1" applyFill="1" applyBorder="1" applyAlignment="1">
      <alignment horizontal="center"/>
    </xf>
    <xf numFmtId="0" fontId="99" fillId="45" borderId="72" xfId="4501" applyFont="1" applyFill="1" applyBorder="1" applyAlignment="1">
      <alignment horizontal="center"/>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155" fillId="48" borderId="95" xfId="4501" applyFont="1" applyFill="1" applyBorder="1" applyAlignment="1" applyProtection="1">
      <alignment horizontal="center"/>
      <protection locked="0"/>
    </xf>
    <xf numFmtId="0" fontId="161" fillId="48" borderId="82" xfId="4501" applyNumberFormat="1" applyFont="1" applyFill="1" applyBorder="1" applyAlignment="1" applyProtection="1">
      <alignment horizontal="center"/>
      <protection locked="0"/>
    </xf>
    <xf numFmtId="0" fontId="161" fillId="48" borderId="11" xfId="4501" applyNumberFormat="1" applyFont="1" applyFill="1" applyBorder="1" applyAlignment="1" applyProtection="1">
      <alignment horizontal="center"/>
      <protection locked="0"/>
    </xf>
    <xf numFmtId="0" fontId="161" fillId="48" borderId="93" xfId="4501" applyNumberFormat="1" applyFont="1" applyFill="1" applyBorder="1" applyAlignment="1" applyProtection="1">
      <alignment horizontal="center"/>
      <protection locked="0"/>
    </xf>
    <xf numFmtId="0" fontId="161" fillId="48" borderId="5" xfId="4501" applyFont="1" applyFill="1" applyBorder="1" applyAlignment="1" applyProtection="1">
      <alignment horizontal="center"/>
      <protection locked="0"/>
    </xf>
    <xf numFmtId="0" fontId="161" fillId="48" borderId="11" xfId="4501" applyFont="1" applyFill="1" applyBorder="1" applyAlignment="1" applyProtection="1">
      <alignment horizontal="center"/>
      <protection locked="0"/>
    </xf>
    <xf numFmtId="0" fontId="161" fillId="48" borderId="93" xfId="4501" applyFont="1" applyFill="1" applyBorder="1" applyAlignment="1" applyProtection="1">
      <alignment horizontal="center"/>
      <protection locked="0"/>
    </xf>
    <xf numFmtId="0" fontId="161" fillId="48" borderId="74" xfId="4501" applyNumberFormat="1" applyFont="1" applyFill="1" applyBorder="1" applyAlignment="1" applyProtection="1">
      <alignment horizontal="center"/>
      <protection locked="0"/>
    </xf>
    <xf numFmtId="0" fontId="161" fillId="48" borderId="75" xfId="4501" applyNumberFormat="1" applyFont="1" applyFill="1" applyBorder="1" applyAlignment="1" applyProtection="1">
      <alignment horizontal="center"/>
      <protection locked="0"/>
    </xf>
    <xf numFmtId="0" fontId="161" fillId="48" borderId="95" xfId="4501" applyNumberFormat="1" applyFont="1" applyFill="1" applyBorder="1" applyAlignment="1" applyProtection="1">
      <alignment horizontal="center"/>
      <protection locked="0"/>
    </xf>
    <xf numFmtId="0" fontId="161" fillId="48" borderId="85" xfId="4501" applyFont="1" applyFill="1" applyBorder="1" applyAlignment="1" applyProtection="1">
      <alignment horizontal="center"/>
      <protection locked="0"/>
    </xf>
    <xf numFmtId="0" fontId="161" fillId="48" borderId="75" xfId="4501" applyFont="1" applyFill="1" applyBorder="1" applyAlignment="1" applyProtection="1">
      <alignment horizontal="center"/>
      <protection locked="0"/>
    </xf>
    <xf numFmtId="0" fontId="161" fillId="48" borderId="95" xfId="4501" applyFont="1" applyFill="1" applyBorder="1" applyAlignment="1" applyProtection="1">
      <alignment horizontal="center"/>
      <protection locked="0"/>
    </xf>
    <xf numFmtId="0" fontId="51" fillId="0" borderId="66" xfId="4501" applyFont="1" applyBorder="1" applyAlignment="1">
      <alignment horizontal="center"/>
    </xf>
    <xf numFmtId="0" fontId="51" fillId="0" borderId="29" xfId="4501" applyFont="1" applyBorder="1" applyAlignment="1">
      <alignment horizontal="center"/>
    </xf>
    <xf numFmtId="0" fontId="51" fillId="0" borderId="31" xfId="4501" applyFont="1" applyBorder="1" applyAlignment="1">
      <alignment horizontal="center"/>
    </xf>
    <xf numFmtId="0" fontId="161" fillId="48" borderId="74" xfId="4501" applyFont="1" applyFill="1" applyBorder="1" applyAlignment="1" applyProtection="1">
      <alignment horizontal="center"/>
      <protection locked="0"/>
    </xf>
    <xf numFmtId="44" fontId="161" fillId="48" borderId="75" xfId="4502" applyFont="1" applyFill="1" applyBorder="1" applyAlignment="1" applyProtection="1">
      <alignment horizontal="center"/>
      <protection locked="0"/>
    </xf>
    <xf numFmtId="0" fontId="151" fillId="0" borderId="96" xfId="4501" applyFont="1" applyBorder="1" applyAlignment="1">
      <alignment horizontal="center"/>
    </xf>
    <xf numFmtId="0" fontId="151" fillId="0" borderId="43" xfId="4501" applyFont="1" applyBorder="1" applyAlignment="1">
      <alignment horizontal="center"/>
    </xf>
    <xf numFmtId="44" fontId="151" fillId="0" borderId="43" xfId="4502" applyFont="1" applyBorder="1" applyAlignment="1">
      <alignment horizontal="center"/>
    </xf>
    <xf numFmtId="0" fontId="161" fillId="48" borderId="82" xfId="4501" applyFont="1" applyFill="1" applyBorder="1" applyAlignment="1" applyProtection="1">
      <alignment horizontal="center"/>
      <protection locked="0"/>
    </xf>
    <xf numFmtId="44" fontId="161" fillId="48" borderId="11" xfId="4502" applyFont="1" applyFill="1" applyBorder="1" applyAlignment="1" applyProtection="1">
      <alignment horizontal="center"/>
      <protection locked="0"/>
    </xf>
    <xf numFmtId="0" fontId="150" fillId="0" borderId="68" xfId="4501" applyFont="1" applyBorder="1" applyAlignment="1">
      <alignment horizontal="center"/>
    </xf>
    <xf numFmtId="0" fontId="150" fillId="0" borderId="69" xfId="4501" applyFont="1" applyBorder="1" applyAlignment="1">
      <alignment horizontal="center"/>
    </xf>
    <xf numFmtId="0" fontId="150" fillId="0" borderId="70" xfId="4501" applyFont="1" applyBorder="1" applyAlignment="1">
      <alignment horizontal="center"/>
    </xf>
    <xf numFmtId="0" fontId="151" fillId="0" borderId="66" xfId="4501" applyFont="1" applyBorder="1" applyAlignment="1">
      <alignment horizontal="center"/>
    </xf>
    <xf numFmtId="0" fontId="151" fillId="0" borderId="29" xfId="4501" applyFont="1" applyBorder="1" applyAlignment="1">
      <alignment horizontal="center"/>
    </xf>
    <xf numFmtId="0" fontId="151" fillId="0" borderId="31" xfId="4501" applyFont="1" applyBorder="1" applyAlignment="1">
      <alignment horizontal="center"/>
    </xf>
    <xf numFmtId="0" fontId="51" fillId="0" borderId="66" xfId="4501" applyFont="1" applyBorder="1" applyAlignment="1">
      <alignment horizontal="center" vertical="center" wrapText="1"/>
    </xf>
    <xf numFmtId="0" fontId="51" fillId="0" borderId="29" xfId="4501" applyFont="1" applyBorder="1" applyAlignment="1">
      <alignment horizontal="center" vertical="center" wrapText="1"/>
    </xf>
    <xf numFmtId="0" fontId="51" fillId="0" borderId="31" xfId="4501" applyFont="1" applyBorder="1" applyAlignment="1">
      <alignment horizontal="center" vertical="center" wrapText="1"/>
    </xf>
    <xf numFmtId="0" fontId="29" fillId="0" borderId="66" xfId="4501" applyFont="1" applyBorder="1" applyAlignment="1">
      <alignment horizontal="center" vertical="center" wrapText="1"/>
    </xf>
    <xf numFmtId="0" fontId="29" fillId="0" borderId="29" xfId="4501" applyFont="1" applyBorder="1" applyAlignment="1">
      <alignment horizontal="center" vertical="center" wrapText="1"/>
    </xf>
    <xf numFmtId="0" fontId="29" fillId="0" borderId="31" xfId="4501" applyFont="1" applyBorder="1" applyAlignment="1">
      <alignment horizontal="center" vertical="center" wrapText="1"/>
    </xf>
    <xf numFmtId="1" fontId="6" fillId="48" borderId="11" xfId="4501" applyNumberFormat="1" applyFill="1" applyBorder="1" applyAlignment="1" applyProtection="1">
      <alignment horizontal="center"/>
      <protection locked="0"/>
    </xf>
    <xf numFmtId="1" fontId="155" fillId="45" borderId="13" xfId="4501" applyNumberFormat="1" applyFont="1" applyFill="1" applyBorder="1" applyAlignment="1">
      <alignment horizontal="center"/>
    </xf>
    <xf numFmtId="9" fontId="155" fillId="45" borderId="13" xfId="4503" applyFont="1" applyFill="1" applyBorder="1" applyAlignment="1">
      <alignment horizontal="center"/>
    </xf>
    <xf numFmtId="0" fontId="151" fillId="48" borderId="74" xfId="4501" applyFont="1" applyFill="1" applyBorder="1" applyAlignment="1" applyProtection="1">
      <alignment horizontal="right"/>
      <protection locked="0"/>
    </xf>
    <xf numFmtId="0" fontId="151" fillId="48" borderId="75" xfId="4501" applyFont="1" applyFill="1" applyBorder="1" applyAlignment="1" applyProtection="1">
      <alignment horizontal="right"/>
      <protection locked="0"/>
    </xf>
    <xf numFmtId="0" fontId="151" fillId="48" borderId="95" xfId="4501" applyFont="1" applyFill="1" applyBorder="1" applyAlignment="1" applyProtection="1">
      <alignment horizontal="right"/>
      <protection locked="0"/>
    </xf>
    <xf numFmtId="0" fontId="6" fillId="48" borderId="85" xfId="4501" applyFill="1" applyBorder="1" applyAlignment="1" applyProtection="1">
      <alignment horizontal="center"/>
      <protection locked="0"/>
    </xf>
    <xf numFmtId="0" fontId="6" fillId="48" borderId="86" xfId="4501" applyFill="1" applyBorder="1" applyAlignment="1" applyProtection="1">
      <alignment horizontal="center"/>
      <protection locked="0"/>
    </xf>
    <xf numFmtId="0" fontId="151" fillId="48" borderId="82" xfId="4501" applyFont="1" applyFill="1" applyBorder="1" applyAlignment="1" applyProtection="1">
      <alignment horizontal="right"/>
      <protection locked="0"/>
    </xf>
    <xf numFmtId="0" fontId="151" fillId="48" borderId="11" xfId="4501" applyFont="1" applyFill="1" applyBorder="1" applyAlignment="1" applyProtection="1">
      <alignment horizontal="right"/>
      <protection locked="0"/>
    </xf>
    <xf numFmtId="0" fontId="151" fillId="48" borderId="93" xfId="4501" applyFont="1" applyFill="1" applyBorder="1" applyAlignment="1" applyProtection="1">
      <alignment horizontal="right"/>
      <protection locked="0"/>
    </xf>
    <xf numFmtId="0" fontId="6" fillId="48" borderId="5" xfId="4501" applyFill="1" applyBorder="1" applyAlignment="1" applyProtection="1">
      <alignment horizontal="center"/>
      <protection locked="0"/>
    </xf>
    <xf numFmtId="0" fontId="153" fillId="48" borderId="82"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0" fontId="153" fillId="48" borderId="3" xfId="4501" applyFont="1" applyFill="1" applyBorder="1" applyAlignment="1" applyProtection="1">
      <alignment horizontal="center"/>
      <protection locked="0"/>
    </xf>
    <xf numFmtId="0" fontId="6" fillId="48" borderId="3" xfId="4501" applyFill="1" applyBorder="1" applyAlignment="1" applyProtection="1">
      <alignment horizontal="center"/>
      <protection locked="0"/>
    </xf>
    <xf numFmtId="0" fontId="151" fillId="48" borderId="94" xfId="4501" applyFont="1" applyFill="1" applyBorder="1" applyAlignment="1" applyProtection="1">
      <alignment horizontal="right"/>
      <protection locked="0"/>
    </xf>
    <xf numFmtId="0" fontId="151" fillId="48" borderId="4" xfId="4501" applyFont="1" applyFill="1" applyBorder="1" applyAlignment="1" applyProtection="1">
      <alignment horizontal="right"/>
      <protection locked="0"/>
    </xf>
    <xf numFmtId="0" fontId="151" fillId="48" borderId="81" xfId="4501" applyFont="1" applyFill="1" applyBorder="1" applyAlignment="1" applyProtection="1">
      <alignment horizontal="right"/>
      <protection locked="0"/>
    </xf>
    <xf numFmtId="0" fontId="159" fillId="48" borderId="82" xfId="4501" applyFont="1" applyFill="1" applyBorder="1" applyAlignment="1" applyProtection="1">
      <alignment horizontal="right"/>
      <protection locked="0"/>
    </xf>
    <xf numFmtId="0" fontId="159" fillId="48" borderId="11" xfId="4501" applyFont="1" applyFill="1" applyBorder="1" applyAlignment="1" applyProtection="1">
      <alignment horizontal="right"/>
      <protection locked="0"/>
    </xf>
    <xf numFmtId="0" fontId="159" fillId="48" borderId="93"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3" fillId="48" borderId="5" xfId="4501" applyFont="1" applyFill="1" applyBorder="1" applyAlignment="1" applyProtection="1">
      <alignment horizontal="center"/>
      <protection locked="0"/>
    </xf>
    <xf numFmtId="0" fontId="153" fillId="48" borderId="93" xfId="4501" applyFont="1" applyFill="1" applyBorder="1" applyAlignment="1" applyProtection="1">
      <alignment horizontal="center"/>
      <protection locked="0"/>
    </xf>
    <xf numFmtId="9" fontId="6" fillId="48" borderId="68" xfId="4501" applyNumberFormat="1" applyFill="1" applyBorder="1" applyAlignment="1" applyProtection="1">
      <alignment horizontal="center"/>
      <protection locked="0"/>
    </xf>
    <xf numFmtId="9" fontId="6" fillId="48" borderId="69" xfId="4501" applyNumberFormat="1" applyFill="1" applyBorder="1" applyAlignment="1" applyProtection="1">
      <alignment horizontal="center"/>
      <protection locked="0"/>
    </xf>
    <xf numFmtId="9" fontId="6" fillId="48" borderId="70" xfId="4501" applyNumberFormat="1" applyFill="1" applyBorder="1" applyAlignment="1" applyProtection="1">
      <alignment horizontal="center"/>
      <protection locked="0"/>
    </xf>
    <xf numFmtId="0" fontId="155" fillId="45" borderId="68" xfId="4501" applyFont="1" applyFill="1" applyBorder="1" applyAlignment="1">
      <alignment horizontal="center"/>
    </xf>
    <xf numFmtId="0" fontId="155" fillId="45" borderId="69" xfId="4501" applyFont="1" applyFill="1" applyBorder="1" applyAlignment="1">
      <alignment horizontal="center"/>
    </xf>
    <xf numFmtId="0" fontId="155" fillId="45" borderId="70" xfId="4501" applyFont="1" applyFill="1" applyBorder="1" applyAlignment="1">
      <alignment horizontal="center"/>
    </xf>
    <xf numFmtId="0" fontId="51" fillId="48" borderId="71" xfId="4501" applyFont="1" applyFill="1" applyBorder="1" applyAlignment="1" applyProtection="1">
      <alignment horizontal="right"/>
      <protection locked="0"/>
    </xf>
    <xf numFmtId="0" fontId="51" fillId="48" borderId="72" xfId="4501" applyFont="1" applyFill="1" applyBorder="1" applyAlignment="1" applyProtection="1">
      <alignment horizontal="right"/>
      <protection locked="0"/>
    </xf>
    <xf numFmtId="0" fontId="51" fillId="48" borderId="76" xfId="4501" applyFont="1" applyFill="1" applyBorder="1" applyAlignment="1" applyProtection="1">
      <alignment horizontal="right"/>
      <protection locked="0"/>
    </xf>
    <xf numFmtId="0" fontId="158" fillId="48" borderId="91" xfId="4501" applyFont="1" applyFill="1" applyBorder="1" applyAlignment="1" applyProtection="1">
      <alignment horizontal="center"/>
      <protection locked="0"/>
    </xf>
    <xf numFmtId="0" fontId="158" fillId="48" borderId="72" xfId="4501" applyFont="1" applyFill="1" applyBorder="1" applyAlignment="1" applyProtection="1">
      <alignment horizontal="center"/>
      <protection locked="0"/>
    </xf>
    <xf numFmtId="0" fontId="158" fillId="48" borderId="76" xfId="4501" applyFont="1" applyFill="1" applyBorder="1" applyAlignment="1" applyProtection="1">
      <alignment horizontal="center"/>
      <protection locked="0"/>
    </xf>
    <xf numFmtId="0" fontId="153" fillId="48" borderId="71" xfId="4501" applyFont="1" applyFill="1" applyBorder="1" applyAlignment="1" applyProtection="1">
      <alignment horizontal="center"/>
      <protection locked="0"/>
    </xf>
    <xf numFmtId="0" fontId="153" fillId="48" borderId="72" xfId="4501" applyFont="1" applyFill="1" applyBorder="1" applyAlignment="1" applyProtection="1">
      <alignment horizontal="center"/>
      <protection locked="0"/>
    </xf>
    <xf numFmtId="0" fontId="153" fillId="48" borderId="92" xfId="4501" applyFont="1" applyFill="1" applyBorder="1" applyAlignment="1" applyProtection="1">
      <alignment horizontal="center"/>
      <protection locked="0"/>
    </xf>
    <xf numFmtId="1" fontId="153" fillId="48" borderId="13" xfId="4501" applyNumberFormat="1" applyFont="1" applyFill="1" applyBorder="1" applyAlignment="1" applyProtection="1">
      <alignment horizontal="center"/>
      <protection locked="0"/>
    </xf>
    <xf numFmtId="1" fontId="6" fillId="48" borderId="13" xfId="4501" applyNumberFormat="1" applyFill="1" applyBorder="1" applyAlignment="1" applyProtection="1">
      <alignment horizontal="center"/>
      <protection locked="0"/>
    </xf>
    <xf numFmtId="0" fontId="62" fillId="45" borderId="68" xfId="4501" applyFont="1" applyFill="1" applyBorder="1" applyAlignment="1">
      <alignment horizontal="center"/>
    </xf>
    <xf numFmtId="0" fontId="62" fillId="45" borderId="69" xfId="4501" applyFont="1" applyFill="1" applyBorder="1" applyAlignment="1">
      <alignment horizontal="center"/>
    </xf>
    <xf numFmtId="0" fontId="62" fillId="45" borderId="70" xfId="4501" applyFont="1" applyFill="1" applyBorder="1" applyAlignment="1">
      <alignment horizontal="center"/>
    </xf>
    <xf numFmtId="0" fontId="157" fillId="45" borderId="67" xfId="4501" applyFont="1" applyFill="1" applyBorder="1" applyAlignment="1">
      <alignment horizontal="center" vertical="center" wrapText="1"/>
    </xf>
    <xf numFmtId="0" fontId="157" fillId="45" borderId="0" xfId="4501" applyFont="1" applyFill="1" applyBorder="1" applyAlignment="1">
      <alignment horizontal="center" vertical="center"/>
    </xf>
    <xf numFmtId="0" fontId="157" fillId="45" borderId="41" xfId="4501" applyFont="1" applyFill="1" applyBorder="1" applyAlignment="1">
      <alignment horizontal="center" vertical="center"/>
    </xf>
    <xf numFmtId="0" fontId="157" fillId="45" borderId="67" xfId="4501" applyFont="1" applyFill="1" applyBorder="1" applyAlignment="1">
      <alignment horizontal="center" vertical="center"/>
    </xf>
    <xf numFmtId="0" fontId="151" fillId="45" borderId="67" xfId="4501" applyFont="1" applyFill="1" applyBorder="1" applyAlignment="1">
      <alignment horizontal="center" vertical="center" wrapText="1"/>
    </xf>
    <xf numFmtId="0" fontId="151" fillId="45" borderId="0" xfId="4501" applyFont="1" applyFill="1" applyBorder="1" applyAlignment="1">
      <alignment horizontal="center" vertical="center"/>
    </xf>
    <xf numFmtId="0" fontId="151" fillId="45" borderId="41" xfId="4501" applyFont="1" applyFill="1" applyBorder="1" applyAlignment="1">
      <alignment horizontal="center" vertical="center"/>
    </xf>
    <xf numFmtId="0" fontId="151" fillId="45" borderId="67" xfId="4501" applyFont="1" applyFill="1" applyBorder="1" applyAlignment="1">
      <alignment horizontal="center" vertical="center"/>
    </xf>
    <xf numFmtId="0" fontId="51" fillId="45" borderId="68" xfId="4501" applyFont="1" applyFill="1" applyBorder="1" applyAlignment="1">
      <alignment horizontal="center"/>
    </xf>
    <xf numFmtId="0" fontId="51" fillId="45" borderId="69" xfId="4501" applyFont="1" applyFill="1" applyBorder="1" applyAlignment="1">
      <alignment horizontal="center"/>
    </xf>
    <xf numFmtId="0" fontId="51" fillId="45" borderId="70" xfId="4501" applyFont="1" applyFill="1" applyBorder="1" applyAlignment="1">
      <alignment horizontal="center"/>
    </xf>
    <xf numFmtId="0" fontId="51" fillId="45" borderId="66" xfId="4501" applyFont="1" applyFill="1" applyBorder="1" applyAlignment="1">
      <alignment horizontal="center" vertical="center" wrapText="1"/>
    </xf>
    <xf numFmtId="0" fontId="151" fillId="45" borderId="29" xfId="4501" applyFont="1" applyFill="1" applyBorder="1" applyAlignment="1">
      <alignment horizontal="center" vertical="center" wrapText="1"/>
    </xf>
    <xf numFmtId="0" fontId="151" fillId="45" borderId="31" xfId="4501" applyFont="1" applyFill="1" applyBorder="1" applyAlignment="1">
      <alignment horizontal="center" vertical="center" wrapText="1"/>
    </xf>
    <xf numFmtId="0" fontId="151" fillId="45" borderId="88" xfId="4501" applyFont="1" applyFill="1" applyBorder="1" applyAlignment="1">
      <alignment horizontal="center" vertical="center" wrapText="1"/>
    </xf>
    <xf numFmtId="0" fontId="151" fillId="45" borderId="42" xfId="4501" applyFont="1" applyFill="1" applyBorder="1" applyAlignment="1">
      <alignment horizontal="center" vertical="center" wrapText="1"/>
    </xf>
    <xf numFmtId="0" fontId="151" fillId="45" borderId="44" xfId="4501" applyFont="1" applyFill="1" applyBorder="1" applyAlignment="1">
      <alignment horizontal="center" vertical="center" wrapText="1"/>
    </xf>
    <xf numFmtId="0" fontId="156" fillId="45" borderId="88" xfId="4501" applyFont="1" applyFill="1" applyBorder="1" applyAlignment="1">
      <alignment horizontal="center"/>
    </xf>
    <xf numFmtId="0" fontId="156" fillId="45" borderId="42" xfId="4501" applyFont="1" applyFill="1" applyBorder="1" applyAlignment="1">
      <alignment horizontal="center"/>
    </xf>
    <xf numFmtId="0" fontId="156" fillId="45" borderId="89" xfId="4501" applyFont="1" applyFill="1" applyBorder="1" applyAlignment="1">
      <alignment horizontal="center"/>
    </xf>
    <xf numFmtId="0" fontId="156" fillId="45" borderId="90" xfId="4501" applyFont="1" applyFill="1" applyBorder="1" applyAlignment="1">
      <alignment horizontal="center"/>
    </xf>
    <xf numFmtId="9" fontId="156" fillId="45" borderId="90" xfId="4495" applyFont="1" applyFill="1" applyBorder="1" applyAlignment="1">
      <alignment horizontal="center"/>
    </xf>
    <xf numFmtId="9" fontId="156" fillId="45" borderId="42" xfId="4495" applyFont="1" applyFill="1" applyBorder="1" applyAlignment="1">
      <alignment horizontal="center"/>
    </xf>
    <xf numFmtId="9" fontId="156" fillId="45" borderId="44" xfId="4495" applyFont="1" applyFill="1" applyBorder="1" applyAlignment="1">
      <alignment horizontal="center"/>
    </xf>
    <xf numFmtId="0" fontId="156" fillId="45" borderId="83" xfId="4501" applyFont="1" applyFill="1" applyBorder="1" applyAlignment="1">
      <alignment horizontal="center"/>
    </xf>
    <xf numFmtId="0" fontId="156" fillId="45" borderId="84" xfId="4501" applyFont="1" applyFill="1" applyBorder="1" applyAlignment="1">
      <alignment horizontal="center"/>
    </xf>
    <xf numFmtId="0" fontId="156" fillId="45" borderId="85" xfId="4501" applyFont="1" applyFill="1" applyBorder="1" applyAlignment="1">
      <alignment horizontal="center"/>
    </xf>
    <xf numFmtId="0" fontId="156" fillId="45" borderId="3" xfId="4501" applyFont="1" applyFill="1" applyBorder="1" applyAlignment="1">
      <alignment horizontal="center"/>
    </xf>
    <xf numFmtId="0" fontId="156" fillId="45" borderId="4" xfId="4501" applyFont="1" applyFill="1" applyBorder="1" applyAlignment="1">
      <alignment horizontal="center"/>
    </xf>
    <xf numFmtId="0" fontId="156" fillId="45" borderId="5" xfId="4501" applyFont="1" applyFill="1" applyBorder="1" applyAlignment="1">
      <alignment horizontal="center"/>
    </xf>
    <xf numFmtId="0" fontId="156" fillId="52" borderId="3" xfId="4501" applyFont="1" applyFill="1" applyBorder="1" applyAlignment="1">
      <alignment horizontal="center"/>
    </xf>
    <xf numFmtId="0" fontId="156" fillId="52" borderId="4" xfId="4501" applyFont="1" applyFill="1" applyBorder="1" applyAlignment="1">
      <alignment horizontal="center"/>
    </xf>
    <xf numFmtId="0" fontId="156" fillId="52" borderId="5" xfId="4501" applyFont="1" applyFill="1" applyBorder="1" applyAlignment="1">
      <alignment horizontal="center"/>
    </xf>
    <xf numFmtId="0" fontId="156" fillId="52" borderId="3" xfId="4501" applyFont="1" applyFill="1" applyBorder="1" applyAlignment="1" applyProtection="1">
      <alignment horizontal="center"/>
    </xf>
    <xf numFmtId="0" fontId="156" fillId="52" borderId="4" xfId="4501" applyFont="1" applyFill="1" applyBorder="1" applyAlignment="1" applyProtection="1">
      <alignment horizontal="center"/>
    </xf>
    <xf numFmtId="0" fontId="156" fillId="52" borderId="5" xfId="4501" applyFont="1" applyFill="1" applyBorder="1" applyAlignment="1" applyProtection="1">
      <alignment horizontal="center"/>
    </xf>
    <xf numFmtId="9" fontId="156" fillId="45" borderId="3" xfId="4501" applyNumberFormat="1" applyFont="1" applyFill="1" applyBorder="1" applyAlignment="1">
      <alignment horizontal="center"/>
    </xf>
    <xf numFmtId="9" fontId="156" fillId="45" borderId="4" xfId="4501" applyNumberFormat="1" applyFont="1" applyFill="1" applyBorder="1" applyAlignment="1">
      <alignment horizontal="center"/>
    </xf>
    <xf numFmtId="9" fontId="156" fillId="45" borderId="81" xfId="4501" applyNumberFormat="1" applyFont="1" applyFill="1" applyBorder="1" applyAlignment="1">
      <alignment horizontal="center"/>
    </xf>
    <xf numFmtId="9" fontId="156" fillId="45" borderId="82" xfId="4501" applyNumberFormat="1" applyFont="1" applyFill="1" applyBorder="1" applyAlignment="1">
      <alignment horizontal="center"/>
    </xf>
    <xf numFmtId="0" fontId="156" fillId="45" borderId="11" xfId="4501" applyFont="1" applyFill="1" applyBorder="1" applyAlignment="1">
      <alignment horizontal="center"/>
    </xf>
    <xf numFmtId="0" fontId="156" fillId="45" borderId="80" xfId="4501" applyFont="1" applyFill="1" applyBorder="1" applyAlignment="1">
      <alignment horizontal="center"/>
    </xf>
    <xf numFmtId="0" fontId="156" fillId="45" borderId="2" xfId="4501" applyFont="1" applyFill="1" applyBorder="1" applyAlignment="1">
      <alignment horizontal="center"/>
    </xf>
    <xf numFmtId="0" fontId="156" fillId="45" borderId="7" xfId="4501" applyFont="1" applyFill="1" applyBorder="1" applyAlignment="1">
      <alignment horizontal="center"/>
    </xf>
    <xf numFmtId="0" fontId="156" fillId="45" borderId="81" xfId="4501" applyFont="1" applyFill="1" applyBorder="1" applyAlignment="1">
      <alignment horizontal="center"/>
    </xf>
    <xf numFmtId="0" fontId="155" fillId="48" borderId="68" xfId="4501" applyFont="1" applyFill="1" applyBorder="1" applyAlignment="1" applyProtection="1">
      <alignment horizontal="center"/>
      <protection locked="0"/>
    </xf>
    <xf numFmtId="0" fontId="155" fillId="48" borderId="69" xfId="4501" applyFont="1" applyFill="1" applyBorder="1" applyAlignment="1" applyProtection="1">
      <alignment horizontal="center"/>
      <protection locked="0"/>
    </xf>
    <xf numFmtId="0" fontId="155" fillId="48" borderId="70" xfId="4501" applyFont="1" applyFill="1" applyBorder="1" applyAlignment="1" applyProtection="1">
      <alignment horizontal="center"/>
      <protection locked="0"/>
    </xf>
    <xf numFmtId="0" fontId="99" fillId="0" borderId="0" xfId="4501" applyFont="1" applyAlignment="1">
      <alignment horizontal="center"/>
    </xf>
    <xf numFmtId="0" fontId="99" fillId="0" borderId="41" xfId="4501" applyFont="1" applyBorder="1" applyAlignment="1">
      <alignment horizontal="center"/>
    </xf>
    <xf numFmtId="0" fontId="6" fillId="52" borderId="72" xfId="4501" applyFill="1" applyBorder="1" applyAlignment="1">
      <alignment horizontal="center"/>
    </xf>
    <xf numFmtId="0" fontId="6" fillId="52" borderId="76" xfId="4501" applyFill="1" applyBorder="1" applyAlignment="1">
      <alignment horizontal="center"/>
    </xf>
    <xf numFmtId="0" fontId="6" fillId="52" borderId="68" xfId="4501" applyFill="1" applyBorder="1" applyAlignment="1" applyProtection="1">
      <alignment horizontal="left"/>
    </xf>
    <xf numFmtId="0" fontId="6" fillId="52" borderId="69" xfId="4501" applyFill="1" applyBorder="1" applyAlignment="1" applyProtection="1">
      <alignment horizontal="left"/>
    </xf>
    <xf numFmtId="0" fontId="6" fillId="52" borderId="70" xfId="4501" applyFill="1" applyBorder="1" applyAlignment="1" applyProtection="1">
      <alignment horizontal="left"/>
    </xf>
    <xf numFmtId="0" fontId="6" fillId="53" borderId="68" xfId="4501" applyFill="1" applyBorder="1" applyAlignment="1">
      <alignment horizontal="center"/>
    </xf>
    <xf numFmtId="0" fontId="6" fillId="53" borderId="69" xfId="4501" applyFill="1" applyBorder="1" applyAlignment="1">
      <alignment horizontal="center"/>
    </xf>
    <xf numFmtId="0" fontId="6"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2" fillId="45" borderId="68" xfId="4501" applyFont="1" applyFill="1" applyBorder="1" applyAlignment="1">
      <alignment horizontal="center" wrapText="1"/>
    </xf>
    <xf numFmtId="0" fontId="152" fillId="45" borderId="69" xfId="4501" applyFont="1" applyFill="1" applyBorder="1" applyAlignment="1">
      <alignment horizontal="center" wrapText="1"/>
    </xf>
    <xf numFmtId="0" fontId="152" fillId="45" borderId="70" xfId="4501" applyFont="1" applyFill="1" applyBorder="1" applyAlignment="1">
      <alignment horizontal="center" wrapText="1"/>
    </xf>
    <xf numFmtId="0" fontId="149" fillId="50" borderId="66" xfId="4501" applyFont="1" applyFill="1" applyBorder="1" applyAlignment="1">
      <alignment horizontal="center"/>
    </xf>
    <xf numFmtId="0" fontId="149" fillId="50" borderId="29" xfId="4501" applyFont="1" applyFill="1" applyBorder="1" applyAlignment="1">
      <alignment horizontal="center"/>
    </xf>
    <xf numFmtId="0" fontId="149" fillId="50" borderId="31" xfId="4501" applyFont="1" applyFill="1" applyBorder="1" applyAlignment="1">
      <alignment horizontal="center"/>
    </xf>
    <xf numFmtId="0" fontId="150" fillId="51" borderId="67" xfId="4501" applyFont="1" applyFill="1" applyBorder="1" applyAlignment="1">
      <alignment horizontal="center"/>
    </xf>
    <xf numFmtId="0" fontId="150" fillId="51" borderId="0" xfId="4501" applyFont="1" applyFill="1" applyAlignment="1">
      <alignment horizontal="center"/>
    </xf>
    <xf numFmtId="0" fontId="150" fillId="51" borderId="41" xfId="4501" applyFont="1" applyFill="1" applyBorder="1" applyAlignment="1">
      <alignment horizontal="center"/>
    </xf>
    <xf numFmtId="0" fontId="83" fillId="52" borderId="68" xfId="4501" applyFont="1" applyFill="1" applyBorder="1" applyAlignment="1" applyProtection="1">
      <alignment horizontal="center"/>
    </xf>
    <xf numFmtId="0" fontId="83" fillId="52" borderId="69" xfId="4501" applyFont="1" applyFill="1" applyBorder="1" applyAlignment="1" applyProtection="1">
      <alignment horizontal="center"/>
    </xf>
    <xf numFmtId="0" fontId="83" fillId="52" borderId="70" xfId="4501" applyFont="1" applyFill="1" applyBorder="1" applyAlignment="1" applyProtection="1">
      <alignment horizontal="center"/>
    </xf>
    <xf numFmtId="14" fontId="155" fillId="48" borderId="73" xfId="4501" applyNumberFormat="1" applyFont="1" applyFill="1" applyBorder="1" applyAlignment="1" applyProtection="1">
      <alignment horizontal="center"/>
      <protection locked="0"/>
    </xf>
    <xf numFmtId="14" fontId="153" fillId="48" borderId="68" xfId="4501" applyNumberFormat="1" applyFont="1" applyFill="1" applyBorder="1" applyAlignment="1" applyProtection="1">
      <alignment horizontal="center" vertical="center"/>
      <protection locked="0"/>
    </xf>
    <xf numFmtId="0" fontId="153" fillId="48" borderId="69" xfId="4501" applyFont="1" applyFill="1" applyBorder="1" applyAlignment="1" applyProtection="1">
      <alignment horizontal="center" vertical="center"/>
      <protection locked="0"/>
    </xf>
    <xf numFmtId="0" fontId="153" fillId="48" borderId="70" xfId="4501" applyFont="1" applyFill="1" applyBorder="1" applyAlignment="1" applyProtection="1">
      <alignment horizontal="center" vertical="center"/>
      <protection locked="0"/>
    </xf>
    <xf numFmtId="1" fontId="6" fillId="52" borderId="68" xfId="4501" applyNumberFormat="1" applyFill="1" applyBorder="1" applyAlignment="1">
      <alignment horizontal="center"/>
    </xf>
    <xf numFmtId="0" fontId="6" fillId="52" borderId="69" xfId="4501" applyFill="1" applyBorder="1" applyAlignment="1">
      <alignment horizontal="center"/>
    </xf>
    <xf numFmtId="0" fontId="6" fillId="52" borderId="70" xfId="450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6"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0" borderId="2" xfId="4496" applyFont="1" applyFill="1" applyBorder="1" applyAlignment="1">
      <alignment horizontal="center"/>
    </xf>
    <xf numFmtId="0" fontId="29" fillId="0"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6"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0" fontId="62" fillId="0" borderId="15" xfId="570" applyFont="1" applyBorder="1" applyAlignment="1">
      <alignment horizontal="center" vertical="center" wrapText="1"/>
    </xf>
    <xf numFmtId="0" fontId="62" fillId="0" borderId="13" xfId="570" applyFont="1" applyBorder="1" applyAlignment="1">
      <alignment horizontal="center" vertical="center" wrapText="1"/>
    </xf>
    <xf numFmtId="49" fontId="133" fillId="3" borderId="0" xfId="570" applyNumberFormat="1" applyFont="1" applyFill="1" applyBorder="1" applyAlignment="1" applyProtection="1">
      <alignment horizontal="center" vertical="center"/>
    </xf>
    <xf numFmtId="0" fontId="18" fillId="0" borderId="0" xfId="570" applyFont="1" applyBorder="1" applyAlignment="1">
      <alignment horizontal="left" vertical="center" wrapText="1"/>
    </xf>
    <xf numFmtId="0" fontId="18" fillId="0" borderId="6" xfId="570" applyFont="1" applyBorder="1" applyAlignment="1">
      <alignment horizontal="left" vertical="center" wrapText="1"/>
    </xf>
    <xf numFmtId="0" fontId="18" fillId="0" borderId="4" xfId="570" applyFont="1" applyBorder="1" applyAlignment="1">
      <alignment horizontal="left" vertical="center" wrapText="1"/>
    </xf>
    <xf numFmtId="0" fontId="18" fillId="0" borderId="4" xfId="570" applyFont="1" applyBorder="1" applyAlignment="1">
      <alignment horizontal="left" wrapText="1"/>
    </xf>
    <xf numFmtId="0" fontId="62" fillId="0" borderId="1" xfId="570" applyFont="1" applyBorder="1" applyAlignment="1">
      <alignment horizontal="center" vertical="center"/>
    </xf>
    <xf numFmtId="0" fontId="13" fillId="0" borderId="2" xfId="570" applyBorder="1" applyAlignment="1"/>
    <xf numFmtId="0" fontId="13" fillId="0" borderId="7" xfId="570" applyBorder="1" applyAlignment="1"/>
    <xf numFmtId="0" fontId="13" fillId="0" borderId="9" xfId="570" applyBorder="1" applyAlignment="1"/>
    <xf numFmtId="0" fontId="13" fillId="0" borderId="6" xfId="570" applyBorder="1" applyAlignment="1"/>
    <xf numFmtId="0" fontId="13" fillId="0" borderId="10" xfId="570" applyBorder="1" applyAlignment="1"/>
    <xf numFmtId="0" fontId="62" fillId="0" borderId="15" xfId="1193" applyFont="1" applyBorder="1" applyAlignment="1">
      <alignment horizontal="center" vertical="center" wrapText="1"/>
    </xf>
    <xf numFmtId="0" fontId="62" fillId="0" borderId="13" xfId="1193" applyFont="1" applyBorder="1" applyAlignment="1">
      <alignment horizontal="center" vertical="center" wrapText="1"/>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cellXfs>
  <cellStyles count="17148">
    <cellStyle name="20% - Accent1" xfId="1" builtinId="30" customBuiltin="1"/>
    <cellStyle name="20% - Accent1 10" xfId="4507" xr:uid="{00000000-0005-0000-0000-000001000000}"/>
    <cellStyle name="20% - Accent1 10 2" xfId="12936" xr:uid="{98456118-C61E-414A-8388-707528C6BDC0}"/>
    <cellStyle name="20% - Accent1 11" xfId="8718" xr:uid="{A85A19E3-2044-47A1-9666-722FA1ACB266}"/>
    <cellStyle name="20% - Accent1 2" xfId="2" xr:uid="{00000000-0005-0000-0000-000002000000}"/>
    <cellStyle name="20% - Accent1 2 10" xfId="8719" xr:uid="{91BC3307-C7C8-43E1-96F7-FDF8515F54E4}"/>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507B7552-C367-4B40-89A0-3DB4F4C4E8FF}"/>
    <cellStyle name="20% - Accent1 2 2 2 2 2 3" xfId="11280" xr:uid="{2A8FD8FC-5916-499D-AEB9-57D0816DE33C}"/>
    <cellStyle name="20% - Accent1 2 2 2 2 3" xfId="4924" xr:uid="{00000000-0005-0000-0000-000008000000}"/>
    <cellStyle name="20% - Accent1 2 2 2 2 3 2" xfId="13353" xr:uid="{316BB8CF-A5CE-43EC-A009-579D62F0597C}"/>
    <cellStyle name="20% - Accent1 2 2 2 2 4" xfId="9135" xr:uid="{5CE93634-FD67-4ABA-8B85-49C0E27EE6DD}"/>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4407B34A-0154-4085-B35F-5125610927D2}"/>
    <cellStyle name="20% - Accent1 2 2 2 3 2 3" xfId="11693" xr:uid="{0F6B53BB-915E-4D57-8477-1743A2F2F98A}"/>
    <cellStyle name="20% - Accent1 2 2 2 3 3" xfId="5337" xr:uid="{00000000-0005-0000-0000-00000C000000}"/>
    <cellStyle name="20% - Accent1 2 2 2 3 3 2" xfId="13766" xr:uid="{A74377C9-AD5A-4EC3-A160-22B48B92BE7E}"/>
    <cellStyle name="20% - Accent1 2 2 2 3 4" xfId="9548" xr:uid="{7C5A111C-08A2-448D-A741-A219ED47209E}"/>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4656FA4D-CB59-41F0-9EB9-67F4B7B55CB3}"/>
    <cellStyle name="20% - Accent1 2 2 2 4 2 3" xfId="12106" xr:uid="{689A99A4-6856-4685-959F-82FD68D80F73}"/>
    <cellStyle name="20% - Accent1 2 2 2 4 3" xfId="5750" xr:uid="{00000000-0005-0000-0000-000010000000}"/>
    <cellStyle name="20% - Accent1 2 2 2 4 3 2" xfId="14179" xr:uid="{E86B9E02-B0EF-4DA0-98BF-689EC52DAD41}"/>
    <cellStyle name="20% - Accent1 2 2 2 4 4" xfId="9961" xr:uid="{7648C893-39FE-49F0-822C-896C44D7CB9E}"/>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A77CEE51-979B-4F32-B556-34502075418F}"/>
    <cellStyle name="20% - Accent1 2 2 2 5 2 3" xfId="12519" xr:uid="{FD80CB57-A92D-4906-A644-D9A63B25FA5B}"/>
    <cellStyle name="20% - Accent1 2 2 2 5 3" xfId="6163" xr:uid="{00000000-0005-0000-0000-000014000000}"/>
    <cellStyle name="20% - Accent1 2 2 2 5 3 2" xfId="14592" xr:uid="{B6D82F54-7A37-43C6-9E99-D9A3D5A658CF}"/>
    <cellStyle name="20% - Accent1 2 2 2 5 4" xfId="10374" xr:uid="{538B64C7-95CE-4863-8280-CB7F136835ED}"/>
    <cellStyle name="20% - Accent1 2 2 2 6" xfId="2268" xr:uid="{00000000-0005-0000-0000-000015000000}"/>
    <cellStyle name="20% - Accent1 2 2 2 6 2" xfId="6576" xr:uid="{00000000-0005-0000-0000-000016000000}"/>
    <cellStyle name="20% - Accent1 2 2 2 6 2 2" xfId="15005" xr:uid="{B2CB7860-82A4-45FF-8CA6-8C17CD586394}"/>
    <cellStyle name="20% - Accent1 2 2 2 6 3" xfId="10787" xr:uid="{7F99B822-8BD8-4B69-B6D0-1210AFB048FC}"/>
    <cellStyle name="20% - Accent1 2 2 2 7" xfId="4510" xr:uid="{00000000-0005-0000-0000-000017000000}"/>
    <cellStyle name="20% - Accent1 2 2 2 7 2" xfId="12939" xr:uid="{1440878A-F184-422F-8BA0-2B5B1097039B}"/>
    <cellStyle name="20% - Accent1 2 2 2 8" xfId="8721" xr:uid="{2D691437-48B3-4714-967A-450F88F8C67E}"/>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757F7F1B-3F37-4F25-8710-4190AD658E26}"/>
    <cellStyle name="20% - Accent1 2 2 3 2 3" xfId="11279" xr:uid="{8956114B-F275-40F1-B1FC-2BE94A70304B}"/>
    <cellStyle name="20% - Accent1 2 2 3 3" xfId="4923" xr:uid="{00000000-0005-0000-0000-00001B000000}"/>
    <cellStyle name="20% - Accent1 2 2 3 3 2" xfId="13352" xr:uid="{1F198D36-0658-484D-8BAB-4F686244F330}"/>
    <cellStyle name="20% - Accent1 2 2 3 4" xfId="9134" xr:uid="{F5F3C8D9-6707-450C-BC98-AC7D319E73EE}"/>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9C221BF6-C181-4EBF-AB07-AD12C089A7D0}"/>
    <cellStyle name="20% - Accent1 2 2 4 2 3" xfId="11692" xr:uid="{EA6544A6-0FF8-4867-8863-C959B39F84FF}"/>
    <cellStyle name="20% - Accent1 2 2 4 3" xfId="5336" xr:uid="{00000000-0005-0000-0000-00001F000000}"/>
    <cellStyle name="20% - Accent1 2 2 4 3 2" xfId="13765" xr:uid="{39B0E43C-EB7F-49E7-8E89-0504990C7F53}"/>
    <cellStyle name="20% - Accent1 2 2 4 4" xfId="9547" xr:uid="{1D387231-FCDB-4E7F-BB16-F9B7F70C0F42}"/>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D01AF4F2-5875-4804-802B-88CCF6C46D80}"/>
    <cellStyle name="20% - Accent1 2 2 5 2 3" xfId="12105" xr:uid="{713BBB59-8ED3-4FDC-B151-39D529E28EEC}"/>
    <cellStyle name="20% - Accent1 2 2 5 3" xfId="5749" xr:uid="{00000000-0005-0000-0000-000023000000}"/>
    <cellStyle name="20% - Accent1 2 2 5 3 2" xfId="14178" xr:uid="{EE764422-6FBE-4A27-9CD8-5650C9D3CB1E}"/>
    <cellStyle name="20% - Accent1 2 2 5 4" xfId="9960" xr:uid="{1CF0BCA3-7441-442D-98DE-46D6F8D520B4}"/>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4199CFFC-832F-4692-825B-2885BA572D17}"/>
    <cellStyle name="20% - Accent1 2 2 6 2 3" xfId="12518" xr:uid="{29F089E2-B303-4337-AC29-1ADE9CAF2CED}"/>
    <cellStyle name="20% - Accent1 2 2 6 3" xfId="6162" xr:uid="{00000000-0005-0000-0000-000027000000}"/>
    <cellStyle name="20% - Accent1 2 2 6 3 2" xfId="14591" xr:uid="{44CF135F-91FD-4EBC-87F4-4B6C413D7415}"/>
    <cellStyle name="20% - Accent1 2 2 6 4" xfId="10373" xr:uid="{633C1DF9-D064-4A65-A0AA-2670B9947F0B}"/>
    <cellStyle name="20% - Accent1 2 2 7" xfId="2267" xr:uid="{00000000-0005-0000-0000-000028000000}"/>
    <cellStyle name="20% - Accent1 2 2 7 2" xfId="6575" xr:uid="{00000000-0005-0000-0000-000029000000}"/>
    <cellStyle name="20% - Accent1 2 2 7 2 2" xfId="15004" xr:uid="{EDBBE2AE-643B-4CC3-B506-5DCE52404ECB}"/>
    <cellStyle name="20% - Accent1 2 2 7 3" xfId="10786" xr:uid="{DFCBF6A1-4DEF-4F56-9FFD-1023FC5C851C}"/>
    <cellStyle name="20% - Accent1 2 2 8" xfId="4509" xr:uid="{00000000-0005-0000-0000-00002A000000}"/>
    <cellStyle name="20% - Accent1 2 2 8 2" xfId="12938" xr:uid="{517B29A8-FCF0-443F-BD59-D67FF5AD0F15}"/>
    <cellStyle name="20% - Accent1 2 2 9" xfId="8720" xr:uid="{D64085BB-546A-438F-AE05-D48DC0F3F3DA}"/>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39BF0601-998B-45C7-A47A-A0E0B141FB6B}"/>
    <cellStyle name="20% - Accent1 2 3 2 2 3" xfId="11281" xr:uid="{46E80A89-4A80-419C-81FE-5587755AD87D}"/>
    <cellStyle name="20% - Accent1 2 3 2 3" xfId="4925" xr:uid="{00000000-0005-0000-0000-00002F000000}"/>
    <cellStyle name="20% - Accent1 2 3 2 3 2" xfId="13354" xr:uid="{33159101-F5D1-4D81-B533-741D66B07C1E}"/>
    <cellStyle name="20% - Accent1 2 3 2 4" xfId="9136" xr:uid="{1BBFA5D4-5CA5-42C9-9CD1-B05345B825F7}"/>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A923D9C5-6495-4DF4-A248-E33B56584F9F}"/>
    <cellStyle name="20% - Accent1 2 3 3 2 3" xfId="11694" xr:uid="{17D27399-527D-40E5-8E47-0BB898FAA2C5}"/>
    <cellStyle name="20% - Accent1 2 3 3 3" xfId="5338" xr:uid="{00000000-0005-0000-0000-000033000000}"/>
    <cellStyle name="20% - Accent1 2 3 3 3 2" xfId="13767" xr:uid="{52ACB6DC-1B78-45B0-93F9-C0FED0D6D1CE}"/>
    <cellStyle name="20% - Accent1 2 3 3 4" xfId="9549" xr:uid="{8718ACC9-0EDB-415C-8F28-7616BFC76094}"/>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35EB186A-CD0C-4071-A6C9-7FDB2B16B09B}"/>
    <cellStyle name="20% - Accent1 2 3 4 2 3" xfId="12107" xr:uid="{BB3900D4-3B56-4119-A4E0-2835E4F2BE7B}"/>
    <cellStyle name="20% - Accent1 2 3 4 3" xfId="5751" xr:uid="{00000000-0005-0000-0000-000037000000}"/>
    <cellStyle name="20% - Accent1 2 3 4 3 2" xfId="14180" xr:uid="{936F1501-DCE5-446C-8ED8-13732AC14509}"/>
    <cellStyle name="20% - Accent1 2 3 4 4" xfId="9962" xr:uid="{BB2D9128-139C-4AD8-901E-FF56B0358EC8}"/>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FD786263-BD6F-4743-97D8-CC4F43012E7A}"/>
    <cellStyle name="20% - Accent1 2 3 5 2 3" xfId="12520" xr:uid="{A52D88B4-64A4-48B5-A557-E8B2D38542CC}"/>
    <cellStyle name="20% - Accent1 2 3 5 3" xfId="6164" xr:uid="{00000000-0005-0000-0000-00003B000000}"/>
    <cellStyle name="20% - Accent1 2 3 5 3 2" xfId="14593" xr:uid="{E2FD3231-96FB-4C83-AECC-B0CF97CEC1D1}"/>
    <cellStyle name="20% - Accent1 2 3 5 4" xfId="10375" xr:uid="{0D5B9BDA-D5A2-4BD1-9136-C5A8A2235D57}"/>
    <cellStyle name="20% - Accent1 2 3 6" xfId="2269" xr:uid="{00000000-0005-0000-0000-00003C000000}"/>
    <cellStyle name="20% - Accent1 2 3 6 2" xfId="6577" xr:uid="{00000000-0005-0000-0000-00003D000000}"/>
    <cellStyle name="20% - Accent1 2 3 6 2 2" xfId="15006" xr:uid="{2C0C7C5F-7D5B-4952-A76E-7D178C731C05}"/>
    <cellStyle name="20% - Accent1 2 3 6 3" xfId="10788" xr:uid="{0F44B795-96F6-476A-A11D-173684D0B347}"/>
    <cellStyle name="20% - Accent1 2 3 7" xfId="4511" xr:uid="{00000000-0005-0000-0000-00003E000000}"/>
    <cellStyle name="20% - Accent1 2 3 7 2" xfId="12940" xr:uid="{DCFB2458-A0DA-4420-AD99-F8F3EC27AC86}"/>
    <cellStyle name="20% - Accent1 2 3 8" xfId="8722" xr:uid="{EA264FD8-D538-44FF-9F5A-FEBC95148245}"/>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D41CCCB5-CFE8-4E44-8304-F2B4F86B8DBA}"/>
    <cellStyle name="20% - Accent1 2 4 2 3" xfId="11278" xr:uid="{3B8BC92E-8851-4570-830E-F98507048799}"/>
    <cellStyle name="20% - Accent1 2 4 3" xfId="4922" xr:uid="{00000000-0005-0000-0000-000042000000}"/>
    <cellStyle name="20% - Accent1 2 4 3 2" xfId="13351" xr:uid="{F8B61DAC-E8EC-4448-8CB6-9CA0D6C1FD10}"/>
    <cellStyle name="20% - Accent1 2 4 4" xfId="9133" xr:uid="{1666BA64-8949-4D3D-BD49-F31FF03FD28F}"/>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DFB09E71-BE1D-4CA2-930C-FB711229D55D}"/>
    <cellStyle name="20% - Accent1 2 5 2 3" xfId="11691" xr:uid="{A6E916EE-3B7A-460F-A8B0-0DB340AA53D7}"/>
    <cellStyle name="20% - Accent1 2 5 3" xfId="5335" xr:uid="{00000000-0005-0000-0000-000046000000}"/>
    <cellStyle name="20% - Accent1 2 5 3 2" xfId="13764" xr:uid="{DAC41D22-2C4B-49AE-8264-09CA2F667075}"/>
    <cellStyle name="20% - Accent1 2 5 4" xfId="9546" xr:uid="{E1D59EC4-F5CF-4D7C-9E0A-9E48EAE106EE}"/>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596248ED-CD77-4B2D-B589-43A0C6E518E3}"/>
    <cellStyle name="20% - Accent1 2 6 2 3" xfId="12104" xr:uid="{C34E17F2-9B2E-4D9B-9F49-151F0A6E1C2E}"/>
    <cellStyle name="20% - Accent1 2 6 3" xfId="5748" xr:uid="{00000000-0005-0000-0000-00004A000000}"/>
    <cellStyle name="20% - Accent1 2 6 3 2" xfId="14177" xr:uid="{53C8C66D-5584-4A7B-B4D9-285404DE9D33}"/>
    <cellStyle name="20% - Accent1 2 6 4" xfId="9959" xr:uid="{59BD1335-C6FC-4011-BD6C-06D83D46D304}"/>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CB2A6855-E768-49E0-8A9D-7A5F4358850D}"/>
    <cellStyle name="20% - Accent1 2 7 2 3" xfId="12517" xr:uid="{564F7813-0E5B-4500-A7D4-EEDB2F42C301}"/>
    <cellStyle name="20% - Accent1 2 7 3" xfId="6161" xr:uid="{00000000-0005-0000-0000-00004E000000}"/>
    <cellStyle name="20% - Accent1 2 7 3 2" xfId="14590" xr:uid="{5D25C92A-AC61-4774-BF99-844C94C8EB7F}"/>
    <cellStyle name="20% - Accent1 2 7 4" xfId="10372" xr:uid="{4A0C541B-5C60-4CB1-A22D-819DB52EDC43}"/>
    <cellStyle name="20% - Accent1 2 8" xfId="2266" xr:uid="{00000000-0005-0000-0000-00004F000000}"/>
    <cellStyle name="20% - Accent1 2 8 2" xfId="6574" xr:uid="{00000000-0005-0000-0000-000050000000}"/>
    <cellStyle name="20% - Accent1 2 8 2 2" xfId="15003" xr:uid="{EA8A18C7-2918-4FC6-923D-6180DFF08B4F}"/>
    <cellStyle name="20% - Accent1 2 8 3" xfId="10785" xr:uid="{965A80D9-9B66-4AD8-BA5F-FAA0F9DF7180}"/>
    <cellStyle name="20% - Accent1 2 9" xfId="4508" xr:uid="{00000000-0005-0000-0000-000051000000}"/>
    <cellStyle name="20% - Accent1 2 9 2" xfId="12937" xr:uid="{2220731B-E164-4D93-B1B8-55ADC0B6DCC1}"/>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D35C1868-98B9-4652-9A0E-44652FFF9C1C}"/>
    <cellStyle name="20% - Accent1 3 2 2 2 3" xfId="11283" xr:uid="{25F7C83E-3392-40C1-808F-992504E8B21A}"/>
    <cellStyle name="20% - Accent1 3 2 2 3" xfId="4927" xr:uid="{00000000-0005-0000-0000-000057000000}"/>
    <cellStyle name="20% - Accent1 3 2 2 3 2" xfId="13356" xr:uid="{AE6CE309-3E7B-4901-B8BB-14078F511823}"/>
    <cellStyle name="20% - Accent1 3 2 2 4" xfId="9138" xr:uid="{6C96B092-9891-434B-AA76-2FA7902129E1}"/>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8DE90605-1F58-4492-A545-8B350729B25E}"/>
    <cellStyle name="20% - Accent1 3 2 3 2 3" xfId="11696" xr:uid="{738F7ED5-D7D9-44FC-99DB-C33CD2B12A45}"/>
    <cellStyle name="20% - Accent1 3 2 3 3" xfId="5340" xr:uid="{00000000-0005-0000-0000-00005B000000}"/>
    <cellStyle name="20% - Accent1 3 2 3 3 2" xfId="13769" xr:uid="{A4033754-F02C-43AA-99EA-5778540AA84F}"/>
    <cellStyle name="20% - Accent1 3 2 3 4" xfId="9551" xr:uid="{48BC0DAD-699D-43FF-8F7D-17CF2B32D837}"/>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F9BCB7FE-BC94-4E4A-823B-124FBAE8BCF4}"/>
    <cellStyle name="20% - Accent1 3 2 4 2 3" xfId="12109" xr:uid="{A7FD4258-791F-4462-8ABE-5589780F2A3C}"/>
    <cellStyle name="20% - Accent1 3 2 4 3" xfId="5753" xr:uid="{00000000-0005-0000-0000-00005F000000}"/>
    <cellStyle name="20% - Accent1 3 2 4 3 2" xfId="14182" xr:uid="{267BA363-2575-40A5-A3C2-D7223C7D1169}"/>
    <cellStyle name="20% - Accent1 3 2 4 4" xfId="9964" xr:uid="{B3F93559-33D0-41BD-80B8-9BF6B2E70908}"/>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2A5243E1-A985-4663-BF73-18C0CC6B4117}"/>
    <cellStyle name="20% - Accent1 3 2 5 2 3" xfId="12522" xr:uid="{B114C9EB-707F-407E-886D-DFFCB3AA2528}"/>
    <cellStyle name="20% - Accent1 3 2 5 3" xfId="6166" xr:uid="{00000000-0005-0000-0000-000063000000}"/>
    <cellStyle name="20% - Accent1 3 2 5 3 2" xfId="14595" xr:uid="{97C09B93-755E-4564-8C30-47CB3D011D66}"/>
    <cellStyle name="20% - Accent1 3 2 5 4" xfId="10377" xr:uid="{4C15D290-C604-4284-912A-4776FE660FC2}"/>
    <cellStyle name="20% - Accent1 3 2 6" xfId="2271" xr:uid="{00000000-0005-0000-0000-000064000000}"/>
    <cellStyle name="20% - Accent1 3 2 6 2" xfId="6579" xr:uid="{00000000-0005-0000-0000-000065000000}"/>
    <cellStyle name="20% - Accent1 3 2 6 2 2" xfId="15008" xr:uid="{7723C231-9F7B-4B54-A59F-9CE1D8EEF303}"/>
    <cellStyle name="20% - Accent1 3 2 6 3" xfId="10790" xr:uid="{E62925C7-81CD-4EA7-98C5-CBAD37B0A180}"/>
    <cellStyle name="20% - Accent1 3 2 7" xfId="4513" xr:uid="{00000000-0005-0000-0000-000066000000}"/>
    <cellStyle name="20% - Accent1 3 2 7 2" xfId="12942" xr:uid="{20537A18-4952-49DD-BFA9-8EC668D076F1}"/>
    <cellStyle name="20% - Accent1 3 2 8" xfId="8724" xr:uid="{FC56EC93-EA43-49C9-8CAA-A0884B8474F8}"/>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6DAF2291-64AC-446C-957F-5F374C7ED76F}"/>
    <cellStyle name="20% - Accent1 3 3 2 3" xfId="11282" xr:uid="{D9A4B83B-906F-4B13-B7DF-C2FBFE28E0D3}"/>
    <cellStyle name="20% - Accent1 3 3 3" xfId="4926" xr:uid="{00000000-0005-0000-0000-00006A000000}"/>
    <cellStyle name="20% - Accent1 3 3 3 2" xfId="13355" xr:uid="{8AB60D80-D10F-4857-B750-FFE2A699BD42}"/>
    <cellStyle name="20% - Accent1 3 3 4" xfId="9137" xr:uid="{9B972D6F-6CFB-402A-BD1F-670941BF79F5}"/>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67AD9EC0-9F0E-426F-ADB3-30B50FBDF90B}"/>
    <cellStyle name="20% - Accent1 3 4 2 3" xfId="11695" xr:uid="{4EB3F922-714E-4D4B-B8AC-38CC0A98B32C}"/>
    <cellStyle name="20% - Accent1 3 4 3" xfId="5339" xr:uid="{00000000-0005-0000-0000-00006E000000}"/>
    <cellStyle name="20% - Accent1 3 4 3 2" xfId="13768" xr:uid="{777951B7-2B08-498C-AE30-39D1A6306F04}"/>
    <cellStyle name="20% - Accent1 3 4 4" xfId="9550" xr:uid="{80D97DE2-DB86-49DE-96B8-9B848EBDF727}"/>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17867E7B-8F99-4BB6-964D-C5F6ADFFC9C2}"/>
    <cellStyle name="20% - Accent1 3 5 2 3" xfId="12108" xr:uid="{DD80EFA6-7C9B-4D5D-A89D-852F86CF43C1}"/>
    <cellStyle name="20% - Accent1 3 5 3" xfId="5752" xr:uid="{00000000-0005-0000-0000-000072000000}"/>
    <cellStyle name="20% - Accent1 3 5 3 2" xfId="14181" xr:uid="{D3F6BC98-71E2-460C-A1CD-FB681F410DD7}"/>
    <cellStyle name="20% - Accent1 3 5 4" xfId="9963" xr:uid="{85EC6B17-90B5-4AA0-A9E4-DEA3BB5F5B04}"/>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938E2FA6-90A1-416C-9BF0-0A520297DC4B}"/>
    <cellStyle name="20% - Accent1 3 6 2 3" xfId="12521" xr:uid="{88571FF3-61D9-48FC-86F3-63410136F0E9}"/>
    <cellStyle name="20% - Accent1 3 6 3" xfId="6165" xr:uid="{00000000-0005-0000-0000-000076000000}"/>
    <cellStyle name="20% - Accent1 3 6 3 2" xfId="14594" xr:uid="{7AC74268-6EE4-4CFE-B148-63B87C2B276B}"/>
    <cellStyle name="20% - Accent1 3 6 4" xfId="10376" xr:uid="{4E962B01-1876-4D95-9919-DB3FE19EA1D1}"/>
    <cellStyle name="20% - Accent1 3 7" xfId="2270" xr:uid="{00000000-0005-0000-0000-000077000000}"/>
    <cellStyle name="20% - Accent1 3 7 2" xfId="6578" xr:uid="{00000000-0005-0000-0000-000078000000}"/>
    <cellStyle name="20% - Accent1 3 7 2 2" xfId="15007" xr:uid="{40A506CB-7EBC-455D-ADC2-A8F4FDA25957}"/>
    <cellStyle name="20% - Accent1 3 7 3" xfId="10789" xr:uid="{2C1DED10-C00F-4E89-B00D-BF1E185C22C9}"/>
    <cellStyle name="20% - Accent1 3 8" xfId="4512" xr:uid="{00000000-0005-0000-0000-000079000000}"/>
    <cellStyle name="20% - Accent1 3 8 2" xfId="12941" xr:uid="{5845EFD0-77AE-4612-9166-0D1B972F9FCA}"/>
    <cellStyle name="20% - Accent1 3 9" xfId="8723" xr:uid="{AF7217AC-8044-48FD-BFA8-C615FB8C4217}"/>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9A27E101-814D-45FC-AB5A-A7F5455DB780}"/>
    <cellStyle name="20% - Accent1 4 2 2 3" xfId="11284" xr:uid="{E86D276B-0917-4988-8F63-C67ECF10E523}"/>
    <cellStyle name="20% - Accent1 4 2 3" xfId="4928" xr:uid="{00000000-0005-0000-0000-00007E000000}"/>
    <cellStyle name="20% - Accent1 4 2 3 2" xfId="13357" xr:uid="{953E87B7-4E80-4785-8AE6-15E2707F45DE}"/>
    <cellStyle name="20% - Accent1 4 2 4" xfId="9139" xr:uid="{F0E39BBB-EBA9-42D7-A7B3-0CA5881BD019}"/>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0EC60414-355F-409D-8019-732ED11E227E}"/>
    <cellStyle name="20% - Accent1 4 3 2 3" xfId="11697" xr:uid="{6A545140-CC71-4F53-B052-FFF49EB58599}"/>
    <cellStyle name="20% - Accent1 4 3 3" xfId="5341" xr:uid="{00000000-0005-0000-0000-000082000000}"/>
    <cellStyle name="20% - Accent1 4 3 3 2" xfId="13770" xr:uid="{79D7C0D8-9BFE-4A1E-A6B3-BBE34835E3B8}"/>
    <cellStyle name="20% - Accent1 4 3 4" xfId="9552" xr:uid="{8B8C9A63-D6FA-4B5B-A6A3-745961E06702}"/>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10370320-C58D-4FCD-BDBB-A0534D43E338}"/>
    <cellStyle name="20% - Accent1 4 4 2 3" xfId="12110" xr:uid="{952B3847-B399-454A-BA99-6CF3CC3DEF50}"/>
    <cellStyle name="20% - Accent1 4 4 3" xfId="5754" xr:uid="{00000000-0005-0000-0000-000086000000}"/>
    <cellStyle name="20% - Accent1 4 4 3 2" xfId="14183" xr:uid="{5D42167A-FECA-4D23-AAED-C1DE4C76E05A}"/>
    <cellStyle name="20% - Accent1 4 4 4" xfId="9965" xr:uid="{0D8F5610-36BD-4A39-AB7F-4205E9263835}"/>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38098CF5-DF9A-4982-9E8B-8BFED4826ED3}"/>
    <cellStyle name="20% - Accent1 4 5 2 3" xfId="12523" xr:uid="{E1537339-F853-4621-B800-C6640BAF7C22}"/>
    <cellStyle name="20% - Accent1 4 5 3" xfId="6167" xr:uid="{00000000-0005-0000-0000-00008A000000}"/>
    <cellStyle name="20% - Accent1 4 5 3 2" xfId="14596" xr:uid="{868D3A94-7533-4AFE-BE9F-5FC5676A3058}"/>
    <cellStyle name="20% - Accent1 4 5 4" xfId="10378" xr:uid="{58DF9ECE-266F-44E1-9CAD-86F5F6E2C77E}"/>
    <cellStyle name="20% - Accent1 4 6" xfId="2272" xr:uid="{00000000-0005-0000-0000-00008B000000}"/>
    <cellStyle name="20% - Accent1 4 6 2" xfId="6580" xr:uid="{00000000-0005-0000-0000-00008C000000}"/>
    <cellStyle name="20% - Accent1 4 6 2 2" xfId="15009" xr:uid="{10F55A02-9981-4CA6-A235-18194CD1E835}"/>
    <cellStyle name="20% - Accent1 4 6 3" xfId="10791" xr:uid="{A5D38B47-F33E-4385-8F59-DA2E406229C0}"/>
    <cellStyle name="20% - Accent1 4 7" xfId="4514" xr:uid="{00000000-0005-0000-0000-00008D000000}"/>
    <cellStyle name="20% - Accent1 4 7 2" xfId="12943" xr:uid="{FBEA90B1-7B07-4C46-9B03-516E0CB4D95B}"/>
    <cellStyle name="20% - Accent1 4 8" xfId="8725" xr:uid="{5D3E8ABE-68E4-436F-8323-22B65DF4730B}"/>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484499B4-4F85-4A9A-80E3-79526FB02D1D}"/>
    <cellStyle name="20% - Accent1 5 2 3" xfId="11277" xr:uid="{EFD53EDF-845F-4015-B849-6CF705BAE68E}"/>
    <cellStyle name="20% - Accent1 5 3" xfId="4921" xr:uid="{00000000-0005-0000-0000-000091000000}"/>
    <cellStyle name="20% - Accent1 5 3 2" xfId="13350" xr:uid="{76330C76-5F4C-4E0A-98E1-B12E9ABC1531}"/>
    <cellStyle name="20% - Accent1 5 4" xfId="9132" xr:uid="{D228A221-646C-4D53-84D9-BE13F8E73BAD}"/>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7C604624-349D-471E-B3C3-B00FDE128977}"/>
    <cellStyle name="20% - Accent1 6 2 3" xfId="11690" xr:uid="{9151B74B-78C2-4EEB-B8DE-ED12D2E8B5EE}"/>
    <cellStyle name="20% - Accent1 6 3" xfId="5334" xr:uid="{00000000-0005-0000-0000-000095000000}"/>
    <cellStyle name="20% - Accent1 6 3 2" xfId="13763" xr:uid="{5EFD1343-5F1F-4AC5-8799-6B78D3215444}"/>
    <cellStyle name="20% - Accent1 6 4" xfId="9545" xr:uid="{091E3BFD-200C-4D6B-A02B-3DEA63D2E16E}"/>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3A0F3076-EE64-4213-8D71-01A6C3C524F1}"/>
    <cellStyle name="20% - Accent1 7 2 3" xfId="12103" xr:uid="{5974143C-8814-4C85-84B2-737B23D16D7D}"/>
    <cellStyle name="20% - Accent1 7 3" xfId="5747" xr:uid="{00000000-0005-0000-0000-000099000000}"/>
    <cellStyle name="20% - Accent1 7 3 2" xfId="14176" xr:uid="{0A80B495-83B5-4DC8-9E03-896F45CA1357}"/>
    <cellStyle name="20% - Accent1 7 4" xfId="9958" xr:uid="{D7457FFB-57D6-4166-A48C-DAA2F9992F7C}"/>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63FF60B8-2E9B-4125-AEEF-0F68BE11B4F3}"/>
    <cellStyle name="20% - Accent1 8 2 3" xfId="12516" xr:uid="{DC6FA7A1-4C29-4830-928F-B6ED6D5670D2}"/>
    <cellStyle name="20% - Accent1 8 3" xfId="6160" xr:uid="{00000000-0005-0000-0000-00009D000000}"/>
    <cellStyle name="20% - Accent1 8 3 2" xfId="14589" xr:uid="{0C528E4F-4288-407C-8BFC-2F27F9C9D746}"/>
    <cellStyle name="20% - Accent1 8 4" xfId="10371" xr:uid="{9C5F22E1-D868-4F19-BE53-7A55321F204F}"/>
    <cellStyle name="20% - Accent1 9" xfId="2265" xr:uid="{00000000-0005-0000-0000-00009E000000}"/>
    <cellStyle name="20% - Accent1 9 2" xfId="6573" xr:uid="{00000000-0005-0000-0000-00009F000000}"/>
    <cellStyle name="20% - Accent1 9 2 2" xfId="15002" xr:uid="{3A3BFB8A-BB97-4C02-82F6-774BD6E22DD7}"/>
    <cellStyle name="20% - Accent1 9 3" xfId="10784" xr:uid="{16E95E53-FC32-4FD7-A4FB-D24E5CC7130C}"/>
    <cellStyle name="20% - Accent2" xfId="9" builtinId="34" customBuiltin="1"/>
    <cellStyle name="20% - Accent2 10" xfId="4515" xr:uid="{00000000-0005-0000-0000-0000A1000000}"/>
    <cellStyle name="20% - Accent2 10 2" xfId="12944" xr:uid="{E88DDE2C-A3E1-4FC6-BEC4-C031B3363680}"/>
    <cellStyle name="20% - Accent2 11" xfId="8726" xr:uid="{7BF6C450-FB3E-4C79-BFEA-484541981BB1}"/>
    <cellStyle name="20% - Accent2 2" xfId="10" xr:uid="{00000000-0005-0000-0000-0000A2000000}"/>
    <cellStyle name="20% - Accent2 2 10" xfId="8727" xr:uid="{B7B860CD-DB66-4B59-99B6-A89FA10A69F2}"/>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65A7DBA3-3B3D-4994-AFBD-BE97020274AF}"/>
    <cellStyle name="20% - Accent2 2 2 2 2 2 3" xfId="11288" xr:uid="{E3954903-F531-4809-8E32-744ACAF66749}"/>
    <cellStyle name="20% - Accent2 2 2 2 2 3" xfId="4932" xr:uid="{00000000-0005-0000-0000-0000A8000000}"/>
    <cellStyle name="20% - Accent2 2 2 2 2 3 2" xfId="13361" xr:uid="{50627094-D0E6-4EF8-866F-C8D01DA246E0}"/>
    <cellStyle name="20% - Accent2 2 2 2 2 4" xfId="9143" xr:uid="{46E77A55-44AF-4F94-801F-7ED3BAF4807D}"/>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EAC7E829-908B-4528-9697-459AEA28BE83}"/>
    <cellStyle name="20% - Accent2 2 2 2 3 2 3" xfId="11701" xr:uid="{A9D42691-64FA-4317-A2CB-30FB85893FEB}"/>
    <cellStyle name="20% - Accent2 2 2 2 3 3" xfId="5345" xr:uid="{00000000-0005-0000-0000-0000AC000000}"/>
    <cellStyle name="20% - Accent2 2 2 2 3 3 2" xfId="13774" xr:uid="{A8AD96E0-F920-46A8-B741-3FB5B4BEA418}"/>
    <cellStyle name="20% - Accent2 2 2 2 3 4" xfId="9556" xr:uid="{4F6C639C-8AC6-4C5E-8617-9DEDEB60031D}"/>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4D2940E6-0643-461C-859A-F42F107C9A12}"/>
    <cellStyle name="20% - Accent2 2 2 2 4 2 3" xfId="12114" xr:uid="{3FDD3A14-20D7-4253-8987-21FE52E14591}"/>
    <cellStyle name="20% - Accent2 2 2 2 4 3" xfId="5758" xr:uid="{00000000-0005-0000-0000-0000B0000000}"/>
    <cellStyle name="20% - Accent2 2 2 2 4 3 2" xfId="14187" xr:uid="{AD102D5F-0A58-4164-A961-FEBC914F37FC}"/>
    <cellStyle name="20% - Accent2 2 2 2 4 4" xfId="9969" xr:uid="{E727492F-4067-4ED1-8FB2-E32843738BEB}"/>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3D6DD01-B51B-4D54-99FD-C0F4BA739E70}"/>
    <cellStyle name="20% - Accent2 2 2 2 5 2 3" xfId="12527" xr:uid="{E428ACDA-C3F5-438E-98C0-A89FA84DE1CA}"/>
    <cellStyle name="20% - Accent2 2 2 2 5 3" xfId="6171" xr:uid="{00000000-0005-0000-0000-0000B4000000}"/>
    <cellStyle name="20% - Accent2 2 2 2 5 3 2" xfId="14600" xr:uid="{0F7A6D83-FAD4-410C-B44A-5C9B6A4B10AB}"/>
    <cellStyle name="20% - Accent2 2 2 2 5 4" xfId="10382" xr:uid="{5AEA4636-82C4-432F-8578-E7C4A5D9814C}"/>
    <cellStyle name="20% - Accent2 2 2 2 6" xfId="2276" xr:uid="{00000000-0005-0000-0000-0000B5000000}"/>
    <cellStyle name="20% - Accent2 2 2 2 6 2" xfId="6584" xr:uid="{00000000-0005-0000-0000-0000B6000000}"/>
    <cellStyle name="20% - Accent2 2 2 2 6 2 2" xfId="15013" xr:uid="{3871547C-8734-4A01-B59B-3BBD73DBE3CF}"/>
    <cellStyle name="20% - Accent2 2 2 2 6 3" xfId="10795" xr:uid="{011F9F1B-B41B-4CB1-A2C0-9E0BDA35E96C}"/>
    <cellStyle name="20% - Accent2 2 2 2 7" xfId="4518" xr:uid="{00000000-0005-0000-0000-0000B7000000}"/>
    <cellStyle name="20% - Accent2 2 2 2 7 2" xfId="12947" xr:uid="{5153E3D9-6086-4180-8FCA-D68F89C86839}"/>
    <cellStyle name="20% - Accent2 2 2 2 8" xfId="8729" xr:uid="{B9E4B1F9-7A57-485D-9950-FF550CDBAED4}"/>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6C49694A-F44A-41C7-9ECF-24B001345878}"/>
    <cellStyle name="20% - Accent2 2 2 3 2 3" xfId="11287" xr:uid="{19516B08-9E0C-48AE-BDFE-0FB4D88B002F}"/>
    <cellStyle name="20% - Accent2 2 2 3 3" xfId="4931" xr:uid="{00000000-0005-0000-0000-0000BB000000}"/>
    <cellStyle name="20% - Accent2 2 2 3 3 2" xfId="13360" xr:uid="{5A115F04-9837-4E6D-90AB-4EA618A6D5E8}"/>
    <cellStyle name="20% - Accent2 2 2 3 4" xfId="9142" xr:uid="{7FBACE06-3EA2-49F0-9F4F-B4EAF38FDE77}"/>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2A1B63B8-6288-4D31-B25E-740E1A607407}"/>
    <cellStyle name="20% - Accent2 2 2 4 2 3" xfId="11700" xr:uid="{3ABC0ECD-4362-4626-B777-71CACE301F75}"/>
    <cellStyle name="20% - Accent2 2 2 4 3" xfId="5344" xr:uid="{00000000-0005-0000-0000-0000BF000000}"/>
    <cellStyle name="20% - Accent2 2 2 4 3 2" xfId="13773" xr:uid="{8C30E32F-D258-4B3E-8C49-51EA1878BA84}"/>
    <cellStyle name="20% - Accent2 2 2 4 4" xfId="9555" xr:uid="{A6C190C8-20F0-46C3-A553-61104FFF2979}"/>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1AE7804B-60D4-4B8F-ADE7-6486B63D3CD7}"/>
    <cellStyle name="20% - Accent2 2 2 5 2 3" xfId="12113" xr:uid="{B6C78CCA-5AD6-4146-BBC6-4DECAE6A33A8}"/>
    <cellStyle name="20% - Accent2 2 2 5 3" xfId="5757" xr:uid="{00000000-0005-0000-0000-0000C3000000}"/>
    <cellStyle name="20% - Accent2 2 2 5 3 2" xfId="14186" xr:uid="{A45944B6-CFB0-4577-9DB5-32472062D0F3}"/>
    <cellStyle name="20% - Accent2 2 2 5 4" xfId="9968" xr:uid="{D79B5DA9-ED10-4691-A7B0-BF8B501A0CA4}"/>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3D85BE02-131D-411F-9B41-3B4DAA12E5A7}"/>
    <cellStyle name="20% - Accent2 2 2 6 2 3" xfId="12526" xr:uid="{785BD097-EBB5-46A3-BCD5-99EC6F79286F}"/>
    <cellStyle name="20% - Accent2 2 2 6 3" xfId="6170" xr:uid="{00000000-0005-0000-0000-0000C7000000}"/>
    <cellStyle name="20% - Accent2 2 2 6 3 2" xfId="14599" xr:uid="{5148371D-11F5-470D-BC3B-72908733AC0A}"/>
    <cellStyle name="20% - Accent2 2 2 6 4" xfId="10381" xr:uid="{64FB755C-7013-4E53-B0BD-125D863DA4CF}"/>
    <cellStyle name="20% - Accent2 2 2 7" xfId="2275" xr:uid="{00000000-0005-0000-0000-0000C8000000}"/>
    <cellStyle name="20% - Accent2 2 2 7 2" xfId="6583" xr:uid="{00000000-0005-0000-0000-0000C9000000}"/>
    <cellStyle name="20% - Accent2 2 2 7 2 2" xfId="15012" xr:uid="{A18E0206-C446-4BE4-9796-87CEB82FDF4C}"/>
    <cellStyle name="20% - Accent2 2 2 7 3" xfId="10794" xr:uid="{2A096ED9-96CD-449C-9DBC-300EBE74D9C5}"/>
    <cellStyle name="20% - Accent2 2 2 8" xfId="4517" xr:uid="{00000000-0005-0000-0000-0000CA000000}"/>
    <cellStyle name="20% - Accent2 2 2 8 2" xfId="12946" xr:uid="{33C5021C-30FB-478E-9E39-E8ECB61EF647}"/>
    <cellStyle name="20% - Accent2 2 2 9" xfId="8728" xr:uid="{90E52BC4-A8AD-4605-81D8-8B827ADE49B5}"/>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6216B9D6-2E43-4537-8088-8FCDEB01642F}"/>
    <cellStyle name="20% - Accent2 2 3 2 2 3" xfId="11289" xr:uid="{B66B2CC2-E0A3-4F8E-809A-D7FFE1F8D88A}"/>
    <cellStyle name="20% - Accent2 2 3 2 3" xfId="4933" xr:uid="{00000000-0005-0000-0000-0000CF000000}"/>
    <cellStyle name="20% - Accent2 2 3 2 3 2" xfId="13362" xr:uid="{6D84E014-DE8F-4E39-838C-0D4846695E52}"/>
    <cellStyle name="20% - Accent2 2 3 2 4" xfId="9144" xr:uid="{D2CA5745-FB76-4B29-A631-BDF46A69FBFF}"/>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530DFA01-BEA9-4E41-8C00-35E4DF9E7C8C}"/>
    <cellStyle name="20% - Accent2 2 3 3 2 3" xfId="11702" xr:uid="{EFABF87C-8D1B-41A7-8DC7-360C6857F565}"/>
    <cellStyle name="20% - Accent2 2 3 3 3" xfId="5346" xr:uid="{00000000-0005-0000-0000-0000D3000000}"/>
    <cellStyle name="20% - Accent2 2 3 3 3 2" xfId="13775" xr:uid="{AD389BBA-650D-4A08-B605-AC43970F861B}"/>
    <cellStyle name="20% - Accent2 2 3 3 4" xfId="9557" xr:uid="{890ED547-41A6-4B9D-B2AA-0676AA9D7007}"/>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D89A8B39-7B7A-430E-A03F-0960A09FD776}"/>
    <cellStyle name="20% - Accent2 2 3 4 2 3" xfId="12115" xr:uid="{00FCBFBC-233B-48CC-BF54-FED3035F0D8E}"/>
    <cellStyle name="20% - Accent2 2 3 4 3" xfId="5759" xr:uid="{00000000-0005-0000-0000-0000D7000000}"/>
    <cellStyle name="20% - Accent2 2 3 4 3 2" xfId="14188" xr:uid="{76CC7869-7D6B-4EE4-8DC6-8D5BA44DAD98}"/>
    <cellStyle name="20% - Accent2 2 3 4 4" xfId="9970" xr:uid="{9573EB88-09D1-47A3-86A6-CE2FA55580B2}"/>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5ADC8079-BB26-4CC8-9B31-CA50091187B4}"/>
    <cellStyle name="20% - Accent2 2 3 5 2 3" xfId="12528" xr:uid="{280302E9-9CDE-46E8-8CDB-70BD9968B691}"/>
    <cellStyle name="20% - Accent2 2 3 5 3" xfId="6172" xr:uid="{00000000-0005-0000-0000-0000DB000000}"/>
    <cellStyle name="20% - Accent2 2 3 5 3 2" xfId="14601" xr:uid="{86195637-3ADA-4C51-B99C-309172880D62}"/>
    <cellStyle name="20% - Accent2 2 3 5 4" xfId="10383" xr:uid="{68D503AA-74E7-4432-B01B-BD57D5A9662B}"/>
    <cellStyle name="20% - Accent2 2 3 6" xfId="2277" xr:uid="{00000000-0005-0000-0000-0000DC000000}"/>
    <cellStyle name="20% - Accent2 2 3 6 2" xfId="6585" xr:uid="{00000000-0005-0000-0000-0000DD000000}"/>
    <cellStyle name="20% - Accent2 2 3 6 2 2" xfId="15014" xr:uid="{51C6D670-4981-4457-96E6-0567F1D9E498}"/>
    <cellStyle name="20% - Accent2 2 3 6 3" xfId="10796" xr:uid="{CD6ECE80-1A96-4565-BC66-A91E1209A5BD}"/>
    <cellStyle name="20% - Accent2 2 3 7" xfId="4519" xr:uid="{00000000-0005-0000-0000-0000DE000000}"/>
    <cellStyle name="20% - Accent2 2 3 7 2" xfId="12948" xr:uid="{2B7898E9-3CB6-49A4-A59A-C9B866DBB195}"/>
    <cellStyle name="20% - Accent2 2 3 8" xfId="8730" xr:uid="{C3DDACB4-CBF2-47A1-BCF0-BC1322FD764D}"/>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6230A734-C551-4B55-83D3-8E5D20646FD2}"/>
    <cellStyle name="20% - Accent2 2 4 2 3" xfId="11286" xr:uid="{D8FB710E-7560-4AB2-889C-0A94A8440040}"/>
    <cellStyle name="20% - Accent2 2 4 3" xfId="4930" xr:uid="{00000000-0005-0000-0000-0000E2000000}"/>
    <cellStyle name="20% - Accent2 2 4 3 2" xfId="13359" xr:uid="{3991EE43-DDDB-447E-AAA8-2DDB17414F51}"/>
    <cellStyle name="20% - Accent2 2 4 4" xfId="9141" xr:uid="{0FE14DA3-72DE-463D-B945-E5A0B6260CE7}"/>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C4A5DBE2-71FC-4F95-9731-404F33BC340B}"/>
    <cellStyle name="20% - Accent2 2 5 2 3" xfId="11699" xr:uid="{F8D0E6DC-75D4-4344-9136-23E22667AD77}"/>
    <cellStyle name="20% - Accent2 2 5 3" xfId="5343" xr:uid="{00000000-0005-0000-0000-0000E6000000}"/>
    <cellStyle name="20% - Accent2 2 5 3 2" xfId="13772" xr:uid="{BCCACF63-B7BF-498A-BF41-CF86C31178A0}"/>
    <cellStyle name="20% - Accent2 2 5 4" xfId="9554" xr:uid="{56E79B8B-B9EC-4634-9D1C-9DC45369B0F9}"/>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658DBF9C-9A2E-4AD3-8AB5-638DEBFA9B48}"/>
    <cellStyle name="20% - Accent2 2 6 2 3" xfId="12112" xr:uid="{7F4E9778-8293-49FE-8F22-5FB07B115315}"/>
    <cellStyle name="20% - Accent2 2 6 3" xfId="5756" xr:uid="{00000000-0005-0000-0000-0000EA000000}"/>
    <cellStyle name="20% - Accent2 2 6 3 2" xfId="14185" xr:uid="{9A38E23F-E3F0-46C7-92EB-427845AE1084}"/>
    <cellStyle name="20% - Accent2 2 6 4" xfId="9967" xr:uid="{F24CDF19-2370-48DD-8C4E-337745A1F257}"/>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0B3B210A-845B-4AD2-BF79-A454E9E8B7B7}"/>
    <cellStyle name="20% - Accent2 2 7 2 3" xfId="12525" xr:uid="{1A017E10-2225-4B97-9733-C77BE8946E7A}"/>
    <cellStyle name="20% - Accent2 2 7 3" xfId="6169" xr:uid="{00000000-0005-0000-0000-0000EE000000}"/>
    <cellStyle name="20% - Accent2 2 7 3 2" xfId="14598" xr:uid="{1E90B474-941E-4E6D-9E0F-43A93FD4815F}"/>
    <cellStyle name="20% - Accent2 2 7 4" xfId="10380" xr:uid="{35F50295-E268-4BE4-984E-67C6A4CDCF6D}"/>
    <cellStyle name="20% - Accent2 2 8" xfId="2274" xr:uid="{00000000-0005-0000-0000-0000EF000000}"/>
    <cellStyle name="20% - Accent2 2 8 2" xfId="6582" xr:uid="{00000000-0005-0000-0000-0000F0000000}"/>
    <cellStyle name="20% - Accent2 2 8 2 2" xfId="15011" xr:uid="{081F1A4F-5245-4479-9AF1-75D7A13AC86B}"/>
    <cellStyle name="20% - Accent2 2 8 3" xfId="10793" xr:uid="{034B5536-028E-45BA-980F-73026A8805F7}"/>
    <cellStyle name="20% - Accent2 2 9" xfId="4516" xr:uid="{00000000-0005-0000-0000-0000F1000000}"/>
    <cellStyle name="20% - Accent2 2 9 2" xfId="12945" xr:uid="{2B71C95B-54DD-4A7A-8AF1-03142AAC3E57}"/>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FA189018-3031-4A10-9330-CA121680137C}"/>
    <cellStyle name="20% - Accent2 3 2 2 2 3" xfId="11291" xr:uid="{D5B8CE34-9F13-4F90-A5C7-43940632181F}"/>
    <cellStyle name="20% - Accent2 3 2 2 3" xfId="4935" xr:uid="{00000000-0005-0000-0000-0000F7000000}"/>
    <cellStyle name="20% - Accent2 3 2 2 3 2" xfId="13364" xr:uid="{E73BA2C6-CEAA-4D4F-9331-AD0D95DA59BA}"/>
    <cellStyle name="20% - Accent2 3 2 2 4" xfId="9146" xr:uid="{A75E07A1-43F7-4336-98DE-B1BB1F19DB82}"/>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A9F7C45A-FAEC-461B-B981-E1882F5E8CC4}"/>
    <cellStyle name="20% - Accent2 3 2 3 2 3" xfId="11704" xr:uid="{2FF3D771-997F-429E-A981-39F07D80E256}"/>
    <cellStyle name="20% - Accent2 3 2 3 3" xfId="5348" xr:uid="{00000000-0005-0000-0000-0000FB000000}"/>
    <cellStyle name="20% - Accent2 3 2 3 3 2" xfId="13777" xr:uid="{5F47558C-D81C-4627-846A-6A48DD11311B}"/>
    <cellStyle name="20% - Accent2 3 2 3 4" xfId="9559" xr:uid="{894E11C2-EDF8-4A15-9B1D-855A480277C7}"/>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C1F5C50D-8A5B-4C5A-8920-EDA30C49F0ED}"/>
    <cellStyle name="20% - Accent2 3 2 4 2 3" xfId="12117" xr:uid="{DDF80005-E480-4D98-A537-B8C9CD524AB8}"/>
    <cellStyle name="20% - Accent2 3 2 4 3" xfId="5761" xr:uid="{00000000-0005-0000-0000-0000FF000000}"/>
    <cellStyle name="20% - Accent2 3 2 4 3 2" xfId="14190" xr:uid="{FCE0DA72-AECA-4C64-BC8A-E4D7E2861132}"/>
    <cellStyle name="20% - Accent2 3 2 4 4" xfId="9972" xr:uid="{516383EB-A89B-4712-A5DC-A1A13721A195}"/>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5CEDE04D-9EB1-4CA5-868F-991873331FDF}"/>
    <cellStyle name="20% - Accent2 3 2 5 2 3" xfId="12530" xr:uid="{672A0DC0-E839-4701-99A7-23DF3DA1CE30}"/>
    <cellStyle name="20% - Accent2 3 2 5 3" xfId="6174" xr:uid="{00000000-0005-0000-0000-000003010000}"/>
    <cellStyle name="20% - Accent2 3 2 5 3 2" xfId="14603" xr:uid="{7B254677-CF97-48BA-8F16-22F097A2EB94}"/>
    <cellStyle name="20% - Accent2 3 2 5 4" xfId="10385" xr:uid="{422EE3B2-E14A-45DC-8BFF-A33A4F84D044}"/>
    <cellStyle name="20% - Accent2 3 2 6" xfId="2279" xr:uid="{00000000-0005-0000-0000-000004010000}"/>
    <cellStyle name="20% - Accent2 3 2 6 2" xfId="6587" xr:uid="{00000000-0005-0000-0000-000005010000}"/>
    <cellStyle name="20% - Accent2 3 2 6 2 2" xfId="15016" xr:uid="{796BAD6C-DAD6-4F83-9642-64B1F28E5427}"/>
    <cellStyle name="20% - Accent2 3 2 6 3" xfId="10798" xr:uid="{E370D4DE-E769-4656-9C73-49307FCF4056}"/>
    <cellStyle name="20% - Accent2 3 2 7" xfId="4521" xr:uid="{00000000-0005-0000-0000-000006010000}"/>
    <cellStyle name="20% - Accent2 3 2 7 2" xfId="12950" xr:uid="{A6C9D2FE-379E-4E39-9E1B-B48FCAA87F1C}"/>
    <cellStyle name="20% - Accent2 3 2 8" xfId="8732" xr:uid="{1C40C850-DB4A-42D8-9FA1-1D29110CAD25}"/>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D06BC571-6AE3-4F42-94AD-C1240222202E}"/>
    <cellStyle name="20% - Accent2 3 3 2 3" xfId="11290" xr:uid="{8798E2BA-0540-4D3F-B02E-95494FF1C0B8}"/>
    <cellStyle name="20% - Accent2 3 3 3" xfId="4934" xr:uid="{00000000-0005-0000-0000-00000A010000}"/>
    <cellStyle name="20% - Accent2 3 3 3 2" xfId="13363" xr:uid="{E0015A18-75DF-489B-AD68-1E15A2873140}"/>
    <cellStyle name="20% - Accent2 3 3 4" xfId="9145" xr:uid="{D55188D6-DF16-4C68-830F-4540E1FF8E09}"/>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D97A2943-2FF0-478A-BA41-A46311531572}"/>
    <cellStyle name="20% - Accent2 3 4 2 3" xfId="11703" xr:uid="{36BE16F7-0066-4A55-A9A0-C40FD60957AC}"/>
    <cellStyle name="20% - Accent2 3 4 3" xfId="5347" xr:uid="{00000000-0005-0000-0000-00000E010000}"/>
    <cellStyle name="20% - Accent2 3 4 3 2" xfId="13776" xr:uid="{DEA1C2B3-88E5-41F4-8B97-3463CD7DB462}"/>
    <cellStyle name="20% - Accent2 3 4 4" xfId="9558" xr:uid="{48777142-3280-44C8-866D-09BAD3FF01BD}"/>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18AF64A4-2855-4DC0-9C2F-CF19FB4EA867}"/>
    <cellStyle name="20% - Accent2 3 5 2 3" xfId="12116" xr:uid="{0F2700CD-8DE1-4BCF-8644-8F3DC0017176}"/>
    <cellStyle name="20% - Accent2 3 5 3" xfId="5760" xr:uid="{00000000-0005-0000-0000-000012010000}"/>
    <cellStyle name="20% - Accent2 3 5 3 2" xfId="14189" xr:uid="{6386BF63-9859-4218-A1C8-BE1AB9675ABE}"/>
    <cellStyle name="20% - Accent2 3 5 4" xfId="9971" xr:uid="{E9A34D38-04A9-4CAF-B138-A98F8E540E8E}"/>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BC63CAF3-463F-4BF7-B668-DD740B5B8B92}"/>
    <cellStyle name="20% - Accent2 3 6 2 3" xfId="12529" xr:uid="{ECE528EB-63DC-41E6-9D33-6CA000D65776}"/>
    <cellStyle name="20% - Accent2 3 6 3" xfId="6173" xr:uid="{00000000-0005-0000-0000-000016010000}"/>
    <cellStyle name="20% - Accent2 3 6 3 2" xfId="14602" xr:uid="{6B557D2A-0F96-4367-8BA3-B495D25F54F1}"/>
    <cellStyle name="20% - Accent2 3 6 4" xfId="10384" xr:uid="{B673009A-52ED-4C01-AF51-228E7F79EA5E}"/>
    <cellStyle name="20% - Accent2 3 7" xfId="2278" xr:uid="{00000000-0005-0000-0000-000017010000}"/>
    <cellStyle name="20% - Accent2 3 7 2" xfId="6586" xr:uid="{00000000-0005-0000-0000-000018010000}"/>
    <cellStyle name="20% - Accent2 3 7 2 2" xfId="15015" xr:uid="{FFD2DEE9-84BE-4602-8F0F-60F4B570C9BE}"/>
    <cellStyle name="20% - Accent2 3 7 3" xfId="10797" xr:uid="{9864C7B0-20A7-4D3F-B3A9-0EABD6A4B73F}"/>
    <cellStyle name="20% - Accent2 3 8" xfId="4520" xr:uid="{00000000-0005-0000-0000-000019010000}"/>
    <cellStyle name="20% - Accent2 3 8 2" xfId="12949" xr:uid="{3FD58CC7-7D96-45B0-A4B9-56BFC1527B3B}"/>
    <cellStyle name="20% - Accent2 3 9" xfId="8731" xr:uid="{B356817F-3F01-45DC-B1D5-36E13808490F}"/>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48270F5F-69EE-4437-9C26-343237655CB2}"/>
    <cellStyle name="20% - Accent2 4 2 2 3" xfId="11292" xr:uid="{B2549718-9B00-49EC-8432-847AB79DADAB}"/>
    <cellStyle name="20% - Accent2 4 2 3" xfId="4936" xr:uid="{00000000-0005-0000-0000-00001E010000}"/>
    <cellStyle name="20% - Accent2 4 2 3 2" xfId="13365" xr:uid="{F3BA1D24-DF20-4EA1-828B-9D78CF696593}"/>
    <cellStyle name="20% - Accent2 4 2 4" xfId="9147" xr:uid="{50C4F7C3-EC8B-403A-A0AF-3E357B1B36B8}"/>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29342AAC-DC15-41A3-8762-7705347C0925}"/>
    <cellStyle name="20% - Accent2 4 3 2 3" xfId="11705" xr:uid="{515241FE-AD62-45B9-946F-B3195F6AE30C}"/>
    <cellStyle name="20% - Accent2 4 3 3" xfId="5349" xr:uid="{00000000-0005-0000-0000-000022010000}"/>
    <cellStyle name="20% - Accent2 4 3 3 2" xfId="13778" xr:uid="{EA7B5D62-ABE1-4EF2-9211-E69D46BD188C}"/>
    <cellStyle name="20% - Accent2 4 3 4" xfId="9560" xr:uid="{28F5E2B7-59EF-401C-B7C6-00BC2B417A8B}"/>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E2B02EB6-4849-4C8B-A1D6-ADF698624722}"/>
    <cellStyle name="20% - Accent2 4 4 2 3" xfId="12118" xr:uid="{72052066-8891-404B-AB9F-F24D3E3DED57}"/>
    <cellStyle name="20% - Accent2 4 4 3" xfId="5762" xr:uid="{00000000-0005-0000-0000-000026010000}"/>
    <cellStyle name="20% - Accent2 4 4 3 2" xfId="14191" xr:uid="{573D6326-E56D-42BF-AE4C-F494784C47E4}"/>
    <cellStyle name="20% - Accent2 4 4 4" xfId="9973" xr:uid="{222BBF9B-1466-4452-84F9-72440B26B597}"/>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6D573F09-6558-4CAC-BB70-50C47B43EBE9}"/>
    <cellStyle name="20% - Accent2 4 5 2 3" xfId="12531" xr:uid="{D6F94FE2-00B4-45A0-AD84-226B317DF169}"/>
    <cellStyle name="20% - Accent2 4 5 3" xfId="6175" xr:uid="{00000000-0005-0000-0000-00002A010000}"/>
    <cellStyle name="20% - Accent2 4 5 3 2" xfId="14604" xr:uid="{C6886B68-7878-421F-B0CC-BC8165B4F435}"/>
    <cellStyle name="20% - Accent2 4 5 4" xfId="10386" xr:uid="{E4A72296-6134-472E-AA7A-E3CE41244DB2}"/>
    <cellStyle name="20% - Accent2 4 6" xfId="2280" xr:uid="{00000000-0005-0000-0000-00002B010000}"/>
    <cellStyle name="20% - Accent2 4 6 2" xfId="6588" xr:uid="{00000000-0005-0000-0000-00002C010000}"/>
    <cellStyle name="20% - Accent2 4 6 2 2" xfId="15017" xr:uid="{D2FE73E8-FD5A-4B56-8F48-909E99D4D2E4}"/>
    <cellStyle name="20% - Accent2 4 6 3" xfId="10799" xr:uid="{B32BF4E1-509A-481C-A469-8CD260119B2C}"/>
    <cellStyle name="20% - Accent2 4 7" xfId="4522" xr:uid="{00000000-0005-0000-0000-00002D010000}"/>
    <cellStyle name="20% - Accent2 4 7 2" xfId="12951" xr:uid="{DA47DC65-7445-4EFC-A5D9-73C74610FDF3}"/>
    <cellStyle name="20% - Accent2 4 8" xfId="8733" xr:uid="{510F0877-FA46-482F-959D-70C19504FA3B}"/>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C1205890-A0BA-4601-A984-78CE087BA5D2}"/>
    <cellStyle name="20% - Accent2 5 2 3" xfId="11285" xr:uid="{52B1F149-C7CC-42B7-898A-8B9011F87238}"/>
    <cellStyle name="20% - Accent2 5 3" xfId="4929" xr:uid="{00000000-0005-0000-0000-000031010000}"/>
    <cellStyle name="20% - Accent2 5 3 2" xfId="13358" xr:uid="{122B020D-14DA-4373-BE83-BE39D3D162F4}"/>
    <cellStyle name="20% - Accent2 5 4" xfId="9140" xr:uid="{5F03A617-F217-45DC-8CA7-DBE965160D90}"/>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E03B301F-149C-4651-96CE-7DE3E9AD8DBD}"/>
    <cellStyle name="20% - Accent2 6 2 3" xfId="11698" xr:uid="{1F0CD61A-DB14-49A6-8A5C-376321415D9B}"/>
    <cellStyle name="20% - Accent2 6 3" xfId="5342" xr:uid="{00000000-0005-0000-0000-000035010000}"/>
    <cellStyle name="20% - Accent2 6 3 2" xfId="13771" xr:uid="{007BBD10-2528-4A9C-9CAF-75A15C89DDF5}"/>
    <cellStyle name="20% - Accent2 6 4" xfId="9553" xr:uid="{A2A4824D-1D01-42B7-8120-7BA21E112ECA}"/>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2AB2517B-8382-4E49-8B9E-A88D5EA7960C}"/>
    <cellStyle name="20% - Accent2 7 2 3" xfId="12111" xr:uid="{2BC58C34-253E-4CD7-ACC9-2E3618AB5BF1}"/>
    <cellStyle name="20% - Accent2 7 3" xfId="5755" xr:uid="{00000000-0005-0000-0000-000039010000}"/>
    <cellStyle name="20% - Accent2 7 3 2" xfId="14184" xr:uid="{57B9FCC3-6112-4987-990F-68A8843DC80A}"/>
    <cellStyle name="20% - Accent2 7 4" xfId="9966" xr:uid="{6B3363E4-12CE-429E-872A-7FC51C4E2CD5}"/>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4279BB5D-A418-46A6-ABA4-7A620B0D79AC}"/>
    <cellStyle name="20% - Accent2 8 2 3" xfId="12524" xr:uid="{B0BC07B5-715C-47E1-8EF6-833888E5DCD7}"/>
    <cellStyle name="20% - Accent2 8 3" xfId="6168" xr:uid="{00000000-0005-0000-0000-00003D010000}"/>
    <cellStyle name="20% - Accent2 8 3 2" xfId="14597" xr:uid="{E0204FC8-351F-4F95-A426-CB43C3405BBD}"/>
    <cellStyle name="20% - Accent2 8 4" xfId="10379" xr:uid="{4797E5EB-8D05-4ECC-B3C6-C10B4C66C7FE}"/>
    <cellStyle name="20% - Accent2 9" xfId="2273" xr:uid="{00000000-0005-0000-0000-00003E010000}"/>
    <cellStyle name="20% - Accent2 9 2" xfId="6581" xr:uid="{00000000-0005-0000-0000-00003F010000}"/>
    <cellStyle name="20% - Accent2 9 2 2" xfId="15010" xr:uid="{CF606BF1-4F1E-4FA0-8967-438E80EA2D11}"/>
    <cellStyle name="20% - Accent2 9 3" xfId="10792" xr:uid="{B9E62599-017E-4DEF-8A12-2C63F7CDC892}"/>
    <cellStyle name="20% - Accent3" xfId="17" builtinId="38" customBuiltin="1"/>
    <cellStyle name="20% - Accent3 10" xfId="4523" xr:uid="{00000000-0005-0000-0000-000041010000}"/>
    <cellStyle name="20% - Accent3 10 2" xfId="12952" xr:uid="{F8B4791F-5BC5-430F-8F9D-5BD3CBEA587A}"/>
    <cellStyle name="20% - Accent3 11" xfId="8734" xr:uid="{6036A0DC-F7AC-48A6-84A0-A33F4944CC59}"/>
    <cellStyle name="20% - Accent3 2" xfId="18" xr:uid="{00000000-0005-0000-0000-000042010000}"/>
    <cellStyle name="20% - Accent3 2 10" xfId="8735" xr:uid="{389148A3-6E9F-43FE-A6E3-E0D287144FC6}"/>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D6A8A6AF-5654-4A07-96AA-D9F59524AE2D}"/>
    <cellStyle name="20% - Accent3 2 2 2 2 2 3" xfId="11296" xr:uid="{DB286452-DDFF-409F-8168-2CC1E53829D5}"/>
    <cellStyle name="20% - Accent3 2 2 2 2 3" xfId="4940" xr:uid="{00000000-0005-0000-0000-000048010000}"/>
    <cellStyle name="20% - Accent3 2 2 2 2 3 2" xfId="13369" xr:uid="{12428CA5-F0ED-4CDF-84FD-374C8EEA5957}"/>
    <cellStyle name="20% - Accent3 2 2 2 2 4" xfId="9151" xr:uid="{9D98506D-D80E-45CB-A7D4-CB6778D07089}"/>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EC47E803-0930-48C9-9AB0-989BF70BF524}"/>
    <cellStyle name="20% - Accent3 2 2 2 3 2 3" xfId="11709" xr:uid="{40EE1DAB-C1CC-4B9A-8A0C-53B4E1710C49}"/>
    <cellStyle name="20% - Accent3 2 2 2 3 3" xfId="5353" xr:uid="{00000000-0005-0000-0000-00004C010000}"/>
    <cellStyle name="20% - Accent3 2 2 2 3 3 2" xfId="13782" xr:uid="{83ECBFE6-B6F0-438E-8205-E594F1370CAD}"/>
    <cellStyle name="20% - Accent3 2 2 2 3 4" xfId="9564" xr:uid="{B95EAF02-FBB0-4FFF-8E01-89A3BEEB4294}"/>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5705105C-3E48-4EF4-AB81-F673815E94EC}"/>
    <cellStyle name="20% - Accent3 2 2 2 4 2 3" xfId="12122" xr:uid="{F5360663-7AC0-4DBC-BC49-91E649DB8FF6}"/>
    <cellStyle name="20% - Accent3 2 2 2 4 3" xfId="5766" xr:uid="{00000000-0005-0000-0000-000050010000}"/>
    <cellStyle name="20% - Accent3 2 2 2 4 3 2" xfId="14195" xr:uid="{C6038B7A-70E6-4E73-8B3F-2CF9E2E96292}"/>
    <cellStyle name="20% - Accent3 2 2 2 4 4" xfId="9977" xr:uid="{7B1F67C0-5153-458B-91CC-5E986D9CB57F}"/>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A75F29F5-F00C-48D8-802A-863356FE54B5}"/>
    <cellStyle name="20% - Accent3 2 2 2 5 2 3" xfId="12535" xr:uid="{16E32C9E-312B-4FF5-87F8-67E80EB6B345}"/>
    <cellStyle name="20% - Accent3 2 2 2 5 3" xfId="6179" xr:uid="{00000000-0005-0000-0000-000054010000}"/>
    <cellStyle name="20% - Accent3 2 2 2 5 3 2" xfId="14608" xr:uid="{6AEDABC3-FC8F-4DCD-94E9-D0D558D08F15}"/>
    <cellStyle name="20% - Accent3 2 2 2 5 4" xfId="10390" xr:uid="{5214E9D7-8D29-4767-A603-14E804E5D51F}"/>
    <cellStyle name="20% - Accent3 2 2 2 6" xfId="2284" xr:uid="{00000000-0005-0000-0000-000055010000}"/>
    <cellStyle name="20% - Accent3 2 2 2 6 2" xfId="6592" xr:uid="{00000000-0005-0000-0000-000056010000}"/>
    <cellStyle name="20% - Accent3 2 2 2 6 2 2" xfId="15021" xr:uid="{B2560202-DF7F-4D45-8470-6EABF5F214BB}"/>
    <cellStyle name="20% - Accent3 2 2 2 6 3" xfId="10803" xr:uid="{0FCF984B-F111-4985-B3EB-FC8A3A623CAB}"/>
    <cellStyle name="20% - Accent3 2 2 2 7" xfId="4526" xr:uid="{00000000-0005-0000-0000-000057010000}"/>
    <cellStyle name="20% - Accent3 2 2 2 7 2" xfId="12955" xr:uid="{1811FCF0-C92F-44C0-AE89-CE47D9738DDE}"/>
    <cellStyle name="20% - Accent3 2 2 2 8" xfId="8737" xr:uid="{5B7BA120-C4BF-40BA-AC12-7C2A6B07EE6C}"/>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2A98BD09-C2B2-47C8-8065-C2EB862895FF}"/>
    <cellStyle name="20% - Accent3 2 2 3 2 3" xfId="11295" xr:uid="{02ABF30D-1431-4A65-9872-B18D116C2CBD}"/>
    <cellStyle name="20% - Accent3 2 2 3 3" xfId="4939" xr:uid="{00000000-0005-0000-0000-00005B010000}"/>
    <cellStyle name="20% - Accent3 2 2 3 3 2" xfId="13368" xr:uid="{2F17B771-92F3-4057-8180-B14C7926F9F5}"/>
    <cellStyle name="20% - Accent3 2 2 3 4" xfId="9150" xr:uid="{67946E4B-D8DD-412C-95A0-8F1AF398FF0D}"/>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2CF69AF4-C644-4F53-B569-03ED7D0DF30B}"/>
    <cellStyle name="20% - Accent3 2 2 4 2 3" xfId="11708" xr:uid="{BC6B68F5-EA06-4237-85E0-36411D6874BA}"/>
    <cellStyle name="20% - Accent3 2 2 4 3" xfId="5352" xr:uid="{00000000-0005-0000-0000-00005F010000}"/>
    <cellStyle name="20% - Accent3 2 2 4 3 2" xfId="13781" xr:uid="{BADBB070-6291-44FC-8445-1D8F4C306139}"/>
    <cellStyle name="20% - Accent3 2 2 4 4" xfId="9563" xr:uid="{2F9B3630-E03D-4D37-8716-03E7B16C4994}"/>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5BFEBF87-5352-42E2-A918-8CEC34FAB130}"/>
    <cellStyle name="20% - Accent3 2 2 5 2 3" xfId="12121" xr:uid="{57716A43-77F7-40F3-904D-A0827C6A2C78}"/>
    <cellStyle name="20% - Accent3 2 2 5 3" xfId="5765" xr:uid="{00000000-0005-0000-0000-000063010000}"/>
    <cellStyle name="20% - Accent3 2 2 5 3 2" xfId="14194" xr:uid="{EE4C4969-DA39-47B6-944B-8F55CFB699BE}"/>
    <cellStyle name="20% - Accent3 2 2 5 4" xfId="9976" xr:uid="{C7C6DA16-6B6F-42F2-A3AC-63AAEDACF00B}"/>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AF58E38D-02E8-4E60-A61A-AB59ABC9D8ED}"/>
    <cellStyle name="20% - Accent3 2 2 6 2 3" xfId="12534" xr:uid="{B4B81585-4759-48AA-B5A0-8E068B03E1E2}"/>
    <cellStyle name="20% - Accent3 2 2 6 3" xfId="6178" xr:uid="{00000000-0005-0000-0000-000067010000}"/>
    <cellStyle name="20% - Accent3 2 2 6 3 2" xfId="14607" xr:uid="{9BAEF03F-C827-4154-AA90-12CCF3135B4D}"/>
    <cellStyle name="20% - Accent3 2 2 6 4" xfId="10389" xr:uid="{9A91C12B-57E0-4CCC-B070-E84ABCA2D173}"/>
    <cellStyle name="20% - Accent3 2 2 7" xfId="2283" xr:uid="{00000000-0005-0000-0000-000068010000}"/>
    <cellStyle name="20% - Accent3 2 2 7 2" xfId="6591" xr:uid="{00000000-0005-0000-0000-000069010000}"/>
    <cellStyle name="20% - Accent3 2 2 7 2 2" xfId="15020" xr:uid="{6E8A0272-3C1E-4AEC-B413-178EA6A6D503}"/>
    <cellStyle name="20% - Accent3 2 2 7 3" xfId="10802" xr:uid="{62D7E62E-1BEE-4937-A0F8-1A7B755E4EC3}"/>
    <cellStyle name="20% - Accent3 2 2 8" xfId="4525" xr:uid="{00000000-0005-0000-0000-00006A010000}"/>
    <cellStyle name="20% - Accent3 2 2 8 2" xfId="12954" xr:uid="{2D73BA0D-4E2C-4045-8CF9-87852727A16D}"/>
    <cellStyle name="20% - Accent3 2 2 9" xfId="8736" xr:uid="{1F951E20-078E-4F81-BE61-566686F9503C}"/>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98E0271A-A68B-42E4-B833-9F3E50C2FF15}"/>
    <cellStyle name="20% - Accent3 2 3 2 2 3" xfId="11297" xr:uid="{55F6AB9B-7025-4B4B-BB1D-588362AADB29}"/>
    <cellStyle name="20% - Accent3 2 3 2 3" xfId="4941" xr:uid="{00000000-0005-0000-0000-00006F010000}"/>
    <cellStyle name="20% - Accent3 2 3 2 3 2" xfId="13370" xr:uid="{0B66654D-D642-4A5C-9233-4F95F8E0213F}"/>
    <cellStyle name="20% - Accent3 2 3 2 4" xfId="9152" xr:uid="{83E4B504-B305-4B31-95B9-F6FAB3BF9567}"/>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2EF7FD7F-7562-45DF-9BDF-A8435ADC328B}"/>
    <cellStyle name="20% - Accent3 2 3 3 2 3" xfId="11710" xr:uid="{991E0A02-AACB-464A-9B0B-B1081837256F}"/>
    <cellStyle name="20% - Accent3 2 3 3 3" xfId="5354" xr:uid="{00000000-0005-0000-0000-000073010000}"/>
    <cellStyle name="20% - Accent3 2 3 3 3 2" xfId="13783" xr:uid="{11279A87-78AE-4E71-BF53-95F264A8D357}"/>
    <cellStyle name="20% - Accent3 2 3 3 4" xfId="9565" xr:uid="{58D2C7B3-73F2-4CE3-81EB-F3B833E67599}"/>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A38C1C7F-A90D-4363-97EA-75D7A295244D}"/>
    <cellStyle name="20% - Accent3 2 3 4 2 3" xfId="12123" xr:uid="{BEDF07E1-09D6-4B90-A105-30B566582AA2}"/>
    <cellStyle name="20% - Accent3 2 3 4 3" xfId="5767" xr:uid="{00000000-0005-0000-0000-000077010000}"/>
    <cellStyle name="20% - Accent3 2 3 4 3 2" xfId="14196" xr:uid="{3AB41413-C9E8-4164-9C3C-71954670C8E3}"/>
    <cellStyle name="20% - Accent3 2 3 4 4" xfId="9978" xr:uid="{1EA8A72A-C311-4BE1-B251-22777D3F0E4E}"/>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E1B37D94-E0EF-46FA-ABD6-1C90BE1DC7C6}"/>
    <cellStyle name="20% - Accent3 2 3 5 2 3" xfId="12536" xr:uid="{208DE461-6B09-48E9-B734-346152787D51}"/>
    <cellStyle name="20% - Accent3 2 3 5 3" xfId="6180" xr:uid="{00000000-0005-0000-0000-00007B010000}"/>
    <cellStyle name="20% - Accent3 2 3 5 3 2" xfId="14609" xr:uid="{29BE9D77-E42B-4839-B89C-9A144C35347F}"/>
    <cellStyle name="20% - Accent3 2 3 5 4" xfId="10391" xr:uid="{E1F5F052-4214-43A7-BD85-E0B4AC5EB895}"/>
    <cellStyle name="20% - Accent3 2 3 6" xfId="2285" xr:uid="{00000000-0005-0000-0000-00007C010000}"/>
    <cellStyle name="20% - Accent3 2 3 6 2" xfId="6593" xr:uid="{00000000-0005-0000-0000-00007D010000}"/>
    <cellStyle name="20% - Accent3 2 3 6 2 2" xfId="15022" xr:uid="{5544ED21-CA6A-403D-978A-C1BB61A60DCA}"/>
    <cellStyle name="20% - Accent3 2 3 6 3" xfId="10804" xr:uid="{39FA5353-A70C-46D6-AF69-A5578AC72924}"/>
    <cellStyle name="20% - Accent3 2 3 7" xfId="4527" xr:uid="{00000000-0005-0000-0000-00007E010000}"/>
    <cellStyle name="20% - Accent3 2 3 7 2" xfId="12956" xr:uid="{2DC5E23A-D5B5-4ED7-8028-3A8B5D9E202A}"/>
    <cellStyle name="20% - Accent3 2 3 8" xfId="8738" xr:uid="{390A0FB5-027A-418E-9F2E-1441A69B2896}"/>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DD88F895-A394-4C42-9B01-682D29679CDB}"/>
    <cellStyle name="20% - Accent3 2 4 2 3" xfId="11294" xr:uid="{5AF6AE18-CDC7-40F8-A9D8-57AF217423E1}"/>
    <cellStyle name="20% - Accent3 2 4 3" xfId="4938" xr:uid="{00000000-0005-0000-0000-000082010000}"/>
    <cellStyle name="20% - Accent3 2 4 3 2" xfId="13367" xr:uid="{8F61AB9F-05C6-4E35-BE38-9FF976A459B4}"/>
    <cellStyle name="20% - Accent3 2 4 4" xfId="9149" xr:uid="{8A2CA97B-A1CD-4FCD-B9C1-F4243D8516E5}"/>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02EF181D-F372-4376-94A8-D903DA353E13}"/>
    <cellStyle name="20% - Accent3 2 5 2 3" xfId="11707" xr:uid="{DD2BA15A-8E4D-44B5-BED3-20A1C2662065}"/>
    <cellStyle name="20% - Accent3 2 5 3" xfId="5351" xr:uid="{00000000-0005-0000-0000-000086010000}"/>
    <cellStyle name="20% - Accent3 2 5 3 2" xfId="13780" xr:uid="{1178BFFC-6477-427B-9E4B-8312C08B189E}"/>
    <cellStyle name="20% - Accent3 2 5 4" xfId="9562" xr:uid="{C8C9AC07-193D-4FCA-9C73-30E0ACF9E699}"/>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BA69805A-6536-40A9-95BA-DBAD522B090F}"/>
    <cellStyle name="20% - Accent3 2 6 2 3" xfId="12120" xr:uid="{B3909F23-62D1-4570-8223-166D912ABF05}"/>
    <cellStyle name="20% - Accent3 2 6 3" xfId="5764" xr:uid="{00000000-0005-0000-0000-00008A010000}"/>
    <cellStyle name="20% - Accent3 2 6 3 2" xfId="14193" xr:uid="{8CF7E3AD-450D-43AA-A4E9-F87C88BC8EE8}"/>
    <cellStyle name="20% - Accent3 2 6 4" xfId="9975" xr:uid="{F5173E9A-46E0-4436-9C01-468A358B5AAC}"/>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3DD96416-38E3-4F97-B973-F1989732D7E8}"/>
    <cellStyle name="20% - Accent3 2 7 2 3" xfId="12533" xr:uid="{8A56779A-2495-4B92-A551-E28226EEE64A}"/>
    <cellStyle name="20% - Accent3 2 7 3" xfId="6177" xr:uid="{00000000-0005-0000-0000-00008E010000}"/>
    <cellStyle name="20% - Accent3 2 7 3 2" xfId="14606" xr:uid="{F4835DAB-61C7-4CBF-A9DE-4758D8498EC2}"/>
    <cellStyle name="20% - Accent3 2 7 4" xfId="10388" xr:uid="{594B737F-41BE-49E6-82C9-4C1D2905D10F}"/>
    <cellStyle name="20% - Accent3 2 8" xfId="2282" xr:uid="{00000000-0005-0000-0000-00008F010000}"/>
    <cellStyle name="20% - Accent3 2 8 2" xfId="6590" xr:uid="{00000000-0005-0000-0000-000090010000}"/>
    <cellStyle name="20% - Accent3 2 8 2 2" xfId="15019" xr:uid="{71116422-15D9-40D6-8F2D-5350050BD848}"/>
    <cellStyle name="20% - Accent3 2 8 3" xfId="10801" xr:uid="{B50F5D93-84E5-49DD-A70E-5FE4381BA4B8}"/>
    <cellStyle name="20% - Accent3 2 9" xfId="4524" xr:uid="{00000000-0005-0000-0000-000091010000}"/>
    <cellStyle name="20% - Accent3 2 9 2" xfId="12953" xr:uid="{0BE8671C-151B-4CE5-A78B-858D5E7F3CE8}"/>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1E5CB4A4-AD68-4DCD-8B79-8CEF6990A4BD}"/>
    <cellStyle name="20% - Accent3 3 2 2 2 3" xfId="11299" xr:uid="{98C6B01C-2FE0-4E19-89CC-C8DE70201691}"/>
    <cellStyle name="20% - Accent3 3 2 2 3" xfId="4943" xr:uid="{00000000-0005-0000-0000-000097010000}"/>
    <cellStyle name="20% - Accent3 3 2 2 3 2" xfId="13372" xr:uid="{9FEC7D16-4F41-4CDD-BE96-F005B8B632D0}"/>
    <cellStyle name="20% - Accent3 3 2 2 4" xfId="9154" xr:uid="{2BA1EE76-615B-4F37-A4ED-FB66C6D54554}"/>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02ECC7C2-9BA9-4B17-A5E5-223014878F62}"/>
    <cellStyle name="20% - Accent3 3 2 3 2 3" xfId="11712" xr:uid="{35CA75D1-795E-4446-A40C-58024F066459}"/>
    <cellStyle name="20% - Accent3 3 2 3 3" xfId="5356" xr:uid="{00000000-0005-0000-0000-00009B010000}"/>
    <cellStyle name="20% - Accent3 3 2 3 3 2" xfId="13785" xr:uid="{D35D1454-F867-449D-89EC-DE9C26646225}"/>
    <cellStyle name="20% - Accent3 3 2 3 4" xfId="9567" xr:uid="{EB5E08AC-92C5-4B34-818D-222B637D0A46}"/>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BBCE28EF-96D8-4C91-9F6B-4DCC11CC590B}"/>
    <cellStyle name="20% - Accent3 3 2 4 2 3" xfId="12125" xr:uid="{8791C14C-6D88-4857-B5D9-133C95A7B239}"/>
    <cellStyle name="20% - Accent3 3 2 4 3" xfId="5769" xr:uid="{00000000-0005-0000-0000-00009F010000}"/>
    <cellStyle name="20% - Accent3 3 2 4 3 2" xfId="14198" xr:uid="{A53A38F0-E82E-4BC4-AF43-AA265D20255E}"/>
    <cellStyle name="20% - Accent3 3 2 4 4" xfId="9980" xr:uid="{1EC62775-0862-4CEB-B752-8B17400BFE5E}"/>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1A512B08-2E9A-4584-911E-9E20140EF670}"/>
    <cellStyle name="20% - Accent3 3 2 5 2 3" xfId="12538" xr:uid="{6DC46ED2-5D67-4365-9EF8-01E566B5DC08}"/>
    <cellStyle name="20% - Accent3 3 2 5 3" xfId="6182" xr:uid="{00000000-0005-0000-0000-0000A3010000}"/>
    <cellStyle name="20% - Accent3 3 2 5 3 2" xfId="14611" xr:uid="{33432ACD-B9F6-415A-9B65-61221AB62962}"/>
    <cellStyle name="20% - Accent3 3 2 5 4" xfId="10393" xr:uid="{1F64A63D-7DE9-4BA4-B71A-200E74B12221}"/>
    <cellStyle name="20% - Accent3 3 2 6" xfId="2287" xr:uid="{00000000-0005-0000-0000-0000A4010000}"/>
    <cellStyle name="20% - Accent3 3 2 6 2" xfId="6595" xr:uid="{00000000-0005-0000-0000-0000A5010000}"/>
    <cellStyle name="20% - Accent3 3 2 6 2 2" xfId="15024" xr:uid="{8770AAAD-2B0D-46C6-BA60-AA0F1857A481}"/>
    <cellStyle name="20% - Accent3 3 2 6 3" xfId="10806" xr:uid="{00CD4ACE-8F00-4AC2-8C9B-B605A49FFA2F}"/>
    <cellStyle name="20% - Accent3 3 2 7" xfId="4529" xr:uid="{00000000-0005-0000-0000-0000A6010000}"/>
    <cellStyle name="20% - Accent3 3 2 7 2" xfId="12958" xr:uid="{4AC3BC92-C09C-480B-AF40-034943D37241}"/>
    <cellStyle name="20% - Accent3 3 2 8" xfId="8740" xr:uid="{494C83C4-2149-4D3A-BAAF-9C928D2CC1D8}"/>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463CB5DD-E54E-49D0-84FE-FFEFCF401E23}"/>
    <cellStyle name="20% - Accent3 3 3 2 3" xfId="11298" xr:uid="{FAF1526F-A049-4BCE-9837-F95A3C0BB384}"/>
    <cellStyle name="20% - Accent3 3 3 3" xfId="4942" xr:uid="{00000000-0005-0000-0000-0000AA010000}"/>
    <cellStyle name="20% - Accent3 3 3 3 2" xfId="13371" xr:uid="{DC2FA392-1945-4E1F-9EFA-A4B6B246D001}"/>
    <cellStyle name="20% - Accent3 3 3 4" xfId="9153" xr:uid="{AA8B2CB0-3B74-44F3-A724-3FEFC03565FA}"/>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CB422066-90C0-4238-8E00-B860D68B56FC}"/>
    <cellStyle name="20% - Accent3 3 4 2 3" xfId="11711" xr:uid="{45C1B5BD-9B9C-4AC0-A91B-6FA23D45FF7E}"/>
    <cellStyle name="20% - Accent3 3 4 3" xfId="5355" xr:uid="{00000000-0005-0000-0000-0000AE010000}"/>
    <cellStyle name="20% - Accent3 3 4 3 2" xfId="13784" xr:uid="{3E62C637-75FA-4C58-A3F3-56B06D063CE5}"/>
    <cellStyle name="20% - Accent3 3 4 4" xfId="9566" xr:uid="{075FD291-A977-4EFA-88BB-0D8B1E9FAE33}"/>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3B9399D1-79A5-40D3-9BA7-509DC6705030}"/>
    <cellStyle name="20% - Accent3 3 5 2 3" xfId="12124" xr:uid="{984B2049-DE4B-4595-BA1C-5C50EE155A11}"/>
    <cellStyle name="20% - Accent3 3 5 3" xfId="5768" xr:uid="{00000000-0005-0000-0000-0000B2010000}"/>
    <cellStyle name="20% - Accent3 3 5 3 2" xfId="14197" xr:uid="{F6BD215C-E6FA-42AD-A1E7-E8FB5E74DD36}"/>
    <cellStyle name="20% - Accent3 3 5 4" xfId="9979" xr:uid="{AEA88C0C-8FE1-4F3D-9D45-B5623A3D3FE2}"/>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4ABBA893-8C2F-4FA4-8DD4-0B69DCF708B3}"/>
    <cellStyle name="20% - Accent3 3 6 2 3" xfId="12537" xr:uid="{63255651-6D25-40AC-BA63-971D16669A79}"/>
    <cellStyle name="20% - Accent3 3 6 3" xfId="6181" xr:uid="{00000000-0005-0000-0000-0000B6010000}"/>
    <cellStyle name="20% - Accent3 3 6 3 2" xfId="14610" xr:uid="{723CED54-363A-4B4B-A814-30779A908576}"/>
    <cellStyle name="20% - Accent3 3 6 4" xfId="10392" xr:uid="{37D86DF7-5F19-48CC-A078-973717FE6AE3}"/>
    <cellStyle name="20% - Accent3 3 7" xfId="2286" xr:uid="{00000000-0005-0000-0000-0000B7010000}"/>
    <cellStyle name="20% - Accent3 3 7 2" xfId="6594" xr:uid="{00000000-0005-0000-0000-0000B8010000}"/>
    <cellStyle name="20% - Accent3 3 7 2 2" xfId="15023" xr:uid="{315C9715-4E67-4715-9906-7C3159480931}"/>
    <cellStyle name="20% - Accent3 3 7 3" xfId="10805" xr:uid="{354E7BBA-14C7-44EE-B6B0-3573ED8D0D4D}"/>
    <cellStyle name="20% - Accent3 3 8" xfId="4528" xr:uid="{00000000-0005-0000-0000-0000B9010000}"/>
    <cellStyle name="20% - Accent3 3 8 2" xfId="12957" xr:uid="{4056CAA7-844A-4AE3-B551-10A27153394F}"/>
    <cellStyle name="20% - Accent3 3 9" xfId="8739" xr:uid="{AC135818-9890-4BCC-B89A-BF5626AD2DB2}"/>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EA9AFE55-C2CC-4E80-AD41-DAD03BE4FF6C}"/>
    <cellStyle name="20% - Accent3 4 2 2 3" xfId="11300" xr:uid="{F6B58A9C-2F3F-499B-8BF8-8D53AC184071}"/>
    <cellStyle name="20% - Accent3 4 2 3" xfId="4944" xr:uid="{00000000-0005-0000-0000-0000BE010000}"/>
    <cellStyle name="20% - Accent3 4 2 3 2" xfId="13373" xr:uid="{E5D05190-7BF8-4040-A2A6-445269D9544A}"/>
    <cellStyle name="20% - Accent3 4 2 4" xfId="9155" xr:uid="{8138193E-A63E-43AD-9C13-99A713C8A73A}"/>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160F3C62-691A-4D3B-8E8D-3EEE196317E9}"/>
    <cellStyle name="20% - Accent3 4 3 2 3" xfId="11713" xr:uid="{374EF06B-F9E1-43FA-8FDA-F15A013A85C5}"/>
    <cellStyle name="20% - Accent3 4 3 3" xfId="5357" xr:uid="{00000000-0005-0000-0000-0000C2010000}"/>
    <cellStyle name="20% - Accent3 4 3 3 2" xfId="13786" xr:uid="{718E3EEC-5DFE-4760-BAC7-072E30C21DEC}"/>
    <cellStyle name="20% - Accent3 4 3 4" xfId="9568" xr:uid="{1380E52A-4CFB-4F4A-9727-A16C9CD96D43}"/>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E557F10E-68F0-4266-9384-03DCD3FE1CFD}"/>
    <cellStyle name="20% - Accent3 4 4 2 3" xfId="12126" xr:uid="{B44D257C-A057-4801-B1AE-E7309530C66C}"/>
    <cellStyle name="20% - Accent3 4 4 3" xfId="5770" xr:uid="{00000000-0005-0000-0000-0000C6010000}"/>
    <cellStyle name="20% - Accent3 4 4 3 2" xfId="14199" xr:uid="{954D6D9A-48C1-4A10-A84B-9E1D64B92A25}"/>
    <cellStyle name="20% - Accent3 4 4 4" xfId="9981" xr:uid="{C413B4DE-EAA6-45EB-B34C-B236B506D528}"/>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BC105A07-8E96-4D00-B5E9-71587304A788}"/>
    <cellStyle name="20% - Accent3 4 5 2 3" xfId="12539" xr:uid="{C4D4A868-5D74-4366-8500-8C6D826BAFE1}"/>
    <cellStyle name="20% - Accent3 4 5 3" xfId="6183" xr:uid="{00000000-0005-0000-0000-0000CA010000}"/>
    <cellStyle name="20% - Accent3 4 5 3 2" xfId="14612" xr:uid="{F3493F68-9DB5-45D3-AAFE-FC4AB256AF08}"/>
    <cellStyle name="20% - Accent3 4 5 4" xfId="10394" xr:uid="{B3BDCF93-C852-4338-BD95-88148ABFDF2C}"/>
    <cellStyle name="20% - Accent3 4 6" xfId="2288" xr:uid="{00000000-0005-0000-0000-0000CB010000}"/>
    <cellStyle name="20% - Accent3 4 6 2" xfId="6596" xr:uid="{00000000-0005-0000-0000-0000CC010000}"/>
    <cellStyle name="20% - Accent3 4 6 2 2" xfId="15025" xr:uid="{167BFBAA-34B0-4285-9D68-135FF3327665}"/>
    <cellStyle name="20% - Accent3 4 6 3" xfId="10807" xr:uid="{EDE0942B-60D6-4917-BDE3-BBCF363EBD2A}"/>
    <cellStyle name="20% - Accent3 4 7" xfId="4530" xr:uid="{00000000-0005-0000-0000-0000CD010000}"/>
    <cellStyle name="20% - Accent3 4 7 2" xfId="12959" xr:uid="{49827F5D-5FD0-487C-8F9A-794455D4C43F}"/>
    <cellStyle name="20% - Accent3 4 8" xfId="8741" xr:uid="{FFFA8D31-A764-4C8D-8DA9-211265ACDD8D}"/>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E9C6610B-1D8E-403C-8B68-C2E91E03B21B}"/>
    <cellStyle name="20% - Accent3 5 2 3" xfId="11293" xr:uid="{0FA4AD86-EB8B-460D-A3E1-DDA1E7D0122C}"/>
    <cellStyle name="20% - Accent3 5 3" xfId="4937" xr:uid="{00000000-0005-0000-0000-0000D1010000}"/>
    <cellStyle name="20% - Accent3 5 3 2" xfId="13366" xr:uid="{164B9648-3EE2-4076-8485-0B3A78EF61D9}"/>
    <cellStyle name="20% - Accent3 5 4" xfId="9148" xr:uid="{BA998CB9-2CA4-44F8-A1ED-D04C6AC7594C}"/>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8A68EA37-79B9-4EDA-AC23-F60F92D8D74D}"/>
    <cellStyle name="20% - Accent3 6 2 3" xfId="11706" xr:uid="{D86BE990-0393-4EC1-B877-F0E6A490D8B1}"/>
    <cellStyle name="20% - Accent3 6 3" xfId="5350" xr:uid="{00000000-0005-0000-0000-0000D5010000}"/>
    <cellStyle name="20% - Accent3 6 3 2" xfId="13779" xr:uid="{F423ECB2-CEAE-4E43-B391-C541B033802C}"/>
    <cellStyle name="20% - Accent3 6 4" xfId="9561" xr:uid="{331FE122-E786-4695-BCCA-E31A3E3292EC}"/>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F08CC9F3-5515-42E1-922E-5586CA94EA8C}"/>
    <cellStyle name="20% - Accent3 7 2 3" xfId="12119" xr:uid="{8B2857A4-13C4-4C01-87E6-981D7D9D6256}"/>
    <cellStyle name="20% - Accent3 7 3" xfId="5763" xr:uid="{00000000-0005-0000-0000-0000D9010000}"/>
    <cellStyle name="20% - Accent3 7 3 2" xfId="14192" xr:uid="{EA8FF59B-1B77-4B57-A6A4-5449900F8A61}"/>
    <cellStyle name="20% - Accent3 7 4" xfId="9974" xr:uid="{F1979B58-E35C-482B-BDAC-AE5CE98FFA6A}"/>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95969A54-0BEB-47F8-8366-DF1FE1A297FD}"/>
    <cellStyle name="20% - Accent3 8 2 3" xfId="12532" xr:uid="{1280EE32-25AD-4100-B965-E0D597B0ADE7}"/>
    <cellStyle name="20% - Accent3 8 3" xfId="6176" xr:uid="{00000000-0005-0000-0000-0000DD010000}"/>
    <cellStyle name="20% - Accent3 8 3 2" xfId="14605" xr:uid="{30AE133F-BB3D-4ED7-86FC-EC7E8EF84BC1}"/>
    <cellStyle name="20% - Accent3 8 4" xfId="10387" xr:uid="{8A61E485-382E-4385-BCFA-6A41B00EC473}"/>
    <cellStyle name="20% - Accent3 9" xfId="2281" xr:uid="{00000000-0005-0000-0000-0000DE010000}"/>
    <cellStyle name="20% - Accent3 9 2" xfId="6589" xr:uid="{00000000-0005-0000-0000-0000DF010000}"/>
    <cellStyle name="20% - Accent3 9 2 2" xfId="15018" xr:uid="{04ECCC38-840E-482A-BB6B-9EA398F29F8C}"/>
    <cellStyle name="20% - Accent3 9 3" xfId="10800" xr:uid="{FC9A453F-3953-4AFF-AE74-DB23CDA6C994}"/>
    <cellStyle name="20% - Accent4" xfId="25" builtinId="42" customBuiltin="1"/>
    <cellStyle name="20% - Accent4 10" xfId="4531" xr:uid="{00000000-0005-0000-0000-0000E1010000}"/>
    <cellStyle name="20% - Accent4 10 2" xfId="12960" xr:uid="{BE6745BE-BCC7-4A54-85AD-A33B0636970C}"/>
    <cellStyle name="20% - Accent4 11" xfId="8742" xr:uid="{D9669924-81A3-405B-9AAD-4FBCFBE1479B}"/>
    <cellStyle name="20% - Accent4 2" xfId="26" xr:uid="{00000000-0005-0000-0000-0000E2010000}"/>
    <cellStyle name="20% - Accent4 2 10" xfId="8743" xr:uid="{AB28269A-3BED-4FD6-847C-493BD11693C3}"/>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8E87508C-0494-4EE9-8FA0-C446B870F01C}"/>
    <cellStyle name="20% - Accent4 2 2 2 2 2 3" xfId="11304" xr:uid="{4D9092C1-4058-434D-B4AF-4433D15C86CB}"/>
    <cellStyle name="20% - Accent4 2 2 2 2 3" xfId="4948" xr:uid="{00000000-0005-0000-0000-0000E8010000}"/>
    <cellStyle name="20% - Accent4 2 2 2 2 3 2" xfId="13377" xr:uid="{A9F8D46A-C03E-4FA5-A7E5-C938E7B9955B}"/>
    <cellStyle name="20% - Accent4 2 2 2 2 4" xfId="9159" xr:uid="{B6801ECF-90D0-4C9C-A678-78E001AF754F}"/>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B7904CD1-5A1B-41F2-AC75-F283A7A5CE98}"/>
    <cellStyle name="20% - Accent4 2 2 2 3 2 3" xfId="11717" xr:uid="{F84B54BE-2F0D-47A5-B536-1441B66F4011}"/>
    <cellStyle name="20% - Accent4 2 2 2 3 3" xfId="5361" xr:uid="{00000000-0005-0000-0000-0000EC010000}"/>
    <cellStyle name="20% - Accent4 2 2 2 3 3 2" xfId="13790" xr:uid="{15BA2E58-A08A-45B9-A267-B20E08311869}"/>
    <cellStyle name="20% - Accent4 2 2 2 3 4" xfId="9572" xr:uid="{99B1944F-F00F-4B0E-8FE7-B78DE48151BD}"/>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845F3D7B-71C8-4DAB-8D05-7D22FB51BFF1}"/>
    <cellStyle name="20% - Accent4 2 2 2 4 2 3" xfId="12130" xr:uid="{82108D8C-FFD0-4859-A3D6-6E0804B5970C}"/>
    <cellStyle name="20% - Accent4 2 2 2 4 3" xfId="5774" xr:uid="{00000000-0005-0000-0000-0000F0010000}"/>
    <cellStyle name="20% - Accent4 2 2 2 4 3 2" xfId="14203" xr:uid="{E818FBA6-5102-4E96-AEDC-AEFA5568CCFA}"/>
    <cellStyle name="20% - Accent4 2 2 2 4 4" xfId="9985" xr:uid="{653EC98C-FA22-47D4-8E8A-2C2E3EA5F922}"/>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9E5F4E2B-6747-45CE-A86B-D973DFC4A4F0}"/>
    <cellStyle name="20% - Accent4 2 2 2 5 2 3" xfId="12543" xr:uid="{46786272-3943-41E3-955E-E0E767B24EC2}"/>
    <cellStyle name="20% - Accent4 2 2 2 5 3" xfId="6187" xr:uid="{00000000-0005-0000-0000-0000F4010000}"/>
    <cellStyle name="20% - Accent4 2 2 2 5 3 2" xfId="14616" xr:uid="{430C2A51-D594-4640-A187-97561968388F}"/>
    <cellStyle name="20% - Accent4 2 2 2 5 4" xfId="10398" xr:uid="{77752ECC-A9F8-4CF0-B8B9-0528FE070684}"/>
    <cellStyle name="20% - Accent4 2 2 2 6" xfId="2292" xr:uid="{00000000-0005-0000-0000-0000F5010000}"/>
    <cellStyle name="20% - Accent4 2 2 2 6 2" xfId="6600" xr:uid="{00000000-0005-0000-0000-0000F6010000}"/>
    <cellStyle name="20% - Accent4 2 2 2 6 2 2" xfId="15029" xr:uid="{1CA8E37A-B9A7-4283-BF8E-3F55B19B061D}"/>
    <cellStyle name="20% - Accent4 2 2 2 6 3" xfId="10811" xr:uid="{9055CAFB-C630-4106-BE31-3F8CA313F432}"/>
    <cellStyle name="20% - Accent4 2 2 2 7" xfId="4534" xr:uid="{00000000-0005-0000-0000-0000F7010000}"/>
    <cellStyle name="20% - Accent4 2 2 2 7 2" xfId="12963" xr:uid="{4FDAB812-D824-4C63-81EA-069193C5C2F1}"/>
    <cellStyle name="20% - Accent4 2 2 2 8" xfId="8745" xr:uid="{6C4AA486-5EE1-4869-B2A1-CBB05F91E249}"/>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5FC5688D-8080-4AAD-BEAD-1A8220B6C2DC}"/>
    <cellStyle name="20% - Accent4 2 2 3 2 3" xfId="11303" xr:uid="{E8E55C3E-80F0-464F-BA30-AAA44CE0136C}"/>
    <cellStyle name="20% - Accent4 2 2 3 3" xfId="4947" xr:uid="{00000000-0005-0000-0000-0000FB010000}"/>
    <cellStyle name="20% - Accent4 2 2 3 3 2" xfId="13376" xr:uid="{98F591FA-A802-4D1E-888F-3E87612AF7B7}"/>
    <cellStyle name="20% - Accent4 2 2 3 4" xfId="9158" xr:uid="{68F4278E-F35A-4A11-9AAE-999EC09475CE}"/>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57391167-2F60-41E4-9124-74447D820EF0}"/>
    <cellStyle name="20% - Accent4 2 2 4 2 3" xfId="11716" xr:uid="{96399CFA-D5AD-40F6-8E68-32421AC56D1E}"/>
    <cellStyle name="20% - Accent4 2 2 4 3" xfId="5360" xr:uid="{00000000-0005-0000-0000-0000FF010000}"/>
    <cellStyle name="20% - Accent4 2 2 4 3 2" xfId="13789" xr:uid="{DCCCBCE8-5D28-43D8-AF84-4324F841F477}"/>
    <cellStyle name="20% - Accent4 2 2 4 4" xfId="9571" xr:uid="{95A83445-2118-4E94-87C6-9AEF402A8A5E}"/>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1F21B399-13C0-4EAD-93E9-E002EE63BF31}"/>
    <cellStyle name="20% - Accent4 2 2 5 2 3" xfId="12129" xr:uid="{8D94C915-461B-42F2-B26E-465F36225211}"/>
    <cellStyle name="20% - Accent4 2 2 5 3" xfId="5773" xr:uid="{00000000-0005-0000-0000-000003020000}"/>
    <cellStyle name="20% - Accent4 2 2 5 3 2" xfId="14202" xr:uid="{93B7F8FA-91D5-410D-9CB9-8D81F05C6684}"/>
    <cellStyle name="20% - Accent4 2 2 5 4" xfId="9984" xr:uid="{E9FDAF46-81CD-4515-9F5F-DFDE615181C1}"/>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D6B59A5F-BF6F-4DF0-B18E-C3A15A4AD230}"/>
    <cellStyle name="20% - Accent4 2 2 6 2 3" xfId="12542" xr:uid="{C6416FC3-D926-4ECB-90DD-A2E725161265}"/>
    <cellStyle name="20% - Accent4 2 2 6 3" xfId="6186" xr:uid="{00000000-0005-0000-0000-000007020000}"/>
    <cellStyle name="20% - Accent4 2 2 6 3 2" xfId="14615" xr:uid="{093CB074-BF38-4C77-9E85-B826DE158FB0}"/>
    <cellStyle name="20% - Accent4 2 2 6 4" xfId="10397" xr:uid="{3659D25B-A8CE-4E2D-8A9E-8B87E3FD46C0}"/>
    <cellStyle name="20% - Accent4 2 2 7" xfId="2291" xr:uid="{00000000-0005-0000-0000-000008020000}"/>
    <cellStyle name="20% - Accent4 2 2 7 2" xfId="6599" xr:uid="{00000000-0005-0000-0000-000009020000}"/>
    <cellStyle name="20% - Accent4 2 2 7 2 2" xfId="15028" xr:uid="{6D02E489-2AA6-433A-AB8D-9BAC8E4B7478}"/>
    <cellStyle name="20% - Accent4 2 2 7 3" xfId="10810" xr:uid="{D674A944-27DF-496F-AF4B-E2DE4298AF46}"/>
    <cellStyle name="20% - Accent4 2 2 8" xfId="4533" xr:uid="{00000000-0005-0000-0000-00000A020000}"/>
    <cellStyle name="20% - Accent4 2 2 8 2" xfId="12962" xr:uid="{B77F6BAD-FBFE-487B-A56B-8E8955498207}"/>
    <cellStyle name="20% - Accent4 2 2 9" xfId="8744" xr:uid="{85C884F3-3C8C-415A-B729-629FE5D9C486}"/>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75BD2B39-4E6C-4488-AA42-61C5A7CE1087}"/>
    <cellStyle name="20% - Accent4 2 3 2 2 3" xfId="11305" xr:uid="{FE29FAED-1165-4521-AF95-FC5F74C1356A}"/>
    <cellStyle name="20% - Accent4 2 3 2 3" xfId="4949" xr:uid="{00000000-0005-0000-0000-00000F020000}"/>
    <cellStyle name="20% - Accent4 2 3 2 3 2" xfId="13378" xr:uid="{E35D378E-040E-469A-B77F-78F577198795}"/>
    <cellStyle name="20% - Accent4 2 3 2 4" xfId="9160" xr:uid="{B5B7D7AC-B02A-40CE-A6DC-ECF4069B0C72}"/>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4A706C04-6EDE-4706-9183-CE9153BE7164}"/>
    <cellStyle name="20% - Accent4 2 3 3 2 3" xfId="11718" xr:uid="{D8D99585-6C72-429F-A8E5-E4305B814A38}"/>
    <cellStyle name="20% - Accent4 2 3 3 3" xfId="5362" xr:uid="{00000000-0005-0000-0000-000013020000}"/>
    <cellStyle name="20% - Accent4 2 3 3 3 2" xfId="13791" xr:uid="{3BFE71D6-B3A0-4144-831A-576A0DF1C989}"/>
    <cellStyle name="20% - Accent4 2 3 3 4" xfId="9573" xr:uid="{0660FC35-4C67-4AB5-A513-8A7F64199B7D}"/>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7E2668F3-C9B7-49B1-AFFE-8E17D079E806}"/>
    <cellStyle name="20% - Accent4 2 3 4 2 3" xfId="12131" xr:uid="{8945435B-7521-4A02-A029-0CE20DE15BAE}"/>
    <cellStyle name="20% - Accent4 2 3 4 3" xfId="5775" xr:uid="{00000000-0005-0000-0000-000017020000}"/>
    <cellStyle name="20% - Accent4 2 3 4 3 2" xfId="14204" xr:uid="{3B997591-6F5E-4280-BFE8-A3E7B7BD92C3}"/>
    <cellStyle name="20% - Accent4 2 3 4 4" xfId="9986" xr:uid="{165B5411-1199-4A06-B07C-D4C95E841710}"/>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C16F6238-C327-44F3-B094-9F2D93CF362A}"/>
    <cellStyle name="20% - Accent4 2 3 5 2 3" xfId="12544" xr:uid="{A1A1CE4D-0157-4BF8-87D2-77D8D7C93460}"/>
    <cellStyle name="20% - Accent4 2 3 5 3" xfId="6188" xr:uid="{00000000-0005-0000-0000-00001B020000}"/>
    <cellStyle name="20% - Accent4 2 3 5 3 2" xfId="14617" xr:uid="{BC3723A3-CC0A-4DDF-8146-E58D4AF73147}"/>
    <cellStyle name="20% - Accent4 2 3 5 4" xfId="10399" xr:uid="{6289BDD1-61A9-47BA-B89B-4BD9169CCCF9}"/>
    <cellStyle name="20% - Accent4 2 3 6" xfId="2293" xr:uid="{00000000-0005-0000-0000-00001C020000}"/>
    <cellStyle name="20% - Accent4 2 3 6 2" xfId="6601" xr:uid="{00000000-0005-0000-0000-00001D020000}"/>
    <cellStyle name="20% - Accent4 2 3 6 2 2" xfId="15030" xr:uid="{934A4920-3ED4-4329-A90C-664D21F3BBE0}"/>
    <cellStyle name="20% - Accent4 2 3 6 3" xfId="10812" xr:uid="{6BD069CF-6BB7-4F74-9C30-B0A94BCD1407}"/>
    <cellStyle name="20% - Accent4 2 3 7" xfId="4535" xr:uid="{00000000-0005-0000-0000-00001E020000}"/>
    <cellStyle name="20% - Accent4 2 3 7 2" xfId="12964" xr:uid="{E4F26A16-FAEF-4B05-B952-FDAD282671DE}"/>
    <cellStyle name="20% - Accent4 2 3 8" xfId="8746" xr:uid="{11B17EB3-35F8-4205-AA5A-93BE31470DB6}"/>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EE7F82F8-97FD-4FEE-BE35-07C93B023E04}"/>
    <cellStyle name="20% - Accent4 2 4 2 3" xfId="11302" xr:uid="{28725DDF-F891-4664-8CA3-C767ADF8247A}"/>
    <cellStyle name="20% - Accent4 2 4 3" xfId="4946" xr:uid="{00000000-0005-0000-0000-000022020000}"/>
    <cellStyle name="20% - Accent4 2 4 3 2" xfId="13375" xr:uid="{A5255582-CC55-4AA5-877A-A9B42C6BCB1D}"/>
    <cellStyle name="20% - Accent4 2 4 4" xfId="9157" xr:uid="{27059E29-5A2B-41E2-9526-AB81526FEC6B}"/>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15D8B5DD-409E-40A7-80B6-7119ECE884C4}"/>
    <cellStyle name="20% - Accent4 2 5 2 3" xfId="11715" xr:uid="{9F951FC2-29D3-4949-8585-7934ED8DA409}"/>
    <cellStyle name="20% - Accent4 2 5 3" xfId="5359" xr:uid="{00000000-0005-0000-0000-000026020000}"/>
    <cellStyle name="20% - Accent4 2 5 3 2" xfId="13788" xr:uid="{DBE93D69-5DC6-4987-971B-ACAC8841AD92}"/>
    <cellStyle name="20% - Accent4 2 5 4" xfId="9570" xr:uid="{E398CF88-90B8-4C94-945E-3518D893B704}"/>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5015EADC-8434-441D-BC24-E553BED10EE9}"/>
    <cellStyle name="20% - Accent4 2 6 2 3" xfId="12128" xr:uid="{CE522F21-600A-4E85-A19A-B3C576919598}"/>
    <cellStyle name="20% - Accent4 2 6 3" xfId="5772" xr:uid="{00000000-0005-0000-0000-00002A020000}"/>
    <cellStyle name="20% - Accent4 2 6 3 2" xfId="14201" xr:uid="{25BDA70B-9967-4B5A-BD08-CBEAAB84ADA5}"/>
    <cellStyle name="20% - Accent4 2 6 4" xfId="9983" xr:uid="{F98810DF-90D2-4F6E-AAE9-2F82A3491850}"/>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0820AB2B-BE35-41C7-A362-BC24264053DA}"/>
    <cellStyle name="20% - Accent4 2 7 2 3" xfId="12541" xr:uid="{34755838-0A03-4990-8C0F-C6F00545A4C3}"/>
    <cellStyle name="20% - Accent4 2 7 3" xfId="6185" xr:uid="{00000000-0005-0000-0000-00002E020000}"/>
    <cellStyle name="20% - Accent4 2 7 3 2" xfId="14614" xr:uid="{CE977153-35E5-4948-B117-960E668CC901}"/>
    <cellStyle name="20% - Accent4 2 7 4" xfId="10396" xr:uid="{071459BC-39DB-4374-AFBA-EAE97FFE586A}"/>
    <cellStyle name="20% - Accent4 2 8" xfId="2290" xr:uid="{00000000-0005-0000-0000-00002F020000}"/>
    <cellStyle name="20% - Accent4 2 8 2" xfId="6598" xr:uid="{00000000-0005-0000-0000-000030020000}"/>
    <cellStyle name="20% - Accent4 2 8 2 2" xfId="15027" xr:uid="{C11E27F8-34C9-4E0B-8107-1466591465B3}"/>
    <cellStyle name="20% - Accent4 2 8 3" xfId="10809" xr:uid="{2BBD8801-1D3E-4459-9002-C65B9EDCBCBD}"/>
    <cellStyle name="20% - Accent4 2 9" xfId="4532" xr:uid="{00000000-0005-0000-0000-000031020000}"/>
    <cellStyle name="20% - Accent4 2 9 2" xfId="12961" xr:uid="{34A2F807-D8C1-43D8-81F3-83E4EF4B0EAA}"/>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F64100A2-554A-4936-9306-230D9CFE7384}"/>
    <cellStyle name="20% - Accent4 3 2 2 2 3" xfId="11307" xr:uid="{6C6C2701-FD28-43E8-B146-070B4B07B1C5}"/>
    <cellStyle name="20% - Accent4 3 2 2 3" xfId="4951" xr:uid="{00000000-0005-0000-0000-000037020000}"/>
    <cellStyle name="20% - Accent4 3 2 2 3 2" xfId="13380" xr:uid="{149019D7-C6F3-453E-91FE-8D7C5A957A6E}"/>
    <cellStyle name="20% - Accent4 3 2 2 4" xfId="9162" xr:uid="{C6720E10-E744-4893-8C3A-1418A9A6839D}"/>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5C6E19F2-B561-463A-9FD4-79F9AE53B01C}"/>
    <cellStyle name="20% - Accent4 3 2 3 2 3" xfId="11720" xr:uid="{D01C3CB3-B38C-4897-8187-514CB251D82E}"/>
    <cellStyle name="20% - Accent4 3 2 3 3" xfId="5364" xr:uid="{00000000-0005-0000-0000-00003B020000}"/>
    <cellStyle name="20% - Accent4 3 2 3 3 2" xfId="13793" xr:uid="{C5B1DCD8-DDFC-4694-889F-1442BBC79162}"/>
    <cellStyle name="20% - Accent4 3 2 3 4" xfId="9575" xr:uid="{33995C03-024F-4876-8C30-4DA817AC6E5E}"/>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F20E52E0-18C1-48F7-8E64-75E389C9CDC1}"/>
    <cellStyle name="20% - Accent4 3 2 4 2 3" xfId="12133" xr:uid="{93F79576-7446-4586-9216-9690D4935040}"/>
    <cellStyle name="20% - Accent4 3 2 4 3" xfId="5777" xr:uid="{00000000-0005-0000-0000-00003F020000}"/>
    <cellStyle name="20% - Accent4 3 2 4 3 2" xfId="14206" xr:uid="{3A1BAD0D-5C9E-49E6-9A3D-03B241C91672}"/>
    <cellStyle name="20% - Accent4 3 2 4 4" xfId="9988" xr:uid="{169FA252-439B-43D6-B2B3-19C3F8B8831E}"/>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F56D55B1-CE01-4F26-B4B4-DE376DF01D6E}"/>
    <cellStyle name="20% - Accent4 3 2 5 2 3" xfId="12546" xr:uid="{2E2EAC31-21AA-42D5-9691-D5CEA6870266}"/>
    <cellStyle name="20% - Accent4 3 2 5 3" xfId="6190" xr:uid="{00000000-0005-0000-0000-000043020000}"/>
    <cellStyle name="20% - Accent4 3 2 5 3 2" xfId="14619" xr:uid="{BA358665-A387-4A77-9AD8-2B23DDDEB94B}"/>
    <cellStyle name="20% - Accent4 3 2 5 4" xfId="10401" xr:uid="{8D76F09A-FA34-4FB3-AF4D-00AF6598839C}"/>
    <cellStyle name="20% - Accent4 3 2 6" xfId="2295" xr:uid="{00000000-0005-0000-0000-000044020000}"/>
    <cellStyle name="20% - Accent4 3 2 6 2" xfId="6603" xr:uid="{00000000-0005-0000-0000-000045020000}"/>
    <cellStyle name="20% - Accent4 3 2 6 2 2" xfId="15032" xr:uid="{9AF03A15-28B1-4F93-9CD1-3005E4850DD3}"/>
    <cellStyle name="20% - Accent4 3 2 6 3" xfId="10814" xr:uid="{ABC320DC-AA5F-4471-8D66-ECFBE10AFDD6}"/>
    <cellStyle name="20% - Accent4 3 2 7" xfId="4537" xr:uid="{00000000-0005-0000-0000-000046020000}"/>
    <cellStyle name="20% - Accent4 3 2 7 2" xfId="12966" xr:uid="{59B2403A-A621-4721-AD55-56D6C82618D9}"/>
    <cellStyle name="20% - Accent4 3 2 8" xfId="8748" xr:uid="{CCA7EA5F-91E8-4239-AF99-1B0500672048}"/>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1A8704BA-74B3-47E0-A4AA-135C57D93947}"/>
    <cellStyle name="20% - Accent4 3 3 2 3" xfId="11306" xr:uid="{21499BD9-C433-4092-A3A6-3DB41423F362}"/>
    <cellStyle name="20% - Accent4 3 3 3" xfId="4950" xr:uid="{00000000-0005-0000-0000-00004A020000}"/>
    <cellStyle name="20% - Accent4 3 3 3 2" xfId="13379" xr:uid="{333E9633-E900-42DC-A8A9-EA15A59E42B4}"/>
    <cellStyle name="20% - Accent4 3 3 4" xfId="9161" xr:uid="{81941DA5-E46E-478F-A110-7175466BA71A}"/>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5AAB5D86-002E-4D08-9A7E-18B453E5F002}"/>
    <cellStyle name="20% - Accent4 3 4 2 3" xfId="11719" xr:uid="{9D85C9CB-4083-43CA-A5C5-D60C04D8CD2C}"/>
    <cellStyle name="20% - Accent4 3 4 3" xfId="5363" xr:uid="{00000000-0005-0000-0000-00004E020000}"/>
    <cellStyle name="20% - Accent4 3 4 3 2" xfId="13792" xr:uid="{073F6546-BDE7-43D9-BA66-0F947D20FC48}"/>
    <cellStyle name="20% - Accent4 3 4 4" xfId="9574" xr:uid="{7EAED8E9-0465-4CF4-85D1-6E2073FCF810}"/>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D9F9225A-17D8-4BC8-8F41-E72F892D9EBD}"/>
    <cellStyle name="20% - Accent4 3 5 2 3" xfId="12132" xr:uid="{D1BB288D-FE6C-435C-8E7E-B94AC4C391CA}"/>
    <cellStyle name="20% - Accent4 3 5 3" xfId="5776" xr:uid="{00000000-0005-0000-0000-000052020000}"/>
    <cellStyle name="20% - Accent4 3 5 3 2" xfId="14205" xr:uid="{825CC130-B798-4E80-811F-858C96481EA3}"/>
    <cellStyle name="20% - Accent4 3 5 4" xfId="9987" xr:uid="{ED4DF7F4-B914-4982-A057-311237B3E9BE}"/>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0873B6FA-E7BE-41C9-8429-460174C1A887}"/>
    <cellStyle name="20% - Accent4 3 6 2 3" xfId="12545" xr:uid="{E97FBD92-40B2-4E5B-B102-22CB5FEC5BCB}"/>
    <cellStyle name="20% - Accent4 3 6 3" xfId="6189" xr:uid="{00000000-0005-0000-0000-000056020000}"/>
    <cellStyle name="20% - Accent4 3 6 3 2" xfId="14618" xr:uid="{7C28650A-995E-4C9B-AF42-39B6D667228E}"/>
    <cellStyle name="20% - Accent4 3 6 4" xfId="10400" xr:uid="{E4856351-5304-4D73-9B70-F2F310B54316}"/>
    <cellStyle name="20% - Accent4 3 7" xfId="2294" xr:uid="{00000000-0005-0000-0000-000057020000}"/>
    <cellStyle name="20% - Accent4 3 7 2" xfId="6602" xr:uid="{00000000-0005-0000-0000-000058020000}"/>
    <cellStyle name="20% - Accent4 3 7 2 2" xfId="15031" xr:uid="{6EB677FD-C778-484A-BD17-1B1E995B80AD}"/>
    <cellStyle name="20% - Accent4 3 7 3" xfId="10813" xr:uid="{11D69A24-1586-411F-8770-4E3B93AFF636}"/>
    <cellStyle name="20% - Accent4 3 8" xfId="4536" xr:uid="{00000000-0005-0000-0000-000059020000}"/>
    <cellStyle name="20% - Accent4 3 8 2" xfId="12965" xr:uid="{4B62E695-CFB3-4F95-A8EA-F7D2D29A5731}"/>
    <cellStyle name="20% - Accent4 3 9" xfId="8747" xr:uid="{B46DC6D2-67B4-4ABD-AEF9-DC52DD105CA6}"/>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7A78ABFF-BF0E-4D5E-A285-C4D5F6665BE9}"/>
    <cellStyle name="20% - Accent4 4 2 2 3" xfId="11308" xr:uid="{6103630C-3DEB-41AA-9DF9-0BEFFD455846}"/>
    <cellStyle name="20% - Accent4 4 2 3" xfId="4952" xr:uid="{00000000-0005-0000-0000-00005E020000}"/>
    <cellStyle name="20% - Accent4 4 2 3 2" xfId="13381" xr:uid="{FE9D0D3A-9FDB-4C9F-92CE-123ECDD196EA}"/>
    <cellStyle name="20% - Accent4 4 2 4" xfId="9163" xr:uid="{F7A87438-F380-4030-AE40-C6E33DFC93E4}"/>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CF9F76E9-C400-467C-AB15-08A03E82A0A4}"/>
    <cellStyle name="20% - Accent4 4 3 2 3" xfId="11721" xr:uid="{43523C4E-D91B-4789-A97D-32AAB7F89141}"/>
    <cellStyle name="20% - Accent4 4 3 3" xfId="5365" xr:uid="{00000000-0005-0000-0000-000062020000}"/>
    <cellStyle name="20% - Accent4 4 3 3 2" xfId="13794" xr:uid="{2A4504B8-A9B9-49DB-A358-467AB0D8C5FF}"/>
    <cellStyle name="20% - Accent4 4 3 4" xfId="9576" xr:uid="{180AF4AE-62C0-4E9D-8640-78350D6258E1}"/>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242A226D-1039-4100-9956-31D5755FB8DB}"/>
    <cellStyle name="20% - Accent4 4 4 2 3" xfId="12134" xr:uid="{B84E0C99-7940-40BD-8FA6-21F8FFA29B6A}"/>
    <cellStyle name="20% - Accent4 4 4 3" xfId="5778" xr:uid="{00000000-0005-0000-0000-000066020000}"/>
    <cellStyle name="20% - Accent4 4 4 3 2" xfId="14207" xr:uid="{EB050530-F964-480F-844B-105A07C9ECC7}"/>
    <cellStyle name="20% - Accent4 4 4 4" xfId="9989" xr:uid="{603E131E-45FF-4962-9774-9246B59DEAE1}"/>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36A86126-D093-4F41-9BFC-CE5DFE05C036}"/>
    <cellStyle name="20% - Accent4 4 5 2 3" xfId="12547" xr:uid="{4278BA3B-598D-47A9-8402-861F3FEAF20C}"/>
    <cellStyle name="20% - Accent4 4 5 3" xfId="6191" xr:uid="{00000000-0005-0000-0000-00006A020000}"/>
    <cellStyle name="20% - Accent4 4 5 3 2" xfId="14620" xr:uid="{D9B39D24-6664-40F2-8174-0F751A53FE32}"/>
    <cellStyle name="20% - Accent4 4 5 4" xfId="10402" xr:uid="{20DFFE29-2F8A-43BE-8E70-7598B25134F2}"/>
    <cellStyle name="20% - Accent4 4 6" xfId="2296" xr:uid="{00000000-0005-0000-0000-00006B020000}"/>
    <cellStyle name="20% - Accent4 4 6 2" xfId="6604" xr:uid="{00000000-0005-0000-0000-00006C020000}"/>
    <cellStyle name="20% - Accent4 4 6 2 2" xfId="15033" xr:uid="{478CC394-7CC3-4624-BABD-CBA5756A0199}"/>
    <cellStyle name="20% - Accent4 4 6 3" xfId="10815" xr:uid="{8F3B82F2-24B5-4C2C-A844-C378DE619FF4}"/>
    <cellStyle name="20% - Accent4 4 7" xfId="4538" xr:uid="{00000000-0005-0000-0000-00006D020000}"/>
    <cellStyle name="20% - Accent4 4 7 2" xfId="12967" xr:uid="{193716B7-0389-477E-93A5-CBBC812BFF33}"/>
    <cellStyle name="20% - Accent4 4 8" xfId="8749" xr:uid="{A2EA33D7-EAB2-4CB4-9FD5-88FD2699BBCF}"/>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5628D107-EB2F-4B7A-AF73-FBE9CA0EA451}"/>
    <cellStyle name="20% - Accent4 5 2 3" xfId="11301" xr:uid="{27BE525B-9C63-4FEC-A7F4-FA2EACFEF1B2}"/>
    <cellStyle name="20% - Accent4 5 3" xfId="4945" xr:uid="{00000000-0005-0000-0000-000071020000}"/>
    <cellStyle name="20% - Accent4 5 3 2" xfId="13374" xr:uid="{9540B49A-8445-42C9-8DFF-2D958FC91CBA}"/>
    <cellStyle name="20% - Accent4 5 4" xfId="9156" xr:uid="{310B55AB-C647-4CD3-A85D-16A8C3B1DE81}"/>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0BA9DA42-094D-4FED-AAE8-EACF49690409}"/>
    <cellStyle name="20% - Accent4 6 2 3" xfId="11714" xr:uid="{45E759D5-FA85-4C1E-97E4-86979F72A84E}"/>
    <cellStyle name="20% - Accent4 6 3" xfId="5358" xr:uid="{00000000-0005-0000-0000-000075020000}"/>
    <cellStyle name="20% - Accent4 6 3 2" xfId="13787" xr:uid="{0D00E5E9-8747-4BD0-98D1-9EFA510E4166}"/>
    <cellStyle name="20% - Accent4 6 4" xfId="9569" xr:uid="{1C243556-F8CD-4A46-BB0D-10D1633AB3E7}"/>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B842907F-03FB-4F73-BFCD-CD1113B1E74A}"/>
    <cellStyle name="20% - Accent4 7 2 3" xfId="12127" xr:uid="{D4876F91-2149-4C1A-9296-E2D30963B366}"/>
    <cellStyle name="20% - Accent4 7 3" xfId="5771" xr:uid="{00000000-0005-0000-0000-000079020000}"/>
    <cellStyle name="20% - Accent4 7 3 2" xfId="14200" xr:uid="{04556104-6B5B-43B4-B8F2-ACE825CB6565}"/>
    <cellStyle name="20% - Accent4 7 4" xfId="9982" xr:uid="{B4624256-E9FD-4DD7-A570-73FBD58C9601}"/>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DF020432-ACE4-4DA5-A2B2-659B68770CEB}"/>
    <cellStyle name="20% - Accent4 8 2 3" xfId="12540" xr:uid="{EF3B336D-6ECE-46AD-A1D2-DBCFC3B5FC23}"/>
    <cellStyle name="20% - Accent4 8 3" xfId="6184" xr:uid="{00000000-0005-0000-0000-00007D020000}"/>
    <cellStyle name="20% - Accent4 8 3 2" xfId="14613" xr:uid="{0AC82927-D543-4107-B402-CD8DA9020990}"/>
    <cellStyle name="20% - Accent4 8 4" xfId="10395" xr:uid="{B444283E-9FD8-4735-8385-FD8B69C3D10D}"/>
    <cellStyle name="20% - Accent4 9" xfId="2289" xr:uid="{00000000-0005-0000-0000-00007E020000}"/>
    <cellStyle name="20% - Accent4 9 2" xfId="6597" xr:uid="{00000000-0005-0000-0000-00007F020000}"/>
    <cellStyle name="20% - Accent4 9 2 2" xfId="15026" xr:uid="{D4F3DC45-F5DE-4195-ABB5-C1D9DAAB1CF0}"/>
    <cellStyle name="20% - Accent4 9 3" xfId="10808" xr:uid="{2DC96390-883B-49F3-B9DE-A72786B10BBD}"/>
    <cellStyle name="20% - Accent5" xfId="33" builtinId="46" customBuiltin="1"/>
    <cellStyle name="20% - Accent5 10" xfId="4539" xr:uid="{00000000-0005-0000-0000-000081020000}"/>
    <cellStyle name="20% - Accent5 10 2" xfId="12968" xr:uid="{16D5CC5F-08CE-42A0-998B-29096F4281C9}"/>
    <cellStyle name="20% - Accent5 11" xfId="8750" xr:uid="{3D0ADCAD-69A2-4281-97D9-13DDE0335261}"/>
    <cellStyle name="20% - Accent5 2" xfId="34" xr:uid="{00000000-0005-0000-0000-000082020000}"/>
    <cellStyle name="20% - Accent5 2 10" xfId="8751" xr:uid="{18B54E9C-AEC4-49B5-B518-52B638717F86}"/>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1CDC9336-E4E8-48E4-B189-5AF30D31B29E}"/>
    <cellStyle name="20% - Accent5 2 2 2 2 2 3" xfId="11312" xr:uid="{5F0CABFB-B49D-4D70-BE48-010488895A8B}"/>
    <cellStyle name="20% - Accent5 2 2 2 2 3" xfId="4956" xr:uid="{00000000-0005-0000-0000-000088020000}"/>
    <cellStyle name="20% - Accent5 2 2 2 2 3 2" xfId="13385" xr:uid="{C8076E61-D731-4BBD-B26F-DA36E4F3CBA3}"/>
    <cellStyle name="20% - Accent5 2 2 2 2 4" xfId="9167" xr:uid="{B2A298B5-FB7B-473D-9494-A4BC3787047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FE0C4E19-AEB0-4E03-BDE6-533D28089598}"/>
    <cellStyle name="20% - Accent5 2 2 2 3 2 3" xfId="11725" xr:uid="{7D956835-CFE8-49BF-BD58-346370997080}"/>
    <cellStyle name="20% - Accent5 2 2 2 3 3" xfId="5369" xr:uid="{00000000-0005-0000-0000-00008C020000}"/>
    <cellStyle name="20% - Accent5 2 2 2 3 3 2" xfId="13798" xr:uid="{40540C7A-2E3E-4CB3-AF15-94A566FF7EDC}"/>
    <cellStyle name="20% - Accent5 2 2 2 3 4" xfId="9580" xr:uid="{A124A590-C5F8-4A5A-BFB2-CAA29A7E01D2}"/>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2A4BDEF2-DD46-4206-8E27-153246C87D6D}"/>
    <cellStyle name="20% - Accent5 2 2 2 4 2 3" xfId="12138" xr:uid="{ACEA7FD6-7032-419D-98EA-BD7BC794B734}"/>
    <cellStyle name="20% - Accent5 2 2 2 4 3" xfId="5782" xr:uid="{00000000-0005-0000-0000-000090020000}"/>
    <cellStyle name="20% - Accent5 2 2 2 4 3 2" xfId="14211" xr:uid="{DFF01CAA-1CEE-48AB-940B-06255444327B}"/>
    <cellStyle name="20% - Accent5 2 2 2 4 4" xfId="9993" xr:uid="{F141F998-A8A3-4B06-BE41-1532EC3D60C4}"/>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4D7A7554-FEC8-46A3-8333-4D0FE93DA14E}"/>
    <cellStyle name="20% - Accent5 2 2 2 5 2 3" xfId="12551" xr:uid="{8AB3FB43-B1CA-4942-AFE5-13C207085029}"/>
    <cellStyle name="20% - Accent5 2 2 2 5 3" xfId="6195" xr:uid="{00000000-0005-0000-0000-000094020000}"/>
    <cellStyle name="20% - Accent5 2 2 2 5 3 2" xfId="14624" xr:uid="{3B3431D9-6CAA-47DF-ACA0-63F98885CDE5}"/>
    <cellStyle name="20% - Accent5 2 2 2 5 4" xfId="10406" xr:uid="{06525E70-1339-455C-B6B2-794627074608}"/>
    <cellStyle name="20% - Accent5 2 2 2 6" xfId="2300" xr:uid="{00000000-0005-0000-0000-000095020000}"/>
    <cellStyle name="20% - Accent5 2 2 2 6 2" xfId="6608" xr:uid="{00000000-0005-0000-0000-000096020000}"/>
    <cellStyle name="20% - Accent5 2 2 2 6 2 2" xfId="15037" xr:uid="{DF879A29-A65C-4F19-ACE2-F2A6B593C707}"/>
    <cellStyle name="20% - Accent5 2 2 2 6 3" xfId="10819" xr:uid="{105774B8-7455-4906-95A8-E5D61E92CB38}"/>
    <cellStyle name="20% - Accent5 2 2 2 7" xfId="4542" xr:uid="{00000000-0005-0000-0000-000097020000}"/>
    <cellStyle name="20% - Accent5 2 2 2 7 2" xfId="12971" xr:uid="{5C6D201E-CA36-4435-A417-84EBB7DBA3C3}"/>
    <cellStyle name="20% - Accent5 2 2 2 8" xfId="8753" xr:uid="{DB0A57FA-5EEF-42EA-9B5C-6D071791BCEC}"/>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38F422F5-A87A-43A6-AEAE-4F36A6CB2B93}"/>
    <cellStyle name="20% - Accent5 2 2 3 2 3" xfId="11311" xr:uid="{9EF51BCC-7C10-45A6-85B8-750C316B2A62}"/>
    <cellStyle name="20% - Accent5 2 2 3 3" xfId="4955" xr:uid="{00000000-0005-0000-0000-00009B020000}"/>
    <cellStyle name="20% - Accent5 2 2 3 3 2" xfId="13384" xr:uid="{E8C5AD13-4C3F-4404-8B3F-64223D095688}"/>
    <cellStyle name="20% - Accent5 2 2 3 4" xfId="9166" xr:uid="{871D29CF-B1A7-441A-BB15-CDE9BC828660}"/>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1A0F3018-3A9C-4EAD-89F3-7F9E8F65D6D3}"/>
    <cellStyle name="20% - Accent5 2 2 4 2 3" xfId="11724" xr:uid="{7D67008F-E568-43CE-AD72-DD6A26CFA2B7}"/>
    <cellStyle name="20% - Accent5 2 2 4 3" xfId="5368" xr:uid="{00000000-0005-0000-0000-00009F020000}"/>
    <cellStyle name="20% - Accent5 2 2 4 3 2" xfId="13797" xr:uid="{F5E3DD7E-3364-4468-AC68-EF255A3E1325}"/>
    <cellStyle name="20% - Accent5 2 2 4 4" xfId="9579" xr:uid="{78A0C5C8-7203-43C9-9F04-23013B19266F}"/>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49941015-705D-4029-AE02-C8717BC7171E}"/>
    <cellStyle name="20% - Accent5 2 2 5 2 3" xfId="12137" xr:uid="{3CCE06DC-5BC4-46ED-A190-E75C25A69826}"/>
    <cellStyle name="20% - Accent5 2 2 5 3" xfId="5781" xr:uid="{00000000-0005-0000-0000-0000A3020000}"/>
    <cellStyle name="20% - Accent5 2 2 5 3 2" xfId="14210" xr:uid="{6133977D-DAC7-4587-B8C5-7A5B5528EA84}"/>
    <cellStyle name="20% - Accent5 2 2 5 4" xfId="9992" xr:uid="{BE0E645C-E195-458A-8F63-CC3F0848A049}"/>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B7B2B00C-5AA5-4095-BE2A-EC0245CD4F73}"/>
    <cellStyle name="20% - Accent5 2 2 6 2 3" xfId="12550" xr:uid="{92ECF665-CA1B-4EA6-9A0E-04B3A7AC49A6}"/>
    <cellStyle name="20% - Accent5 2 2 6 3" xfId="6194" xr:uid="{00000000-0005-0000-0000-0000A7020000}"/>
    <cellStyle name="20% - Accent5 2 2 6 3 2" xfId="14623" xr:uid="{5C28487D-9551-490F-9617-BA04D5D036D7}"/>
    <cellStyle name="20% - Accent5 2 2 6 4" xfId="10405" xr:uid="{83DC53E2-1863-40AE-BBE9-47947CC1A5FC}"/>
    <cellStyle name="20% - Accent5 2 2 7" xfId="2299" xr:uid="{00000000-0005-0000-0000-0000A8020000}"/>
    <cellStyle name="20% - Accent5 2 2 7 2" xfId="6607" xr:uid="{00000000-0005-0000-0000-0000A9020000}"/>
    <cellStyle name="20% - Accent5 2 2 7 2 2" xfId="15036" xr:uid="{07F2EA5D-890E-4543-914E-CD6A2A78CDE2}"/>
    <cellStyle name="20% - Accent5 2 2 7 3" xfId="10818" xr:uid="{E08E68C3-732C-45C9-B1F5-2A3711957411}"/>
    <cellStyle name="20% - Accent5 2 2 8" xfId="4541" xr:uid="{00000000-0005-0000-0000-0000AA020000}"/>
    <cellStyle name="20% - Accent5 2 2 8 2" xfId="12970" xr:uid="{55F04F67-E7A3-4D7D-B334-DB3D13ACFD9B}"/>
    <cellStyle name="20% - Accent5 2 2 9" xfId="8752" xr:uid="{F79464A1-8969-4A7A-8EA5-B109481A6CB2}"/>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B9FFE0DE-B27D-4350-A4F7-FAFE586FCBD6}"/>
    <cellStyle name="20% - Accent5 2 3 2 2 3" xfId="11313" xr:uid="{7122C1C6-7600-42AF-9D08-775A526EF1E6}"/>
    <cellStyle name="20% - Accent5 2 3 2 3" xfId="4957" xr:uid="{00000000-0005-0000-0000-0000AF020000}"/>
    <cellStyle name="20% - Accent5 2 3 2 3 2" xfId="13386" xr:uid="{3548B47A-E2CB-4231-8E0C-FD39D54DC47C}"/>
    <cellStyle name="20% - Accent5 2 3 2 4" xfId="9168" xr:uid="{127ED085-E82C-44EE-8AC6-0DE6AC13B82C}"/>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71E042D2-5602-4908-B9C5-818ED9FF861F}"/>
    <cellStyle name="20% - Accent5 2 3 3 2 3" xfId="11726" xr:uid="{2E64A0AD-B364-4699-93A1-1726A98F4B73}"/>
    <cellStyle name="20% - Accent5 2 3 3 3" xfId="5370" xr:uid="{00000000-0005-0000-0000-0000B3020000}"/>
    <cellStyle name="20% - Accent5 2 3 3 3 2" xfId="13799" xr:uid="{2EE38E51-5B92-4C65-89B7-12842B955907}"/>
    <cellStyle name="20% - Accent5 2 3 3 4" xfId="9581" xr:uid="{03E68A9F-1119-4687-8858-FF1277CE8622}"/>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2FE91655-186D-42A4-8E51-3C6799F714BF}"/>
    <cellStyle name="20% - Accent5 2 3 4 2 3" xfId="12139" xr:uid="{CAA8AF3C-FD90-488F-AEE4-7ADA8D9DF900}"/>
    <cellStyle name="20% - Accent5 2 3 4 3" xfId="5783" xr:uid="{00000000-0005-0000-0000-0000B7020000}"/>
    <cellStyle name="20% - Accent5 2 3 4 3 2" xfId="14212" xr:uid="{F630B3ED-1445-494F-9BC3-39E78AA6E3D5}"/>
    <cellStyle name="20% - Accent5 2 3 4 4" xfId="9994" xr:uid="{035D0865-CF2B-4417-AEE3-8FE19CDB5123}"/>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0A65A4E3-7360-45E1-B03B-40209AD84C23}"/>
    <cellStyle name="20% - Accent5 2 3 5 2 3" xfId="12552" xr:uid="{5E1FEC6E-3202-4EE1-854A-7DF9F7D64BBD}"/>
    <cellStyle name="20% - Accent5 2 3 5 3" xfId="6196" xr:uid="{00000000-0005-0000-0000-0000BB020000}"/>
    <cellStyle name="20% - Accent5 2 3 5 3 2" xfId="14625" xr:uid="{6B79E90C-5A7E-4380-8DC3-5F84DC3B5328}"/>
    <cellStyle name="20% - Accent5 2 3 5 4" xfId="10407" xr:uid="{839BE7CC-8D3A-4EB9-A0FE-7A6B88218C0D}"/>
    <cellStyle name="20% - Accent5 2 3 6" xfId="2301" xr:uid="{00000000-0005-0000-0000-0000BC020000}"/>
    <cellStyle name="20% - Accent5 2 3 6 2" xfId="6609" xr:uid="{00000000-0005-0000-0000-0000BD020000}"/>
    <cellStyle name="20% - Accent5 2 3 6 2 2" xfId="15038" xr:uid="{808BE4DD-9AA6-41CC-AB7A-28B7A8BEDF38}"/>
    <cellStyle name="20% - Accent5 2 3 6 3" xfId="10820" xr:uid="{4AEF0054-0A7D-4BB5-A617-AB3D67481E69}"/>
    <cellStyle name="20% - Accent5 2 3 7" xfId="4543" xr:uid="{00000000-0005-0000-0000-0000BE020000}"/>
    <cellStyle name="20% - Accent5 2 3 7 2" xfId="12972" xr:uid="{00103EE1-E713-4EFD-84B6-E3CD37A0C6E1}"/>
    <cellStyle name="20% - Accent5 2 3 8" xfId="8754" xr:uid="{2FE92D56-3186-4773-A81C-B7097FD595FF}"/>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2C0717DE-486E-4903-887C-101F898A303E}"/>
    <cellStyle name="20% - Accent5 2 4 2 3" xfId="11310" xr:uid="{75D46DDF-4D40-4DAE-A96B-3D6467AAED89}"/>
    <cellStyle name="20% - Accent5 2 4 3" xfId="4954" xr:uid="{00000000-0005-0000-0000-0000C2020000}"/>
    <cellStyle name="20% - Accent5 2 4 3 2" xfId="13383" xr:uid="{360A7801-0777-4B55-B09B-8EC8E71AB425}"/>
    <cellStyle name="20% - Accent5 2 4 4" xfId="9165" xr:uid="{1AADE03A-2057-4028-A34E-3ACDECB02E3F}"/>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8DA3A222-9D08-44A0-9088-37DEC70EC56F}"/>
    <cellStyle name="20% - Accent5 2 5 2 3" xfId="11723" xr:uid="{7C015E75-0F77-4956-B210-D6BB81FB2D94}"/>
    <cellStyle name="20% - Accent5 2 5 3" xfId="5367" xr:uid="{00000000-0005-0000-0000-0000C6020000}"/>
    <cellStyle name="20% - Accent5 2 5 3 2" xfId="13796" xr:uid="{92587636-88A8-45F6-94FA-BE91520CD14D}"/>
    <cellStyle name="20% - Accent5 2 5 4" xfId="9578" xr:uid="{EACB72A7-773B-417A-90D7-B627AB9EE0D3}"/>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271E525C-A80A-403A-B657-453D0AED2E5B}"/>
    <cellStyle name="20% - Accent5 2 6 2 3" xfId="12136" xr:uid="{083342E4-594D-4D09-BB3F-BC8AE0E68F83}"/>
    <cellStyle name="20% - Accent5 2 6 3" xfId="5780" xr:uid="{00000000-0005-0000-0000-0000CA020000}"/>
    <cellStyle name="20% - Accent5 2 6 3 2" xfId="14209" xr:uid="{824DCD82-58FF-4A43-A060-2131581F6E8E}"/>
    <cellStyle name="20% - Accent5 2 6 4" xfId="9991" xr:uid="{2BDCDB55-E315-4222-9B4E-C2B02C4572A1}"/>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D7D19CA5-D0AF-41C0-ACCB-054D9666D04B}"/>
    <cellStyle name="20% - Accent5 2 7 2 3" xfId="12549" xr:uid="{B08AC97E-833E-40BA-AC4D-284A8031A099}"/>
    <cellStyle name="20% - Accent5 2 7 3" xfId="6193" xr:uid="{00000000-0005-0000-0000-0000CE020000}"/>
    <cellStyle name="20% - Accent5 2 7 3 2" xfId="14622" xr:uid="{5C81E149-4B5D-4983-9F4A-3E1D9A1161BF}"/>
    <cellStyle name="20% - Accent5 2 7 4" xfId="10404" xr:uid="{FE07AD9F-7ACD-4157-AA9E-BA78E8547256}"/>
    <cellStyle name="20% - Accent5 2 8" xfId="2298" xr:uid="{00000000-0005-0000-0000-0000CF020000}"/>
    <cellStyle name="20% - Accent5 2 8 2" xfId="6606" xr:uid="{00000000-0005-0000-0000-0000D0020000}"/>
    <cellStyle name="20% - Accent5 2 8 2 2" xfId="15035" xr:uid="{40F97557-74C7-46A2-A375-D60715F6C8C6}"/>
    <cellStyle name="20% - Accent5 2 8 3" xfId="10817" xr:uid="{8B242214-5A08-442B-B414-0CA2A5BEDE2F}"/>
    <cellStyle name="20% - Accent5 2 9" xfId="4540" xr:uid="{00000000-0005-0000-0000-0000D1020000}"/>
    <cellStyle name="20% - Accent5 2 9 2" xfId="12969" xr:uid="{8AE061CB-8F0C-4B65-B3C9-32DD39146C2F}"/>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47604D47-E1D4-4296-A2F4-FCB6CD75D979}"/>
    <cellStyle name="20% - Accent5 3 2 2 2 3" xfId="11315" xr:uid="{6BE0017C-4D54-4506-BE97-08DB568AE5BE}"/>
    <cellStyle name="20% - Accent5 3 2 2 3" xfId="4959" xr:uid="{00000000-0005-0000-0000-0000D7020000}"/>
    <cellStyle name="20% - Accent5 3 2 2 3 2" xfId="13388" xr:uid="{5BAAAD60-3A51-4EBB-8969-F48F31224986}"/>
    <cellStyle name="20% - Accent5 3 2 2 4" xfId="9170" xr:uid="{0942A9FE-4E8B-44F5-9DBF-A977D4601A83}"/>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384566E5-319D-4DE8-86F6-7DA3EF11393B}"/>
    <cellStyle name="20% - Accent5 3 2 3 2 3" xfId="11728" xr:uid="{B6D565E1-CC09-4D4C-8819-D8AF8EFF22B6}"/>
    <cellStyle name="20% - Accent5 3 2 3 3" xfId="5372" xr:uid="{00000000-0005-0000-0000-0000DB020000}"/>
    <cellStyle name="20% - Accent5 3 2 3 3 2" xfId="13801" xr:uid="{63227650-279F-49F7-90FB-F61D86AD2067}"/>
    <cellStyle name="20% - Accent5 3 2 3 4" xfId="9583" xr:uid="{35701120-703E-4DF1-895F-72B3344C0485}"/>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34884939-CAD4-4E88-A22B-B333FC7F9977}"/>
    <cellStyle name="20% - Accent5 3 2 4 2 3" xfId="12141" xr:uid="{EACB122E-7487-423D-83E2-E54A1D65424C}"/>
    <cellStyle name="20% - Accent5 3 2 4 3" xfId="5785" xr:uid="{00000000-0005-0000-0000-0000DF020000}"/>
    <cellStyle name="20% - Accent5 3 2 4 3 2" xfId="14214" xr:uid="{32E113D0-6374-42E0-A43F-D6EC9BF17414}"/>
    <cellStyle name="20% - Accent5 3 2 4 4" xfId="9996" xr:uid="{FAE9BDBF-8197-4A53-9001-1FAC6758E30C}"/>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47EB8F14-CB1A-4BE0-A364-EA6543E940B3}"/>
    <cellStyle name="20% - Accent5 3 2 5 2 3" xfId="12554" xr:uid="{BEA2E25F-C01D-4395-8650-FD0AE2FC2363}"/>
    <cellStyle name="20% - Accent5 3 2 5 3" xfId="6198" xr:uid="{00000000-0005-0000-0000-0000E3020000}"/>
    <cellStyle name="20% - Accent5 3 2 5 3 2" xfId="14627" xr:uid="{A6A74F39-D5D7-4047-83C8-36E71038DEFD}"/>
    <cellStyle name="20% - Accent5 3 2 5 4" xfId="10409" xr:uid="{F0D16D80-4867-432B-BC6C-C5158AE43B77}"/>
    <cellStyle name="20% - Accent5 3 2 6" xfId="2303" xr:uid="{00000000-0005-0000-0000-0000E4020000}"/>
    <cellStyle name="20% - Accent5 3 2 6 2" xfId="6611" xr:uid="{00000000-0005-0000-0000-0000E5020000}"/>
    <cellStyle name="20% - Accent5 3 2 6 2 2" xfId="15040" xr:uid="{6EE79503-83A0-4520-9E23-9F1BC6E2FC35}"/>
    <cellStyle name="20% - Accent5 3 2 6 3" xfId="10822" xr:uid="{9313A10F-6DBD-41B6-B1C4-2A4528FA2880}"/>
    <cellStyle name="20% - Accent5 3 2 7" xfId="4545" xr:uid="{00000000-0005-0000-0000-0000E6020000}"/>
    <cellStyle name="20% - Accent5 3 2 7 2" xfId="12974" xr:uid="{C4319894-1113-45A4-BB61-09DBCDCA7A1E}"/>
    <cellStyle name="20% - Accent5 3 2 8" xfId="8756" xr:uid="{15375453-4966-4A00-ADE4-822EEE6BE67F}"/>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AE5D9ED6-C03C-415E-A1F2-156895EE97B6}"/>
    <cellStyle name="20% - Accent5 3 3 2 3" xfId="11314" xr:uid="{22E4A149-A8BD-4BD3-A155-D2F670A74ED6}"/>
    <cellStyle name="20% - Accent5 3 3 3" xfId="4958" xr:uid="{00000000-0005-0000-0000-0000EA020000}"/>
    <cellStyle name="20% - Accent5 3 3 3 2" xfId="13387" xr:uid="{95638700-2119-43D7-AD73-FE632FA4CCFB}"/>
    <cellStyle name="20% - Accent5 3 3 4" xfId="9169" xr:uid="{EB7840CB-30FB-4ABC-AA12-9E5714BD5359}"/>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A3083BE2-9A8A-4AE4-A6B6-B3145961A122}"/>
    <cellStyle name="20% - Accent5 3 4 2 3" xfId="11727" xr:uid="{A5D72562-46C2-48CC-B059-9120BB2FDE6B}"/>
    <cellStyle name="20% - Accent5 3 4 3" xfId="5371" xr:uid="{00000000-0005-0000-0000-0000EE020000}"/>
    <cellStyle name="20% - Accent5 3 4 3 2" xfId="13800" xr:uid="{8C774A99-CD20-43DA-AA63-34F494CA2D8C}"/>
    <cellStyle name="20% - Accent5 3 4 4" xfId="9582" xr:uid="{0E84E7A1-31E8-470F-9845-CF8D1748D41A}"/>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B24E9A55-BF3E-401C-B06E-0191C1D09ED8}"/>
    <cellStyle name="20% - Accent5 3 5 2 3" xfId="12140" xr:uid="{290DD5A2-792F-4D30-94DF-46A53B194926}"/>
    <cellStyle name="20% - Accent5 3 5 3" xfId="5784" xr:uid="{00000000-0005-0000-0000-0000F2020000}"/>
    <cellStyle name="20% - Accent5 3 5 3 2" xfId="14213" xr:uid="{F324E1F2-7F80-4726-8110-D6CEFCDF9AE8}"/>
    <cellStyle name="20% - Accent5 3 5 4" xfId="9995" xr:uid="{D27B433D-58B7-47F7-8A61-5F138E9D4961}"/>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07B3A65A-35E3-48B6-B83D-3205434977E7}"/>
    <cellStyle name="20% - Accent5 3 6 2 3" xfId="12553" xr:uid="{0441B458-E2E1-4957-9764-3083E99AFD77}"/>
    <cellStyle name="20% - Accent5 3 6 3" xfId="6197" xr:uid="{00000000-0005-0000-0000-0000F6020000}"/>
    <cellStyle name="20% - Accent5 3 6 3 2" xfId="14626" xr:uid="{8BA341FB-CC76-4034-880C-628B4374EAE6}"/>
    <cellStyle name="20% - Accent5 3 6 4" xfId="10408" xr:uid="{92A37D4D-490F-40C4-857A-DB88840F28AD}"/>
    <cellStyle name="20% - Accent5 3 7" xfId="2302" xr:uid="{00000000-0005-0000-0000-0000F7020000}"/>
    <cellStyle name="20% - Accent5 3 7 2" xfId="6610" xr:uid="{00000000-0005-0000-0000-0000F8020000}"/>
    <cellStyle name="20% - Accent5 3 7 2 2" xfId="15039" xr:uid="{05E8F226-10CA-46EE-A47C-391E2961EC4D}"/>
    <cellStyle name="20% - Accent5 3 7 3" xfId="10821" xr:uid="{59A8F444-F0C8-4F9F-80EC-80C44024D021}"/>
    <cellStyle name="20% - Accent5 3 8" xfId="4544" xr:uid="{00000000-0005-0000-0000-0000F9020000}"/>
    <cellStyle name="20% - Accent5 3 8 2" xfId="12973" xr:uid="{A3758BB1-D203-4E4A-A7E8-4A599DA45F26}"/>
    <cellStyle name="20% - Accent5 3 9" xfId="8755" xr:uid="{A903D5D1-275E-45F8-B332-FA4D85024034}"/>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C3897772-D636-4F76-8B57-0716FC76F808}"/>
    <cellStyle name="20% - Accent5 4 2 2 3" xfId="11316" xr:uid="{020D65F9-6DE6-4FB9-B840-88EBCF0A4EEA}"/>
    <cellStyle name="20% - Accent5 4 2 3" xfId="4960" xr:uid="{00000000-0005-0000-0000-0000FE020000}"/>
    <cellStyle name="20% - Accent5 4 2 3 2" xfId="13389" xr:uid="{1FAF42B1-96FA-4380-9880-6ADDA6D043EF}"/>
    <cellStyle name="20% - Accent5 4 2 4" xfId="9171" xr:uid="{DF6A7957-F393-4483-9CB9-460641876433}"/>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15FF773F-F2C6-4C0D-B34A-264B8CD02D71}"/>
    <cellStyle name="20% - Accent5 4 3 2 3" xfId="11729" xr:uid="{6C5DD377-72ED-40E6-8265-A63CE0018A93}"/>
    <cellStyle name="20% - Accent5 4 3 3" xfId="5373" xr:uid="{00000000-0005-0000-0000-000002030000}"/>
    <cellStyle name="20% - Accent5 4 3 3 2" xfId="13802" xr:uid="{DC15C97E-989C-42EA-B6E4-968479B73739}"/>
    <cellStyle name="20% - Accent5 4 3 4" xfId="9584" xr:uid="{4B83700C-47A7-4D24-8738-9910140CB1E0}"/>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8D839BA5-9C35-448E-B24C-A6887C7DD337}"/>
    <cellStyle name="20% - Accent5 4 4 2 3" xfId="12142" xr:uid="{2E3CFE16-FEBE-418E-BF80-EBE783B0F5A5}"/>
    <cellStyle name="20% - Accent5 4 4 3" xfId="5786" xr:uid="{00000000-0005-0000-0000-000006030000}"/>
    <cellStyle name="20% - Accent5 4 4 3 2" xfId="14215" xr:uid="{4AAA3632-046A-4A9D-A875-1A400B42D6DC}"/>
    <cellStyle name="20% - Accent5 4 4 4" xfId="9997" xr:uid="{EF49195B-3297-410D-85B2-D97D6E1F3429}"/>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F3299086-0973-474F-91BD-CA63073BF3A0}"/>
    <cellStyle name="20% - Accent5 4 5 2 3" xfId="12555" xr:uid="{A6FED800-BE6F-4EB7-B250-37ED762F9F9D}"/>
    <cellStyle name="20% - Accent5 4 5 3" xfId="6199" xr:uid="{00000000-0005-0000-0000-00000A030000}"/>
    <cellStyle name="20% - Accent5 4 5 3 2" xfId="14628" xr:uid="{FCE07991-2E4B-44A9-8321-7BE7BB86623B}"/>
    <cellStyle name="20% - Accent5 4 5 4" xfId="10410" xr:uid="{0A6FC6F1-123A-4E26-8125-7375F5E12A99}"/>
    <cellStyle name="20% - Accent5 4 6" xfId="2304" xr:uid="{00000000-0005-0000-0000-00000B030000}"/>
    <cellStyle name="20% - Accent5 4 6 2" xfId="6612" xr:uid="{00000000-0005-0000-0000-00000C030000}"/>
    <cellStyle name="20% - Accent5 4 6 2 2" xfId="15041" xr:uid="{090E78DB-643F-423C-AB94-6EC019E93F76}"/>
    <cellStyle name="20% - Accent5 4 6 3" xfId="10823" xr:uid="{909B2307-C502-4988-B2E8-D36571B8A9A5}"/>
    <cellStyle name="20% - Accent5 4 7" xfId="4546" xr:uid="{00000000-0005-0000-0000-00000D030000}"/>
    <cellStyle name="20% - Accent5 4 7 2" xfId="12975" xr:uid="{7EA2F1F9-A40E-4210-9034-4D1A511BF0BB}"/>
    <cellStyle name="20% - Accent5 4 8" xfId="8757" xr:uid="{5568A053-81EB-4FE1-A185-A60A01F62879}"/>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1EB56471-88C6-4A68-8FBA-FE560D5F3F15}"/>
    <cellStyle name="20% - Accent5 5 2 3" xfId="11309" xr:uid="{1E35FCE6-A6BB-4CC6-AE9F-CAF99BE81FCB}"/>
    <cellStyle name="20% - Accent5 5 3" xfId="4953" xr:uid="{00000000-0005-0000-0000-000011030000}"/>
    <cellStyle name="20% - Accent5 5 3 2" xfId="13382" xr:uid="{31F7B1D1-A895-4EC6-99DB-325C911BB53E}"/>
    <cellStyle name="20% - Accent5 5 4" xfId="9164" xr:uid="{7C19C741-39EE-4FF7-8B75-CCA387F39C9F}"/>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8131A333-E626-40CC-8DB3-9DAE736716C8}"/>
    <cellStyle name="20% - Accent5 6 2 3" xfId="11722" xr:uid="{DD9AF0DA-49A1-4F5E-B19A-732C8DA43B81}"/>
    <cellStyle name="20% - Accent5 6 3" xfId="5366" xr:uid="{00000000-0005-0000-0000-000015030000}"/>
    <cellStyle name="20% - Accent5 6 3 2" xfId="13795" xr:uid="{A41AFA50-C184-4D7E-9DA8-2AAC700F3BA6}"/>
    <cellStyle name="20% - Accent5 6 4" xfId="9577" xr:uid="{8609FCB2-10DC-451E-9D43-0B1BB375D8E4}"/>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EE56661C-1996-440C-A060-BEAFD2E7D73A}"/>
    <cellStyle name="20% - Accent5 7 2 3" xfId="12135" xr:uid="{7EEF3A52-B0D3-48AE-B426-7F7A85A44397}"/>
    <cellStyle name="20% - Accent5 7 3" xfId="5779" xr:uid="{00000000-0005-0000-0000-000019030000}"/>
    <cellStyle name="20% - Accent5 7 3 2" xfId="14208" xr:uid="{25CE05EF-AA19-41A0-A3F0-780DC20530BA}"/>
    <cellStyle name="20% - Accent5 7 4" xfId="9990" xr:uid="{31822D32-5025-490E-878B-1622EC6D2CB4}"/>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A1F20474-65AB-4361-A6B0-8B4A384E78C5}"/>
    <cellStyle name="20% - Accent5 8 2 3" xfId="12548" xr:uid="{A8A6E94A-92F1-4D31-9793-AE1017AB4EBB}"/>
    <cellStyle name="20% - Accent5 8 3" xfId="6192" xr:uid="{00000000-0005-0000-0000-00001D030000}"/>
    <cellStyle name="20% - Accent5 8 3 2" xfId="14621" xr:uid="{2639695E-E09A-4D9C-B8D0-A1D0F60B46DD}"/>
    <cellStyle name="20% - Accent5 8 4" xfId="10403" xr:uid="{7983DED6-3071-4778-A8F3-AFA965047314}"/>
    <cellStyle name="20% - Accent5 9" xfId="2297" xr:uid="{00000000-0005-0000-0000-00001E030000}"/>
    <cellStyle name="20% - Accent5 9 2" xfId="6605" xr:uid="{00000000-0005-0000-0000-00001F030000}"/>
    <cellStyle name="20% - Accent5 9 2 2" xfId="15034" xr:uid="{941245A7-27F3-41C9-8E9F-7CBF0A8190D4}"/>
    <cellStyle name="20% - Accent5 9 3" xfId="10816" xr:uid="{49C6A05F-27C4-4BA1-8C1F-114D0984524F}"/>
    <cellStyle name="20% - Accent6" xfId="41" builtinId="50" customBuiltin="1"/>
    <cellStyle name="20% - Accent6 10" xfId="4547" xr:uid="{00000000-0005-0000-0000-000021030000}"/>
    <cellStyle name="20% - Accent6 10 2" xfId="12976" xr:uid="{2F5D43F8-65B7-4542-A69D-0858A7BD71A2}"/>
    <cellStyle name="20% - Accent6 11" xfId="8758" xr:uid="{2508245A-F069-4945-8B81-37D365460402}"/>
    <cellStyle name="20% - Accent6 2" xfId="42" xr:uid="{00000000-0005-0000-0000-000022030000}"/>
    <cellStyle name="20% - Accent6 2 10" xfId="8759" xr:uid="{C38FDA28-66B0-4757-A5F6-261B10BEAFB3}"/>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E0776E29-ED82-42AB-B556-133DD03CC9D7}"/>
    <cellStyle name="20% - Accent6 2 2 2 2 2 3" xfId="11320" xr:uid="{ACF341AC-1E40-4EC7-B446-596A53FD70E7}"/>
    <cellStyle name="20% - Accent6 2 2 2 2 3" xfId="4964" xr:uid="{00000000-0005-0000-0000-000028030000}"/>
    <cellStyle name="20% - Accent6 2 2 2 2 3 2" xfId="13393" xr:uid="{5138F31D-D11B-4979-8E8A-610A1AB0F9F1}"/>
    <cellStyle name="20% - Accent6 2 2 2 2 4" xfId="9175" xr:uid="{34948428-0FD8-4CD9-B1FE-B3614C2B81C4}"/>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D97EAFD1-A4A4-4A3B-BD1B-8AB8C9C02E17}"/>
    <cellStyle name="20% - Accent6 2 2 2 3 2 3" xfId="11733" xr:uid="{FD8F904B-0397-48ED-B2A1-D5043625BD61}"/>
    <cellStyle name="20% - Accent6 2 2 2 3 3" xfId="5377" xr:uid="{00000000-0005-0000-0000-00002C030000}"/>
    <cellStyle name="20% - Accent6 2 2 2 3 3 2" xfId="13806" xr:uid="{FDDFE809-12E3-4FDA-B330-DF1AB4D97AFC}"/>
    <cellStyle name="20% - Accent6 2 2 2 3 4" xfId="9588" xr:uid="{1B026F1F-E902-452F-924C-84B650F22F48}"/>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46F772C2-EB1C-4A7C-B0B2-BC4244E2A226}"/>
    <cellStyle name="20% - Accent6 2 2 2 4 2 3" xfId="12146" xr:uid="{2CF235B7-D2C2-4EE8-B9DE-2917E9C9DC63}"/>
    <cellStyle name="20% - Accent6 2 2 2 4 3" xfId="5790" xr:uid="{00000000-0005-0000-0000-000030030000}"/>
    <cellStyle name="20% - Accent6 2 2 2 4 3 2" xfId="14219" xr:uid="{44F68DBD-7A1B-4915-A72A-BAB9FC77166C}"/>
    <cellStyle name="20% - Accent6 2 2 2 4 4" xfId="10001" xr:uid="{2746D715-E824-49C9-A7BA-8E517BF3A2CC}"/>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64FD767E-78D5-4446-98AA-9E77620B2718}"/>
    <cellStyle name="20% - Accent6 2 2 2 5 2 3" xfId="12559" xr:uid="{53C732A4-A956-4BF7-8AB1-ADB02EC559F3}"/>
    <cellStyle name="20% - Accent6 2 2 2 5 3" xfId="6203" xr:uid="{00000000-0005-0000-0000-000034030000}"/>
    <cellStyle name="20% - Accent6 2 2 2 5 3 2" xfId="14632" xr:uid="{9FC9261A-F7D3-4D22-A7D4-F7240DC6A98F}"/>
    <cellStyle name="20% - Accent6 2 2 2 5 4" xfId="10414" xr:uid="{04C72F66-631A-49EE-A1DC-C83E2C5FE29D}"/>
    <cellStyle name="20% - Accent6 2 2 2 6" xfId="2308" xr:uid="{00000000-0005-0000-0000-000035030000}"/>
    <cellStyle name="20% - Accent6 2 2 2 6 2" xfId="6616" xr:uid="{00000000-0005-0000-0000-000036030000}"/>
    <cellStyle name="20% - Accent6 2 2 2 6 2 2" xfId="15045" xr:uid="{1AC439A6-F289-460D-8456-B2C8AAFE8F92}"/>
    <cellStyle name="20% - Accent6 2 2 2 6 3" xfId="10827" xr:uid="{3642A14D-42EE-43D3-9A16-4CA9CD67E594}"/>
    <cellStyle name="20% - Accent6 2 2 2 7" xfId="4550" xr:uid="{00000000-0005-0000-0000-000037030000}"/>
    <cellStyle name="20% - Accent6 2 2 2 7 2" xfId="12979" xr:uid="{42139AF0-A76F-4467-B2B8-DD22986BBBD8}"/>
    <cellStyle name="20% - Accent6 2 2 2 8" xfId="8761" xr:uid="{786AB4CD-3061-46BB-9349-968256DA0ED5}"/>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AF345119-1C3C-48A7-BCF8-A3A802E47FC4}"/>
    <cellStyle name="20% - Accent6 2 2 3 2 3" xfId="11319" xr:uid="{A53C73A5-F91E-4DBA-8ACB-8BCA6C11A370}"/>
    <cellStyle name="20% - Accent6 2 2 3 3" xfId="4963" xr:uid="{00000000-0005-0000-0000-00003B030000}"/>
    <cellStyle name="20% - Accent6 2 2 3 3 2" xfId="13392" xr:uid="{1B528087-4226-467E-9FDF-CDD04BBCFC1B}"/>
    <cellStyle name="20% - Accent6 2 2 3 4" xfId="9174" xr:uid="{24107454-7D3E-43A3-8DC5-DB8EBAAEE20E}"/>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835CB9B9-691B-4EAB-9583-2EC39841C63D}"/>
    <cellStyle name="20% - Accent6 2 2 4 2 3" xfId="11732" xr:uid="{07685FF0-0E87-481F-A55E-03F56C31DD57}"/>
    <cellStyle name="20% - Accent6 2 2 4 3" xfId="5376" xr:uid="{00000000-0005-0000-0000-00003F030000}"/>
    <cellStyle name="20% - Accent6 2 2 4 3 2" xfId="13805" xr:uid="{31EA9751-7B22-4C7C-B321-93CFFD9F8F76}"/>
    <cellStyle name="20% - Accent6 2 2 4 4" xfId="9587" xr:uid="{CEE571E1-156F-485A-A3AD-71484D10F2C2}"/>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7D94388A-BA33-4C3A-AED1-539343F79D5D}"/>
    <cellStyle name="20% - Accent6 2 2 5 2 3" xfId="12145" xr:uid="{BB5A0B00-E555-4070-BC7E-F686B7DA5173}"/>
    <cellStyle name="20% - Accent6 2 2 5 3" xfId="5789" xr:uid="{00000000-0005-0000-0000-000043030000}"/>
    <cellStyle name="20% - Accent6 2 2 5 3 2" xfId="14218" xr:uid="{03221A67-DEBF-4034-AC2A-C44E72D4D18A}"/>
    <cellStyle name="20% - Accent6 2 2 5 4" xfId="10000" xr:uid="{151890D2-6ED0-44EE-841C-97BCCF315B31}"/>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E801ACEC-C97F-4743-9AA7-0A0BC3C70124}"/>
    <cellStyle name="20% - Accent6 2 2 6 2 3" xfId="12558" xr:uid="{A2AA6C9D-B626-4A96-AC32-02E648E5BF9B}"/>
    <cellStyle name="20% - Accent6 2 2 6 3" xfId="6202" xr:uid="{00000000-0005-0000-0000-000047030000}"/>
    <cellStyle name="20% - Accent6 2 2 6 3 2" xfId="14631" xr:uid="{A74CB27D-740A-4557-B4AF-D1B6AC3D164C}"/>
    <cellStyle name="20% - Accent6 2 2 6 4" xfId="10413" xr:uid="{80448385-2A3E-402B-94C9-17C57873B38E}"/>
    <cellStyle name="20% - Accent6 2 2 7" xfId="2307" xr:uid="{00000000-0005-0000-0000-000048030000}"/>
    <cellStyle name="20% - Accent6 2 2 7 2" xfId="6615" xr:uid="{00000000-0005-0000-0000-000049030000}"/>
    <cellStyle name="20% - Accent6 2 2 7 2 2" xfId="15044" xr:uid="{72038DE3-0F5D-4402-BD75-69FD6A2DD432}"/>
    <cellStyle name="20% - Accent6 2 2 7 3" xfId="10826" xr:uid="{A4E1FCAD-9F98-44B6-AD26-B8F8DF02C7AA}"/>
    <cellStyle name="20% - Accent6 2 2 8" xfId="4549" xr:uid="{00000000-0005-0000-0000-00004A030000}"/>
    <cellStyle name="20% - Accent6 2 2 8 2" xfId="12978" xr:uid="{A14F7D59-112D-47D7-B6D7-069315032689}"/>
    <cellStyle name="20% - Accent6 2 2 9" xfId="8760" xr:uid="{B626CAAA-52A9-4B2A-A5B2-8BE2431B296F}"/>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176ECA51-9DD2-4898-96EB-DBA149CBB79D}"/>
    <cellStyle name="20% - Accent6 2 3 2 2 3" xfId="11321" xr:uid="{3647E72B-65B3-4F0F-AC1F-95A8DB04B9CB}"/>
    <cellStyle name="20% - Accent6 2 3 2 3" xfId="4965" xr:uid="{00000000-0005-0000-0000-00004F030000}"/>
    <cellStyle name="20% - Accent6 2 3 2 3 2" xfId="13394" xr:uid="{E4A25101-B93E-4DDB-B581-311D007A6EF6}"/>
    <cellStyle name="20% - Accent6 2 3 2 4" xfId="9176" xr:uid="{A70E9736-1327-4051-B9BC-C705C139C6A8}"/>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3C2779BC-20A5-4E46-8D5D-368FDB00832A}"/>
    <cellStyle name="20% - Accent6 2 3 3 2 3" xfId="11734" xr:uid="{512EB10F-BF59-49F5-B9DD-32E5FE7A8A28}"/>
    <cellStyle name="20% - Accent6 2 3 3 3" xfId="5378" xr:uid="{00000000-0005-0000-0000-000053030000}"/>
    <cellStyle name="20% - Accent6 2 3 3 3 2" xfId="13807" xr:uid="{BB4EA347-4B50-4903-B25D-D0BBB24E69ED}"/>
    <cellStyle name="20% - Accent6 2 3 3 4" xfId="9589" xr:uid="{CE8EF934-9C82-4786-8911-DF841E2C9775}"/>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7171F98A-AECC-4CFB-97F4-412CD2EA34F4}"/>
    <cellStyle name="20% - Accent6 2 3 4 2 3" xfId="12147" xr:uid="{70F03B87-F7E2-4AD7-A9EF-7651F66F6665}"/>
    <cellStyle name="20% - Accent6 2 3 4 3" xfId="5791" xr:uid="{00000000-0005-0000-0000-000057030000}"/>
    <cellStyle name="20% - Accent6 2 3 4 3 2" xfId="14220" xr:uid="{F9D2961C-5800-4CE6-9509-55EABA62B378}"/>
    <cellStyle name="20% - Accent6 2 3 4 4" xfId="10002" xr:uid="{6FECEB42-F02B-428A-A237-18FDD83D407F}"/>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BE75368D-5C6B-460B-988E-9E08CD5C4A4A}"/>
    <cellStyle name="20% - Accent6 2 3 5 2 3" xfId="12560" xr:uid="{7A3C8F63-1B9D-4208-9098-DA35EEA9FB29}"/>
    <cellStyle name="20% - Accent6 2 3 5 3" xfId="6204" xr:uid="{00000000-0005-0000-0000-00005B030000}"/>
    <cellStyle name="20% - Accent6 2 3 5 3 2" xfId="14633" xr:uid="{FACED999-49F8-4491-9E17-AB0C19D01AA1}"/>
    <cellStyle name="20% - Accent6 2 3 5 4" xfId="10415" xr:uid="{48907C3D-85E1-4A8D-96E8-6E26DEFD82FB}"/>
    <cellStyle name="20% - Accent6 2 3 6" xfId="2309" xr:uid="{00000000-0005-0000-0000-00005C030000}"/>
    <cellStyle name="20% - Accent6 2 3 6 2" xfId="6617" xr:uid="{00000000-0005-0000-0000-00005D030000}"/>
    <cellStyle name="20% - Accent6 2 3 6 2 2" xfId="15046" xr:uid="{CAB525B4-5B64-4846-95C5-EE1E71612B92}"/>
    <cellStyle name="20% - Accent6 2 3 6 3" xfId="10828" xr:uid="{9078F4F9-5C31-4A14-8887-467D85674035}"/>
    <cellStyle name="20% - Accent6 2 3 7" xfId="4551" xr:uid="{00000000-0005-0000-0000-00005E030000}"/>
    <cellStyle name="20% - Accent6 2 3 7 2" xfId="12980" xr:uid="{174086C0-BA67-4C12-87CA-4FBF3430BF02}"/>
    <cellStyle name="20% - Accent6 2 3 8" xfId="8762" xr:uid="{DC424E76-4995-4212-AF75-C7515A5FD817}"/>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D5630FC1-1141-431F-BB9A-11E747483FEB}"/>
    <cellStyle name="20% - Accent6 2 4 2 3" xfId="11318" xr:uid="{27E0BB6D-9C35-4D19-981D-1859ED408E1A}"/>
    <cellStyle name="20% - Accent6 2 4 3" xfId="4962" xr:uid="{00000000-0005-0000-0000-000062030000}"/>
    <cellStyle name="20% - Accent6 2 4 3 2" xfId="13391" xr:uid="{637CFB86-F211-4820-9127-71C78F980EFC}"/>
    <cellStyle name="20% - Accent6 2 4 4" xfId="9173" xr:uid="{294ACE31-D3BF-469E-9E0D-2BD08AB2CF27}"/>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1D054D5E-FDFA-46E6-B56C-81EF0728AD8D}"/>
    <cellStyle name="20% - Accent6 2 5 2 3" xfId="11731" xr:uid="{2BA71E58-19BB-4D10-9828-34DD3CDA22E1}"/>
    <cellStyle name="20% - Accent6 2 5 3" xfId="5375" xr:uid="{00000000-0005-0000-0000-000066030000}"/>
    <cellStyle name="20% - Accent6 2 5 3 2" xfId="13804" xr:uid="{11340B35-D43C-4162-B216-953D2495BA99}"/>
    <cellStyle name="20% - Accent6 2 5 4" xfId="9586" xr:uid="{4706E654-3063-438E-9235-3BF5DB1989FC}"/>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F782E528-136C-4892-A0C1-C8174C30C3C8}"/>
    <cellStyle name="20% - Accent6 2 6 2 3" xfId="12144" xr:uid="{D750FCD9-5691-47E6-B9EB-C69D4043D3B2}"/>
    <cellStyle name="20% - Accent6 2 6 3" xfId="5788" xr:uid="{00000000-0005-0000-0000-00006A030000}"/>
    <cellStyle name="20% - Accent6 2 6 3 2" xfId="14217" xr:uid="{4A055308-96AB-4C22-AD4E-17C7898F07A9}"/>
    <cellStyle name="20% - Accent6 2 6 4" xfId="9999" xr:uid="{ED99D17A-8A8A-47AA-A451-1E4447F64545}"/>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25038D00-75A7-4658-8A13-0E23AE899416}"/>
    <cellStyle name="20% - Accent6 2 7 2 3" xfId="12557" xr:uid="{FCE2258B-5A3C-43D6-970F-E44B934B00C3}"/>
    <cellStyle name="20% - Accent6 2 7 3" xfId="6201" xr:uid="{00000000-0005-0000-0000-00006E030000}"/>
    <cellStyle name="20% - Accent6 2 7 3 2" xfId="14630" xr:uid="{32FEC602-3329-4924-9472-1D651E9C4C6A}"/>
    <cellStyle name="20% - Accent6 2 7 4" xfId="10412" xr:uid="{5AF8E32D-C9C8-4586-BD1E-DB3197AA42DD}"/>
    <cellStyle name="20% - Accent6 2 8" xfId="2306" xr:uid="{00000000-0005-0000-0000-00006F030000}"/>
    <cellStyle name="20% - Accent6 2 8 2" xfId="6614" xr:uid="{00000000-0005-0000-0000-000070030000}"/>
    <cellStyle name="20% - Accent6 2 8 2 2" xfId="15043" xr:uid="{71F24C43-38F0-400D-BC76-37556CB44B5E}"/>
    <cellStyle name="20% - Accent6 2 8 3" xfId="10825" xr:uid="{8A4CDDC7-BD33-492D-A458-FBE2E5B9FFAA}"/>
    <cellStyle name="20% - Accent6 2 9" xfId="4548" xr:uid="{00000000-0005-0000-0000-000071030000}"/>
    <cellStyle name="20% - Accent6 2 9 2" xfId="12977" xr:uid="{45A3B252-53C6-4A5D-A8F1-D72622CFA3FC}"/>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CA67DF73-9494-4729-ABCB-0A3A785FCBC4}"/>
    <cellStyle name="20% - Accent6 3 2 2 2 3" xfId="11323" xr:uid="{44D823AD-290F-4384-BB5C-E9D47EE311D3}"/>
    <cellStyle name="20% - Accent6 3 2 2 3" xfId="4967" xr:uid="{00000000-0005-0000-0000-000077030000}"/>
    <cellStyle name="20% - Accent6 3 2 2 3 2" xfId="13396" xr:uid="{F8A82862-6138-4611-B9B1-B4B3A5249040}"/>
    <cellStyle name="20% - Accent6 3 2 2 4" xfId="9178" xr:uid="{6D9A98CF-02CC-41DB-B39A-E095BC9204AC}"/>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438F7DC3-FE73-49FD-8EA2-57B9B4E552BE}"/>
    <cellStyle name="20% - Accent6 3 2 3 2 3" xfId="11736" xr:uid="{6069CA33-383C-4D12-B45D-5B2BE3A88185}"/>
    <cellStyle name="20% - Accent6 3 2 3 3" xfId="5380" xr:uid="{00000000-0005-0000-0000-00007B030000}"/>
    <cellStyle name="20% - Accent6 3 2 3 3 2" xfId="13809" xr:uid="{58578AD5-1BEE-402C-91CF-0437B04E0A71}"/>
    <cellStyle name="20% - Accent6 3 2 3 4" xfId="9591" xr:uid="{C6F16C60-D385-4CC2-B86A-F4B7EDFCC6FE}"/>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B4E837B2-8973-4644-A58B-6FA11586EA07}"/>
    <cellStyle name="20% - Accent6 3 2 4 2 3" xfId="12149" xr:uid="{A3DAD71D-0C41-4F85-9659-DC37AB1821C8}"/>
    <cellStyle name="20% - Accent6 3 2 4 3" xfId="5793" xr:uid="{00000000-0005-0000-0000-00007F030000}"/>
    <cellStyle name="20% - Accent6 3 2 4 3 2" xfId="14222" xr:uid="{2DCE551F-3188-4F4C-9F3A-EDA493AD0183}"/>
    <cellStyle name="20% - Accent6 3 2 4 4" xfId="10004" xr:uid="{D5773733-C3D6-43FD-9A1D-94EE8FBD6BDE}"/>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BC9A72B3-14A4-4AA6-826B-935A5F2EABA0}"/>
    <cellStyle name="20% - Accent6 3 2 5 2 3" xfId="12562" xr:uid="{1441FEF4-454D-4FCC-A992-2C4F5A7A8837}"/>
    <cellStyle name="20% - Accent6 3 2 5 3" xfId="6206" xr:uid="{00000000-0005-0000-0000-000083030000}"/>
    <cellStyle name="20% - Accent6 3 2 5 3 2" xfId="14635" xr:uid="{807CDF16-C857-4788-8945-767D964B30E0}"/>
    <cellStyle name="20% - Accent6 3 2 5 4" xfId="10417" xr:uid="{8180FA13-35AA-4769-87F8-573F3AC2AC21}"/>
    <cellStyle name="20% - Accent6 3 2 6" xfId="2311" xr:uid="{00000000-0005-0000-0000-000084030000}"/>
    <cellStyle name="20% - Accent6 3 2 6 2" xfId="6619" xr:uid="{00000000-0005-0000-0000-000085030000}"/>
    <cellStyle name="20% - Accent6 3 2 6 2 2" xfId="15048" xr:uid="{AE5BABEA-9550-496D-A1EF-E1D4A39C3E06}"/>
    <cellStyle name="20% - Accent6 3 2 6 3" xfId="10830" xr:uid="{D3281186-94F2-4FAC-A8E1-2C0CB8E538D2}"/>
    <cellStyle name="20% - Accent6 3 2 7" xfId="4553" xr:uid="{00000000-0005-0000-0000-000086030000}"/>
    <cellStyle name="20% - Accent6 3 2 7 2" xfId="12982" xr:uid="{AAF89362-0B13-4C43-926B-62EDE354FE70}"/>
    <cellStyle name="20% - Accent6 3 2 8" xfId="8764" xr:uid="{5175C390-50D2-402D-B4F0-7E5A46D9AE45}"/>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77827772-3B51-4C08-8A1A-7DBD4D53D14E}"/>
    <cellStyle name="20% - Accent6 3 3 2 3" xfId="11322" xr:uid="{F42B3656-98AA-4505-ABF5-0B074C17F04B}"/>
    <cellStyle name="20% - Accent6 3 3 3" xfId="4966" xr:uid="{00000000-0005-0000-0000-00008A030000}"/>
    <cellStyle name="20% - Accent6 3 3 3 2" xfId="13395" xr:uid="{F1E05560-8191-462E-ADD0-85B5A891F399}"/>
    <cellStyle name="20% - Accent6 3 3 4" xfId="9177" xr:uid="{5BFAB31E-8039-4EE5-B768-49DD70FFF739}"/>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7CCFB4D1-7F10-452D-A29A-21949D597DEF}"/>
    <cellStyle name="20% - Accent6 3 4 2 3" xfId="11735" xr:uid="{C65F91EB-287B-47BA-B6D8-A8A2B2F9FFD2}"/>
    <cellStyle name="20% - Accent6 3 4 3" xfId="5379" xr:uid="{00000000-0005-0000-0000-00008E030000}"/>
    <cellStyle name="20% - Accent6 3 4 3 2" xfId="13808" xr:uid="{8AE19E4D-C177-4671-B754-BD15CEA00629}"/>
    <cellStyle name="20% - Accent6 3 4 4" xfId="9590" xr:uid="{C4D9E494-6F19-49EB-AB03-7FBB86BB99DE}"/>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208D5CC3-3533-4C6B-9A41-A61485CFCB7A}"/>
    <cellStyle name="20% - Accent6 3 5 2 3" xfId="12148" xr:uid="{D8C1AA53-84F9-4C8B-A9E1-F623BFD7278A}"/>
    <cellStyle name="20% - Accent6 3 5 3" xfId="5792" xr:uid="{00000000-0005-0000-0000-000092030000}"/>
    <cellStyle name="20% - Accent6 3 5 3 2" xfId="14221" xr:uid="{467835D8-25B1-4D4C-BF3B-00AB7D22D7EF}"/>
    <cellStyle name="20% - Accent6 3 5 4" xfId="10003" xr:uid="{CC1A75CB-9E69-4B72-B671-CC297F57D5DE}"/>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4EE69A69-39E3-42DA-A802-0CED6CB0B106}"/>
    <cellStyle name="20% - Accent6 3 6 2 3" xfId="12561" xr:uid="{558234CC-FC58-4535-8C31-78B68E924625}"/>
    <cellStyle name="20% - Accent6 3 6 3" xfId="6205" xr:uid="{00000000-0005-0000-0000-000096030000}"/>
    <cellStyle name="20% - Accent6 3 6 3 2" xfId="14634" xr:uid="{4CA77A08-5FBB-481B-B783-12E69E9BEA1A}"/>
    <cellStyle name="20% - Accent6 3 6 4" xfId="10416" xr:uid="{B2BB8FE2-6B8B-4AB9-91BF-0487C449CD8E}"/>
    <cellStyle name="20% - Accent6 3 7" xfId="2310" xr:uid="{00000000-0005-0000-0000-000097030000}"/>
    <cellStyle name="20% - Accent6 3 7 2" xfId="6618" xr:uid="{00000000-0005-0000-0000-000098030000}"/>
    <cellStyle name="20% - Accent6 3 7 2 2" xfId="15047" xr:uid="{8F6B1A8B-1412-4C7C-AAD6-00DE4C904971}"/>
    <cellStyle name="20% - Accent6 3 7 3" xfId="10829" xr:uid="{6C14FF62-00DE-4D0A-B13F-9B4C335D5B2A}"/>
    <cellStyle name="20% - Accent6 3 8" xfId="4552" xr:uid="{00000000-0005-0000-0000-000099030000}"/>
    <cellStyle name="20% - Accent6 3 8 2" xfId="12981" xr:uid="{B7803C62-1BAC-4A2B-A4DF-7285FFD8FF93}"/>
    <cellStyle name="20% - Accent6 3 9" xfId="8763" xr:uid="{AD56232E-9F03-41E6-A211-D296A997E0FF}"/>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B963F509-5BBA-432E-A32A-77A52919D593}"/>
    <cellStyle name="20% - Accent6 4 2 2 3" xfId="11324" xr:uid="{E8394A2D-F2C1-49AB-B7BB-44105A67BBCB}"/>
    <cellStyle name="20% - Accent6 4 2 3" xfId="4968" xr:uid="{00000000-0005-0000-0000-00009E030000}"/>
    <cellStyle name="20% - Accent6 4 2 3 2" xfId="13397" xr:uid="{9FD28490-1B6D-4369-8240-B42BC5386D57}"/>
    <cellStyle name="20% - Accent6 4 2 4" xfId="9179" xr:uid="{739F2408-6BFE-4B67-8C22-B15877E7EBA2}"/>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E13DE935-BAB2-4072-B32A-86EC7484D755}"/>
    <cellStyle name="20% - Accent6 4 3 2 3" xfId="11737" xr:uid="{B320438F-8E32-4514-986E-62FEDFCFC83C}"/>
    <cellStyle name="20% - Accent6 4 3 3" xfId="5381" xr:uid="{00000000-0005-0000-0000-0000A2030000}"/>
    <cellStyle name="20% - Accent6 4 3 3 2" xfId="13810" xr:uid="{80F0587B-DE7A-4CF7-8B35-71E913C76D2A}"/>
    <cellStyle name="20% - Accent6 4 3 4" xfId="9592" xr:uid="{4DBC79BC-EDD1-4452-B5EC-8139C1358D23}"/>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5C0C3824-6733-45F9-B257-C801010C8BC6}"/>
    <cellStyle name="20% - Accent6 4 4 2 3" xfId="12150" xr:uid="{06A426DF-7144-44BE-A153-95124EA0451F}"/>
    <cellStyle name="20% - Accent6 4 4 3" xfId="5794" xr:uid="{00000000-0005-0000-0000-0000A6030000}"/>
    <cellStyle name="20% - Accent6 4 4 3 2" xfId="14223" xr:uid="{85DAE026-5EE1-4C85-9672-B46E364E9C9B}"/>
    <cellStyle name="20% - Accent6 4 4 4" xfId="10005" xr:uid="{C6A2179E-CF17-4CB4-AA1F-5AF0E7D7E26D}"/>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5297ECCB-9A09-4F69-BDF6-374ADFDC0466}"/>
    <cellStyle name="20% - Accent6 4 5 2 3" xfId="12563" xr:uid="{139B0F60-0EB6-4DD5-926A-983B19900DF7}"/>
    <cellStyle name="20% - Accent6 4 5 3" xfId="6207" xr:uid="{00000000-0005-0000-0000-0000AA030000}"/>
    <cellStyle name="20% - Accent6 4 5 3 2" xfId="14636" xr:uid="{89508375-7CCC-4DCD-9FE4-172DFCFE9731}"/>
    <cellStyle name="20% - Accent6 4 5 4" xfId="10418" xr:uid="{160FB958-1E0F-41C2-8732-7CD0C5457B93}"/>
    <cellStyle name="20% - Accent6 4 6" xfId="2312" xr:uid="{00000000-0005-0000-0000-0000AB030000}"/>
    <cellStyle name="20% - Accent6 4 6 2" xfId="6620" xr:uid="{00000000-0005-0000-0000-0000AC030000}"/>
    <cellStyle name="20% - Accent6 4 6 2 2" xfId="15049" xr:uid="{E8983A50-064D-40DD-A521-9DF939981AB4}"/>
    <cellStyle name="20% - Accent6 4 6 3" xfId="10831" xr:uid="{020A8B71-35F3-4872-9294-E6776667EF7E}"/>
    <cellStyle name="20% - Accent6 4 7" xfId="4554" xr:uid="{00000000-0005-0000-0000-0000AD030000}"/>
    <cellStyle name="20% - Accent6 4 7 2" xfId="12983" xr:uid="{69E0D3E4-E022-4851-B3D9-C0DA7D0FA68C}"/>
    <cellStyle name="20% - Accent6 4 8" xfId="8765" xr:uid="{0842EBFC-5CFD-4756-AA63-BBBDC2C789DD}"/>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EA79BDD4-9D4D-4BC1-A20B-BBA54D231F0B}"/>
    <cellStyle name="20% - Accent6 5 2 3" xfId="11317" xr:uid="{F1A38E0E-FD04-41D5-8EF8-64E97DD13728}"/>
    <cellStyle name="20% - Accent6 5 3" xfId="4961" xr:uid="{00000000-0005-0000-0000-0000B1030000}"/>
    <cellStyle name="20% - Accent6 5 3 2" xfId="13390" xr:uid="{7BBDB26C-598B-4C3B-A921-4A11B9A8CA71}"/>
    <cellStyle name="20% - Accent6 5 4" xfId="9172" xr:uid="{CE99FFF0-D921-4057-BCB5-C4F096F867B1}"/>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A6369D4D-5355-4247-9B37-265F2DE6E46A}"/>
    <cellStyle name="20% - Accent6 6 2 3" xfId="11730" xr:uid="{F3EBF86F-1B40-44B1-B97F-3EBE41E4994B}"/>
    <cellStyle name="20% - Accent6 6 3" xfId="5374" xr:uid="{00000000-0005-0000-0000-0000B5030000}"/>
    <cellStyle name="20% - Accent6 6 3 2" xfId="13803" xr:uid="{579F0CE9-7166-4617-AC0D-1D736B5A088C}"/>
    <cellStyle name="20% - Accent6 6 4" xfId="9585" xr:uid="{20AC36F3-1BEE-4D4C-8E8B-401077D29B84}"/>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EA4DDC72-BD4A-4E4E-8722-8C392CFB6AEB}"/>
    <cellStyle name="20% - Accent6 7 2 3" xfId="12143" xr:uid="{ABADD8F3-BC94-4BD7-8523-36BFDE87AEC2}"/>
    <cellStyle name="20% - Accent6 7 3" xfId="5787" xr:uid="{00000000-0005-0000-0000-0000B9030000}"/>
    <cellStyle name="20% - Accent6 7 3 2" xfId="14216" xr:uid="{1F414A7A-430D-43C0-96BA-6F92A4C6CBDF}"/>
    <cellStyle name="20% - Accent6 7 4" xfId="9998" xr:uid="{27C30EE9-6209-4A6C-9AAF-8A51E9C94CE8}"/>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07DC4E08-93A6-496B-8F00-7933CE547C94}"/>
    <cellStyle name="20% - Accent6 8 2 3" xfId="12556" xr:uid="{9F04A273-A7B9-4881-9090-836E95D4B6D0}"/>
    <cellStyle name="20% - Accent6 8 3" xfId="6200" xr:uid="{00000000-0005-0000-0000-0000BD030000}"/>
    <cellStyle name="20% - Accent6 8 3 2" xfId="14629" xr:uid="{1763B56D-FA14-4E3D-95D2-146ECFF09278}"/>
    <cellStyle name="20% - Accent6 8 4" xfId="10411" xr:uid="{3EDC78B1-0625-4CA3-9A73-A25CE6499786}"/>
    <cellStyle name="20% - Accent6 9" xfId="2305" xr:uid="{00000000-0005-0000-0000-0000BE030000}"/>
    <cellStyle name="20% - Accent6 9 2" xfId="6613" xr:uid="{00000000-0005-0000-0000-0000BF030000}"/>
    <cellStyle name="20% - Accent6 9 2 2" xfId="15042" xr:uid="{CE358988-9EE0-47B5-9938-70E46C493272}"/>
    <cellStyle name="20% - Accent6 9 3" xfId="10824" xr:uid="{2955B749-7320-418B-A7BC-F0B82D8D7210}"/>
    <cellStyle name="40% - Accent1" xfId="49" builtinId="31" customBuiltin="1"/>
    <cellStyle name="40% - Accent1 10" xfId="4555" xr:uid="{00000000-0005-0000-0000-0000C1030000}"/>
    <cellStyle name="40% - Accent1 10 2" xfId="12984" xr:uid="{7570C1CF-BF90-49D0-83E2-2F3D845EB987}"/>
    <cellStyle name="40% - Accent1 11" xfId="8766" xr:uid="{8732440A-8828-421A-91B7-32D7C0BFFED7}"/>
    <cellStyle name="40% - Accent1 2" xfId="50" xr:uid="{00000000-0005-0000-0000-0000C2030000}"/>
    <cellStyle name="40% - Accent1 2 10" xfId="8767" xr:uid="{1AA3675B-8C01-405A-96D7-43D947ADD6E9}"/>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7678E448-BDE7-4FA2-A0BB-E25FC6604804}"/>
    <cellStyle name="40% - Accent1 2 2 2 2 2 3" xfId="11328" xr:uid="{17E10DF1-DAD3-462B-AE3B-FECFB44252A9}"/>
    <cellStyle name="40% - Accent1 2 2 2 2 3" xfId="4972" xr:uid="{00000000-0005-0000-0000-0000C8030000}"/>
    <cellStyle name="40% - Accent1 2 2 2 2 3 2" xfId="13401" xr:uid="{C418EF1F-9784-4252-B7C3-14D221E0EFA1}"/>
    <cellStyle name="40% - Accent1 2 2 2 2 4" xfId="9183" xr:uid="{B7B18C4A-DD65-40DF-B06A-2C618C37C922}"/>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268DB58A-F032-4C63-976C-2D98AED05D16}"/>
    <cellStyle name="40% - Accent1 2 2 2 3 2 3" xfId="11741" xr:uid="{69346DD5-1EBB-4961-97B8-BC6DF6CB03A3}"/>
    <cellStyle name="40% - Accent1 2 2 2 3 3" xfId="5385" xr:uid="{00000000-0005-0000-0000-0000CC030000}"/>
    <cellStyle name="40% - Accent1 2 2 2 3 3 2" xfId="13814" xr:uid="{CA94FB1D-0ED1-45CC-9C87-FF9245F1F202}"/>
    <cellStyle name="40% - Accent1 2 2 2 3 4" xfId="9596" xr:uid="{C20E3A8B-A6AC-498F-A245-CAD724858F5D}"/>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B656AD70-973F-4C9E-AB81-0E50833A82FF}"/>
    <cellStyle name="40% - Accent1 2 2 2 4 2 3" xfId="12154" xr:uid="{3B1915FA-8A25-4CBF-9A1F-8C811F4CF13E}"/>
    <cellStyle name="40% - Accent1 2 2 2 4 3" xfId="5798" xr:uid="{00000000-0005-0000-0000-0000D0030000}"/>
    <cellStyle name="40% - Accent1 2 2 2 4 3 2" xfId="14227" xr:uid="{0014E8CD-9A64-4EB3-8434-B16C8F0ACBA0}"/>
    <cellStyle name="40% - Accent1 2 2 2 4 4" xfId="10009" xr:uid="{782D1AAF-2777-405C-9147-1D9DB4508FC9}"/>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438F0E7B-E480-4607-AD61-6BD46AB2ADF5}"/>
    <cellStyle name="40% - Accent1 2 2 2 5 2 3" xfId="12567" xr:uid="{64267E8D-469B-4320-933F-1136A773B32B}"/>
    <cellStyle name="40% - Accent1 2 2 2 5 3" xfId="6211" xr:uid="{00000000-0005-0000-0000-0000D4030000}"/>
    <cellStyle name="40% - Accent1 2 2 2 5 3 2" xfId="14640" xr:uid="{2018DC88-DED2-41C3-93DC-4947B7314E71}"/>
    <cellStyle name="40% - Accent1 2 2 2 5 4" xfId="10422" xr:uid="{A4445794-E037-4750-98FB-AB5DC5D209EA}"/>
    <cellStyle name="40% - Accent1 2 2 2 6" xfId="2316" xr:uid="{00000000-0005-0000-0000-0000D5030000}"/>
    <cellStyle name="40% - Accent1 2 2 2 6 2" xfId="6624" xr:uid="{00000000-0005-0000-0000-0000D6030000}"/>
    <cellStyle name="40% - Accent1 2 2 2 6 2 2" xfId="15053" xr:uid="{5807B6A6-9174-4AD8-A9C2-D95E64429323}"/>
    <cellStyle name="40% - Accent1 2 2 2 6 3" xfId="10835" xr:uid="{5F2A465E-9CC5-4B36-8658-5CBCCCBEAFC7}"/>
    <cellStyle name="40% - Accent1 2 2 2 7" xfId="4558" xr:uid="{00000000-0005-0000-0000-0000D7030000}"/>
    <cellStyle name="40% - Accent1 2 2 2 7 2" xfId="12987" xr:uid="{62B3C3A4-C8EB-43B3-BB47-EC34C7B67CEA}"/>
    <cellStyle name="40% - Accent1 2 2 2 8" xfId="8769" xr:uid="{61A13E3A-3B80-4906-8151-AA8AC6F07766}"/>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1D4B4318-9476-4BA9-AE23-DA76F28CF58E}"/>
    <cellStyle name="40% - Accent1 2 2 3 2 3" xfId="11327" xr:uid="{13427F0A-499E-4114-AD93-4D3096887BFA}"/>
    <cellStyle name="40% - Accent1 2 2 3 3" xfId="4971" xr:uid="{00000000-0005-0000-0000-0000DB030000}"/>
    <cellStyle name="40% - Accent1 2 2 3 3 2" xfId="13400" xr:uid="{8E0153F0-BBEF-4E6C-844C-A5CC2B0D8341}"/>
    <cellStyle name="40% - Accent1 2 2 3 4" xfId="9182" xr:uid="{E3EA22D1-347B-4A7F-928B-A90A9A1F55F1}"/>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24E2FA45-A0E4-4AA2-8E28-05402E93CE4F}"/>
    <cellStyle name="40% - Accent1 2 2 4 2 3" xfId="11740" xr:uid="{34ACBCC3-F946-4A4D-8205-DB64DD997DD5}"/>
    <cellStyle name="40% - Accent1 2 2 4 3" xfId="5384" xr:uid="{00000000-0005-0000-0000-0000DF030000}"/>
    <cellStyle name="40% - Accent1 2 2 4 3 2" xfId="13813" xr:uid="{02973125-89BE-4621-A306-0CD413801183}"/>
    <cellStyle name="40% - Accent1 2 2 4 4" xfId="9595" xr:uid="{A90F7440-B5BC-4379-A1C7-ED9C67F0FF30}"/>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9811448F-5FC6-45CB-B9DC-01BF66C37002}"/>
    <cellStyle name="40% - Accent1 2 2 5 2 3" xfId="12153" xr:uid="{8A91EA03-DBB3-4C8F-87E1-F517ABD4E1F7}"/>
    <cellStyle name="40% - Accent1 2 2 5 3" xfId="5797" xr:uid="{00000000-0005-0000-0000-0000E3030000}"/>
    <cellStyle name="40% - Accent1 2 2 5 3 2" xfId="14226" xr:uid="{E36F9E11-AF98-4129-9E87-239C7D538C4E}"/>
    <cellStyle name="40% - Accent1 2 2 5 4" xfId="10008" xr:uid="{0611298D-3498-4FCB-99E7-9B5BB4D2FA4F}"/>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E159169A-0A1C-49E8-A42A-EDA2E472183C}"/>
    <cellStyle name="40% - Accent1 2 2 6 2 3" xfId="12566" xr:uid="{5092B675-9932-403B-9B9B-935BDAEBC9D3}"/>
    <cellStyle name="40% - Accent1 2 2 6 3" xfId="6210" xr:uid="{00000000-0005-0000-0000-0000E7030000}"/>
    <cellStyle name="40% - Accent1 2 2 6 3 2" xfId="14639" xr:uid="{29156818-7837-41C5-B602-B2E278AAE762}"/>
    <cellStyle name="40% - Accent1 2 2 6 4" xfId="10421" xr:uid="{B94C9B1D-3CBB-4B32-9116-CEB37CB2366A}"/>
    <cellStyle name="40% - Accent1 2 2 7" xfId="2315" xr:uid="{00000000-0005-0000-0000-0000E8030000}"/>
    <cellStyle name="40% - Accent1 2 2 7 2" xfId="6623" xr:uid="{00000000-0005-0000-0000-0000E9030000}"/>
    <cellStyle name="40% - Accent1 2 2 7 2 2" xfId="15052" xr:uid="{C5044EC4-3443-448E-8C1B-ECA85F73F9D7}"/>
    <cellStyle name="40% - Accent1 2 2 7 3" xfId="10834" xr:uid="{C1D2BE19-0BF6-460B-83E1-5DCB68E99FFC}"/>
    <cellStyle name="40% - Accent1 2 2 8" xfId="4557" xr:uid="{00000000-0005-0000-0000-0000EA030000}"/>
    <cellStyle name="40% - Accent1 2 2 8 2" xfId="12986" xr:uid="{F9CC20B4-B769-4E17-B05A-94467914FDB8}"/>
    <cellStyle name="40% - Accent1 2 2 9" xfId="8768" xr:uid="{60E1DA40-4D1E-4617-A10D-AE64A17A267B}"/>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2A447052-F93C-420F-AC26-96E6D5E2089D}"/>
    <cellStyle name="40% - Accent1 2 3 2 2 3" xfId="11329" xr:uid="{E3CB0F8B-C194-4DBC-B10F-D4ADDF9CA712}"/>
    <cellStyle name="40% - Accent1 2 3 2 3" xfId="4973" xr:uid="{00000000-0005-0000-0000-0000EF030000}"/>
    <cellStyle name="40% - Accent1 2 3 2 3 2" xfId="13402" xr:uid="{9D031437-2970-445E-A99D-D08931FBEF56}"/>
    <cellStyle name="40% - Accent1 2 3 2 4" xfId="9184" xr:uid="{FDD963B4-3EBC-4A39-9021-EB4388013743}"/>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FF79BE98-EA4E-4E90-A7B0-116D0E16AD23}"/>
    <cellStyle name="40% - Accent1 2 3 3 2 3" xfId="11742" xr:uid="{1707B690-D5ED-4518-9006-E97E27F77735}"/>
    <cellStyle name="40% - Accent1 2 3 3 3" xfId="5386" xr:uid="{00000000-0005-0000-0000-0000F3030000}"/>
    <cellStyle name="40% - Accent1 2 3 3 3 2" xfId="13815" xr:uid="{1F8D563B-E9A3-4939-B4CD-3F3B7745391D}"/>
    <cellStyle name="40% - Accent1 2 3 3 4" xfId="9597" xr:uid="{BE8DBEE5-8D9F-4060-B18B-C04A60163738}"/>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554F12E4-3C19-4D32-8E70-B33A761F040C}"/>
    <cellStyle name="40% - Accent1 2 3 4 2 3" xfId="12155" xr:uid="{28A2625F-35BC-420A-A60C-239216254E8B}"/>
    <cellStyle name="40% - Accent1 2 3 4 3" xfId="5799" xr:uid="{00000000-0005-0000-0000-0000F7030000}"/>
    <cellStyle name="40% - Accent1 2 3 4 3 2" xfId="14228" xr:uid="{DF6B4785-8ACB-4CA3-96FD-B2FFA97FB580}"/>
    <cellStyle name="40% - Accent1 2 3 4 4" xfId="10010" xr:uid="{34C0737F-DFDE-4D87-8D1C-61B5FEC75A2B}"/>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201A83A9-F7E8-4DE3-8E7C-EB301566CDE4}"/>
    <cellStyle name="40% - Accent1 2 3 5 2 3" xfId="12568" xr:uid="{F7AFD4C9-76F5-4512-9AA9-BE6B803080F6}"/>
    <cellStyle name="40% - Accent1 2 3 5 3" xfId="6212" xr:uid="{00000000-0005-0000-0000-0000FB030000}"/>
    <cellStyle name="40% - Accent1 2 3 5 3 2" xfId="14641" xr:uid="{1C2C7959-F826-42BC-9961-B990451CA024}"/>
    <cellStyle name="40% - Accent1 2 3 5 4" xfId="10423" xr:uid="{136037A3-3946-4614-ADA4-ADF4A8174925}"/>
    <cellStyle name="40% - Accent1 2 3 6" xfId="2317" xr:uid="{00000000-0005-0000-0000-0000FC030000}"/>
    <cellStyle name="40% - Accent1 2 3 6 2" xfId="6625" xr:uid="{00000000-0005-0000-0000-0000FD030000}"/>
    <cellStyle name="40% - Accent1 2 3 6 2 2" xfId="15054" xr:uid="{B21D399A-35D1-484E-B5E9-500BFA4EA2D6}"/>
    <cellStyle name="40% - Accent1 2 3 6 3" xfId="10836" xr:uid="{E2F1103D-73FB-4C97-997C-0A5C39ECF536}"/>
    <cellStyle name="40% - Accent1 2 3 7" xfId="4559" xr:uid="{00000000-0005-0000-0000-0000FE030000}"/>
    <cellStyle name="40% - Accent1 2 3 7 2" xfId="12988" xr:uid="{47AD634B-8CBA-40B2-90C3-22E857CBBBA1}"/>
    <cellStyle name="40% - Accent1 2 3 8" xfId="8770" xr:uid="{3EC54E91-631C-44D9-BBE9-7A1B3174D44F}"/>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4836D451-231E-4369-90FA-B4951675B33F}"/>
    <cellStyle name="40% - Accent1 2 4 2 3" xfId="11326" xr:uid="{377E2887-796C-4B82-B5EE-1245FA0128AE}"/>
    <cellStyle name="40% - Accent1 2 4 3" xfId="4970" xr:uid="{00000000-0005-0000-0000-000002040000}"/>
    <cellStyle name="40% - Accent1 2 4 3 2" xfId="13399" xr:uid="{1484AD21-E7DD-4F28-A0BD-F3E50AE5D94A}"/>
    <cellStyle name="40% - Accent1 2 4 4" xfId="9181" xr:uid="{DA268224-7ACF-4071-A954-0329B8AC8CA8}"/>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05A6D0FA-D974-4037-B086-AA634A62673D}"/>
    <cellStyle name="40% - Accent1 2 5 2 3" xfId="11739" xr:uid="{035C5C93-5D4A-441A-8229-0BD343B7C7EE}"/>
    <cellStyle name="40% - Accent1 2 5 3" xfId="5383" xr:uid="{00000000-0005-0000-0000-000006040000}"/>
    <cellStyle name="40% - Accent1 2 5 3 2" xfId="13812" xr:uid="{BFC78C2C-BA42-4F9D-ABDC-52B7955A0360}"/>
    <cellStyle name="40% - Accent1 2 5 4" xfId="9594" xr:uid="{7CBFC7A2-14D3-479A-8B4F-44BA1AB754FA}"/>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1F2A5ABC-5E74-4671-B388-BEC5DBED8FB2}"/>
    <cellStyle name="40% - Accent1 2 6 2 3" xfId="12152" xr:uid="{1AD13CFA-42CE-4E18-A3BF-8765BAEDCC6F}"/>
    <cellStyle name="40% - Accent1 2 6 3" xfId="5796" xr:uid="{00000000-0005-0000-0000-00000A040000}"/>
    <cellStyle name="40% - Accent1 2 6 3 2" xfId="14225" xr:uid="{8204BBB4-877F-4A30-90A5-8ECD9D9E5A48}"/>
    <cellStyle name="40% - Accent1 2 6 4" xfId="10007" xr:uid="{630FA5F3-B8DD-4EAA-8B26-68AE255A1325}"/>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6F133F6C-F8C7-4AEB-8C4A-EBBECE84D898}"/>
    <cellStyle name="40% - Accent1 2 7 2 3" xfId="12565" xr:uid="{E8A17C98-862D-40CB-BD50-53B26613AF1F}"/>
    <cellStyle name="40% - Accent1 2 7 3" xfId="6209" xr:uid="{00000000-0005-0000-0000-00000E040000}"/>
    <cellStyle name="40% - Accent1 2 7 3 2" xfId="14638" xr:uid="{2BAEFD84-A6EF-4F23-8DF2-9626F03FFFE2}"/>
    <cellStyle name="40% - Accent1 2 7 4" xfId="10420" xr:uid="{DF06C2B9-FAB6-4A12-9183-6D7B71D5F514}"/>
    <cellStyle name="40% - Accent1 2 8" xfId="2314" xr:uid="{00000000-0005-0000-0000-00000F040000}"/>
    <cellStyle name="40% - Accent1 2 8 2" xfId="6622" xr:uid="{00000000-0005-0000-0000-000010040000}"/>
    <cellStyle name="40% - Accent1 2 8 2 2" xfId="15051" xr:uid="{86E49F19-1D9D-4577-9A93-97A6110F5430}"/>
    <cellStyle name="40% - Accent1 2 8 3" xfId="10833" xr:uid="{29FA6787-2492-4689-8F33-600A68935B0E}"/>
    <cellStyle name="40% - Accent1 2 9" xfId="4556" xr:uid="{00000000-0005-0000-0000-000011040000}"/>
    <cellStyle name="40% - Accent1 2 9 2" xfId="12985" xr:uid="{CDFE5FD2-51CD-4AB6-8596-BA4CBABB091F}"/>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EF009A17-9430-4651-A7D3-99DA0B5F6252}"/>
    <cellStyle name="40% - Accent1 3 2 2 2 3" xfId="11331" xr:uid="{7C3325AF-4BDA-4FF0-80A6-07BACC867665}"/>
    <cellStyle name="40% - Accent1 3 2 2 3" xfId="4975" xr:uid="{00000000-0005-0000-0000-000017040000}"/>
    <cellStyle name="40% - Accent1 3 2 2 3 2" xfId="13404" xr:uid="{2FA48343-F14D-41C5-A598-BAFF6BFE73D1}"/>
    <cellStyle name="40% - Accent1 3 2 2 4" xfId="9186" xr:uid="{BCDDF2B9-06C2-45F5-B068-6E5257C4C7BF}"/>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35B75496-2E4A-4F9C-BC93-426333A1758C}"/>
    <cellStyle name="40% - Accent1 3 2 3 2 3" xfId="11744" xr:uid="{7ADDFB2D-4A05-4FAA-A46E-C413E063B876}"/>
    <cellStyle name="40% - Accent1 3 2 3 3" xfId="5388" xr:uid="{00000000-0005-0000-0000-00001B040000}"/>
    <cellStyle name="40% - Accent1 3 2 3 3 2" xfId="13817" xr:uid="{0DB064AE-B7D5-452F-A84C-4444E5269E52}"/>
    <cellStyle name="40% - Accent1 3 2 3 4" xfId="9599" xr:uid="{3D50D66E-4E38-4C9A-83D0-C70E49551337}"/>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AB629F2C-87AB-46E3-8AAF-FA3AAFBA07DB}"/>
    <cellStyle name="40% - Accent1 3 2 4 2 3" xfId="12157" xr:uid="{4864FBE2-34D8-4F7F-94F0-83FB4A8DF522}"/>
    <cellStyle name="40% - Accent1 3 2 4 3" xfId="5801" xr:uid="{00000000-0005-0000-0000-00001F040000}"/>
    <cellStyle name="40% - Accent1 3 2 4 3 2" xfId="14230" xr:uid="{4B3DAF76-A23E-4F2F-B184-E1F12AA6D7DC}"/>
    <cellStyle name="40% - Accent1 3 2 4 4" xfId="10012" xr:uid="{C860C4DB-6239-480C-8303-17EFC7886E66}"/>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A9411ED9-F4CF-44C8-98BA-50E5BDE8C8C2}"/>
    <cellStyle name="40% - Accent1 3 2 5 2 3" xfId="12570" xr:uid="{7F7BC3F9-BE38-4242-BF35-A3E0E43168E9}"/>
    <cellStyle name="40% - Accent1 3 2 5 3" xfId="6214" xr:uid="{00000000-0005-0000-0000-000023040000}"/>
    <cellStyle name="40% - Accent1 3 2 5 3 2" xfId="14643" xr:uid="{885BFBE9-BBCB-4CF9-9DE3-1409A0C9A8F7}"/>
    <cellStyle name="40% - Accent1 3 2 5 4" xfId="10425" xr:uid="{0C4E9D52-8AC6-4120-94EF-E3129A60A408}"/>
    <cellStyle name="40% - Accent1 3 2 6" xfId="2319" xr:uid="{00000000-0005-0000-0000-000024040000}"/>
    <cellStyle name="40% - Accent1 3 2 6 2" xfId="6627" xr:uid="{00000000-0005-0000-0000-000025040000}"/>
    <cellStyle name="40% - Accent1 3 2 6 2 2" xfId="15056" xr:uid="{9521044A-E15A-4F47-AD3E-D182E93D32B0}"/>
    <cellStyle name="40% - Accent1 3 2 6 3" xfId="10838" xr:uid="{486EF2C0-1118-4EB2-B306-09DD96BFE07A}"/>
    <cellStyle name="40% - Accent1 3 2 7" xfId="4561" xr:uid="{00000000-0005-0000-0000-000026040000}"/>
    <cellStyle name="40% - Accent1 3 2 7 2" xfId="12990" xr:uid="{5620681B-2317-4AB5-8FCD-E68D0C7ACE41}"/>
    <cellStyle name="40% - Accent1 3 2 8" xfId="8772" xr:uid="{51F8823F-4B7D-4AC3-8687-022044CA0E92}"/>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E05DF890-A35C-4DBE-9F06-F7B3A7F9ABDC}"/>
    <cellStyle name="40% - Accent1 3 3 2 3" xfId="11330" xr:uid="{3AC64FA3-5ADD-4858-B76F-5AA9EF4E25DB}"/>
    <cellStyle name="40% - Accent1 3 3 3" xfId="4974" xr:uid="{00000000-0005-0000-0000-00002A040000}"/>
    <cellStyle name="40% - Accent1 3 3 3 2" xfId="13403" xr:uid="{E91EC566-00F5-42CB-85C7-BE39EC099FA6}"/>
    <cellStyle name="40% - Accent1 3 3 4" xfId="9185" xr:uid="{37E4374A-9DDE-4292-8049-E0818173CC5C}"/>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CA41955B-5A2A-42CA-A505-DFD4C3CFBD0E}"/>
    <cellStyle name="40% - Accent1 3 4 2 3" xfId="11743" xr:uid="{58D45C8C-D5F1-4A22-99C0-77F3C9DEEDB6}"/>
    <cellStyle name="40% - Accent1 3 4 3" xfId="5387" xr:uid="{00000000-0005-0000-0000-00002E040000}"/>
    <cellStyle name="40% - Accent1 3 4 3 2" xfId="13816" xr:uid="{C41EF25A-DC80-480B-951D-01B1B3CD7E64}"/>
    <cellStyle name="40% - Accent1 3 4 4" xfId="9598" xr:uid="{7BF4B847-9738-4D37-A4BE-300C3F0068E8}"/>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8F6C376F-D820-41D3-84DF-4805C63D460F}"/>
    <cellStyle name="40% - Accent1 3 5 2 3" xfId="12156" xr:uid="{0B76294A-715E-45A0-A8E4-28CDFF7FEE84}"/>
    <cellStyle name="40% - Accent1 3 5 3" xfId="5800" xr:uid="{00000000-0005-0000-0000-000032040000}"/>
    <cellStyle name="40% - Accent1 3 5 3 2" xfId="14229" xr:uid="{6B21E53F-8310-4E27-BF68-15525F959BC1}"/>
    <cellStyle name="40% - Accent1 3 5 4" xfId="10011" xr:uid="{12265DBD-9C3F-4B60-A7CB-B0CA525D3BB3}"/>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CDEFDC9D-530A-4738-86DB-B27D82CEF433}"/>
    <cellStyle name="40% - Accent1 3 6 2 3" xfId="12569" xr:uid="{1CB18E0D-3AC7-44B2-88F7-FFCC8D14A42E}"/>
    <cellStyle name="40% - Accent1 3 6 3" xfId="6213" xr:uid="{00000000-0005-0000-0000-000036040000}"/>
    <cellStyle name="40% - Accent1 3 6 3 2" xfId="14642" xr:uid="{CE0CB1F5-3A8B-4122-8377-9EDA2FC347F1}"/>
    <cellStyle name="40% - Accent1 3 6 4" xfId="10424" xr:uid="{A268E9C9-C732-4EE4-8D57-9EB573BA0795}"/>
    <cellStyle name="40% - Accent1 3 7" xfId="2318" xr:uid="{00000000-0005-0000-0000-000037040000}"/>
    <cellStyle name="40% - Accent1 3 7 2" xfId="6626" xr:uid="{00000000-0005-0000-0000-000038040000}"/>
    <cellStyle name="40% - Accent1 3 7 2 2" xfId="15055" xr:uid="{74A0602F-3FE8-4FD9-ADCB-EAAD0E678BD7}"/>
    <cellStyle name="40% - Accent1 3 7 3" xfId="10837" xr:uid="{DB574C30-302F-4651-99B0-4DA8821837BB}"/>
    <cellStyle name="40% - Accent1 3 8" xfId="4560" xr:uid="{00000000-0005-0000-0000-000039040000}"/>
    <cellStyle name="40% - Accent1 3 8 2" xfId="12989" xr:uid="{31BAF009-F4C2-4E99-A368-AB7E24F7E16A}"/>
    <cellStyle name="40% - Accent1 3 9" xfId="8771" xr:uid="{420B13C6-FBEC-466A-A3FD-FF232170CD4A}"/>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CE94F4A1-D97E-4463-8198-3869B1A5FAB5}"/>
    <cellStyle name="40% - Accent1 4 2 2 3" xfId="11332" xr:uid="{F71FDAEA-694E-4720-8DD8-0706147CE9A2}"/>
    <cellStyle name="40% - Accent1 4 2 3" xfId="4976" xr:uid="{00000000-0005-0000-0000-00003E040000}"/>
    <cellStyle name="40% - Accent1 4 2 3 2" xfId="13405" xr:uid="{494E97CB-AFD1-44CD-B80F-7691C025A8DF}"/>
    <cellStyle name="40% - Accent1 4 2 4" xfId="9187" xr:uid="{33D0B73F-38BA-42C8-AE94-1B14C1845FE8}"/>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A20E9CE4-6EDC-49C1-875E-567175CD0DBA}"/>
    <cellStyle name="40% - Accent1 4 3 2 3" xfId="11745" xr:uid="{4AAAA0C9-A88C-42F1-AE28-C2AC456D1961}"/>
    <cellStyle name="40% - Accent1 4 3 3" xfId="5389" xr:uid="{00000000-0005-0000-0000-000042040000}"/>
    <cellStyle name="40% - Accent1 4 3 3 2" xfId="13818" xr:uid="{72B2446E-9E35-49CE-A1A5-819118099739}"/>
    <cellStyle name="40% - Accent1 4 3 4" xfId="9600" xr:uid="{D657C056-7F37-460A-953F-F17F99E5E2EC}"/>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450CB0FA-5BF4-41B1-9A41-9243100C2322}"/>
    <cellStyle name="40% - Accent1 4 4 2 3" xfId="12158" xr:uid="{ABBEC618-944A-42AF-9B84-3527B40DCE2E}"/>
    <cellStyle name="40% - Accent1 4 4 3" xfId="5802" xr:uid="{00000000-0005-0000-0000-000046040000}"/>
    <cellStyle name="40% - Accent1 4 4 3 2" xfId="14231" xr:uid="{DB81671F-DF3D-4923-82BE-28901896D79C}"/>
    <cellStyle name="40% - Accent1 4 4 4" xfId="10013" xr:uid="{BA08A9A6-BFD8-462D-81BE-1488BC4B11E5}"/>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9E374C82-666F-4A2D-BD86-65E4B069113F}"/>
    <cellStyle name="40% - Accent1 4 5 2 3" xfId="12571" xr:uid="{13BE6D5D-B624-43B9-B87C-95D150F6312D}"/>
    <cellStyle name="40% - Accent1 4 5 3" xfId="6215" xr:uid="{00000000-0005-0000-0000-00004A040000}"/>
    <cellStyle name="40% - Accent1 4 5 3 2" xfId="14644" xr:uid="{2AE6D88E-3650-4C8C-A63D-7F1277BA57CC}"/>
    <cellStyle name="40% - Accent1 4 5 4" xfId="10426" xr:uid="{768F4A26-4CEE-4054-A187-7632F208CDC5}"/>
    <cellStyle name="40% - Accent1 4 6" xfId="2320" xr:uid="{00000000-0005-0000-0000-00004B040000}"/>
    <cellStyle name="40% - Accent1 4 6 2" xfId="6628" xr:uid="{00000000-0005-0000-0000-00004C040000}"/>
    <cellStyle name="40% - Accent1 4 6 2 2" xfId="15057" xr:uid="{336D9431-65C2-4CB1-9DBF-C58703644A5D}"/>
    <cellStyle name="40% - Accent1 4 6 3" xfId="10839" xr:uid="{D8EB4BF3-2978-4E81-9654-34E61DECB14B}"/>
    <cellStyle name="40% - Accent1 4 7" xfId="4562" xr:uid="{00000000-0005-0000-0000-00004D040000}"/>
    <cellStyle name="40% - Accent1 4 7 2" xfId="12991" xr:uid="{234D1EEC-3BA1-4D78-A76A-FBEF8ACAE6CE}"/>
    <cellStyle name="40% - Accent1 4 8" xfId="8773" xr:uid="{FF274615-1452-4CCD-A72C-6E93BA8DA765}"/>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9A7DD7E7-6F74-4C12-92F1-5D368A8C0BB2}"/>
    <cellStyle name="40% - Accent1 5 2 3" xfId="11325" xr:uid="{06B4F582-DDD3-4F8C-88E4-4EEACC9A8098}"/>
    <cellStyle name="40% - Accent1 5 3" xfId="4969" xr:uid="{00000000-0005-0000-0000-000051040000}"/>
    <cellStyle name="40% - Accent1 5 3 2" xfId="13398" xr:uid="{14049D52-1E95-496C-BEEB-437079EF54EC}"/>
    <cellStyle name="40% - Accent1 5 4" xfId="9180" xr:uid="{37AAD84E-9377-421B-8727-500A408E716B}"/>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E7CD1456-0822-472B-B781-26C9A52E2E87}"/>
    <cellStyle name="40% - Accent1 6 2 3" xfId="11738" xr:uid="{29CDAFEB-EFBC-4CE6-A079-549E7EC78EB3}"/>
    <cellStyle name="40% - Accent1 6 3" xfId="5382" xr:uid="{00000000-0005-0000-0000-000055040000}"/>
    <cellStyle name="40% - Accent1 6 3 2" xfId="13811" xr:uid="{8FB79548-C84C-47F0-8330-AC143F12DCAA}"/>
    <cellStyle name="40% - Accent1 6 4" xfId="9593" xr:uid="{25B643FF-7F8A-4181-9E0B-BFF8D37CAF8C}"/>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46963EE4-7AD1-489B-8C66-EFB2B8095CA6}"/>
    <cellStyle name="40% - Accent1 7 2 3" xfId="12151" xr:uid="{DE35D3CA-D405-4587-9E93-09F0199800CF}"/>
    <cellStyle name="40% - Accent1 7 3" xfId="5795" xr:uid="{00000000-0005-0000-0000-000059040000}"/>
    <cellStyle name="40% - Accent1 7 3 2" xfId="14224" xr:uid="{571DCE7B-F1E9-40EC-A8B3-0EAC2F3E0409}"/>
    <cellStyle name="40% - Accent1 7 4" xfId="10006" xr:uid="{67B66500-09F1-4EB6-9CAF-183CEC170731}"/>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D950B15C-1CC2-47B3-A628-75EBB79B666D}"/>
    <cellStyle name="40% - Accent1 8 2 3" xfId="12564" xr:uid="{E584E04D-614A-4DAE-8643-78C6DFE57ACC}"/>
    <cellStyle name="40% - Accent1 8 3" xfId="6208" xr:uid="{00000000-0005-0000-0000-00005D040000}"/>
    <cellStyle name="40% - Accent1 8 3 2" xfId="14637" xr:uid="{33E34F16-4CE7-4BAD-8E23-9292E6EF8630}"/>
    <cellStyle name="40% - Accent1 8 4" xfId="10419" xr:uid="{654EDBBF-9FBD-424A-A2FF-B448C9A192B0}"/>
    <cellStyle name="40% - Accent1 9" xfId="2313" xr:uid="{00000000-0005-0000-0000-00005E040000}"/>
    <cellStyle name="40% - Accent1 9 2" xfId="6621" xr:uid="{00000000-0005-0000-0000-00005F040000}"/>
    <cellStyle name="40% - Accent1 9 2 2" xfId="15050" xr:uid="{3AAD00D7-7D47-44CF-938A-A59AD4086380}"/>
    <cellStyle name="40% - Accent1 9 3" xfId="10832" xr:uid="{A942C58A-4F6B-48FD-BAA5-BBDAFE4409A9}"/>
    <cellStyle name="40% - Accent2" xfId="57" builtinId="35" customBuiltin="1"/>
    <cellStyle name="40% - Accent2 10" xfId="4563" xr:uid="{00000000-0005-0000-0000-000061040000}"/>
    <cellStyle name="40% - Accent2 10 2" xfId="12992" xr:uid="{548EEDEF-AE34-405E-BB25-A06516AEF956}"/>
    <cellStyle name="40% - Accent2 11" xfId="8774" xr:uid="{983B11E1-C66B-4541-9C8E-3B078ED044E8}"/>
    <cellStyle name="40% - Accent2 2" xfId="58" xr:uid="{00000000-0005-0000-0000-000062040000}"/>
    <cellStyle name="40% - Accent2 2 10" xfId="8775" xr:uid="{B8389692-9782-405E-A259-F4CC6C7EFB59}"/>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5DC7F899-633B-47FE-AABD-F28270AA8F5E}"/>
    <cellStyle name="40% - Accent2 2 2 2 2 2 3" xfId="11336" xr:uid="{8AF78467-765A-4A1B-948C-DB48A08A1667}"/>
    <cellStyle name="40% - Accent2 2 2 2 2 3" xfId="4980" xr:uid="{00000000-0005-0000-0000-000068040000}"/>
    <cellStyle name="40% - Accent2 2 2 2 2 3 2" xfId="13409" xr:uid="{2B84265A-010E-46AF-AA54-9CF07707DD93}"/>
    <cellStyle name="40% - Accent2 2 2 2 2 4" xfId="9191" xr:uid="{DFC1C8F8-B152-4A5E-8744-33F559628927}"/>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9A4E61DC-1871-4F37-923B-573CD45CC4C6}"/>
    <cellStyle name="40% - Accent2 2 2 2 3 2 3" xfId="11749" xr:uid="{E5A64DC6-F5DC-4D17-8077-C155C1450DD5}"/>
    <cellStyle name="40% - Accent2 2 2 2 3 3" xfId="5393" xr:uid="{00000000-0005-0000-0000-00006C040000}"/>
    <cellStyle name="40% - Accent2 2 2 2 3 3 2" xfId="13822" xr:uid="{154F4F83-F4FA-41ED-A74A-FBE7C39B56EA}"/>
    <cellStyle name="40% - Accent2 2 2 2 3 4" xfId="9604" xr:uid="{FFA24D0C-4D95-463C-9E7D-BB0EB7F19E2E}"/>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8DDC5440-419C-4FCC-8F6C-A26CE27C3C3D}"/>
    <cellStyle name="40% - Accent2 2 2 2 4 2 3" xfId="12162" xr:uid="{CBB285D1-9FCD-4812-9715-4DB07EF9E860}"/>
    <cellStyle name="40% - Accent2 2 2 2 4 3" xfId="5806" xr:uid="{00000000-0005-0000-0000-000070040000}"/>
    <cellStyle name="40% - Accent2 2 2 2 4 3 2" xfId="14235" xr:uid="{26C026F4-647F-4593-A560-EAFCB89799ED}"/>
    <cellStyle name="40% - Accent2 2 2 2 4 4" xfId="10017" xr:uid="{104E233A-E931-41C2-8F32-B5BEC138C743}"/>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689CF671-EDB5-47F5-9D37-C141CDDE2002}"/>
    <cellStyle name="40% - Accent2 2 2 2 5 2 3" xfId="12575" xr:uid="{986626DA-FB4D-4BB9-8C84-8BE41784E514}"/>
    <cellStyle name="40% - Accent2 2 2 2 5 3" xfId="6219" xr:uid="{00000000-0005-0000-0000-000074040000}"/>
    <cellStyle name="40% - Accent2 2 2 2 5 3 2" xfId="14648" xr:uid="{3E0B1322-8442-4909-BB6A-76533C49FEE2}"/>
    <cellStyle name="40% - Accent2 2 2 2 5 4" xfId="10430" xr:uid="{47770DD5-0C14-48D6-89DA-971EBE25B4DB}"/>
    <cellStyle name="40% - Accent2 2 2 2 6" xfId="2324" xr:uid="{00000000-0005-0000-0000-000075040000}"/>
    <cellStyle name="40% - Accent2 2 2 2 6 2" xfId="6632" xr:uid="{00000000-0005-0000-0000-000076040000}"/>
    <cellStyle name="40% - Accent2 2 2 2 6 2 2" xfId="15061" xr:uid="{878A1B40-2898-4F13-99C7-45CCA32069C9}"/>
    <cellStyle name="40% - Accent2 2 2 2 6 3" xfId="10843" xr:uid="{3C181C10-F9ED-4062-A8CA-ABBF9E534E4C}"/>
    <cellStyle name="40% - Accent2 2 2 2 7" xfId="4566" xr:uid="{00000000-0005-0000-0000-000077040000}"/>
    <cellStyle name="40% - Accent2 2 2 2 7 2" xfId="12995" xr:uid="{F6AFC2F8-69C1-4233-8E1C-B0B8F80DBAF3}"/>
    <cellStyle name="40% - Accent2 2 2 2 8" xfId="8777" xr:uid="{951E8238-779B-4358-90ED-E7D43B2B96FF}"/>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E7914C1B-F130-4263-9F25-D5047C776350}"/>
    <cellStyle name="40% - Accent2 2 2 3 2 3" xfId="11335" xr:uid="{D2EF12E3-BDAD-4776-AF5A-3DFEBB3BE173}"/>
    <cellStyle name="40% - Accent2 2 2 3 3" xfId="4979" xr:uid="{00000000-0005-0000-0000-00007B040000}"/>
    <cellStyle name="40% - Accent2 2 2 3 3 2" xfId="13408" xr:uid="{573B9EA2-5B03-4494-AA21-CE90D653F949}"/>
    <cellStyle name="40% - Accent2 2 2 3 4" xfId="9190" xr:uid="{07495A7D-C2F0-4D95-986A-7F851CE05395}"/>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1E9C980C-9815-43E5-9660-AD5B1F54A9B2}"/>
    <cellStyle name="40% - Accent2 2 2 4 2 3" xfId="11748" xr:uid="{B04FC2E8-C6F2-4973-8BB3-2504511A4B2B}"/>
    <cellStyle name="40% - Accent2 2 2 4 3" xfId="5392" xr:uid="{00000000-0005-0000-0000-00007F040000}"/>
    <cellStyle name="40% - Accent2 2 2 4 3 2" xfId="13821" xr:uid="{982C0DA4-4470-4047-AE88-5ACDAC65AFD4}"/>
    <cellStyle name="40% - Accent2 2 2 4 4" xfId="9603" xr:uid="{716AE9AD-B706-44F4-8079-E8E0B7AC9D77}"/>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2A4F37B1-959C-4A48-B23D-2CFFF7DF7FA6}"/>
    <cellStyle name="40% - Accent2 2 2 5 2 3" xfId="12161" xr:uid="{579F3642-42CD-494E-B607-669E17D261F0}"/>
    <cellStyle name="40% - Accent2 2 2 5 3" xfId="5805" xr:uid="{00000000-0005-0000-0000-000083040000}"/>
    <cellStyle name="40% - Accent2 2 2 5 3 2" xfId="14234" xr:uid="{334D1643-5D9C-4B65-BD4F-18DE4024DBD9}"/>
    <cellStyle name="40% - Accent2 2 2 5 4" xfId="10016" xr:uid="{F36513C6-627D-43CC-A818-7C381FCAF234}"/>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8774CC12-FE2A-4956-98C1-3A88BCA7C137}"/>
    <cellStyle name="40% - Accent2 2 2 6 2 3" xfId="12574" xr:uid="{2C298694-6128-40C6-9433-C091FBB76F08}"/>
    <cellStyle name="40% - Accent2 2 2 6 3" xfId="6218" xr:uid="{00000000-0005-0000-0000-000087040000}"/>
    <cellStyle name="40% - Accent2 2 2 6 3 2" xfId="14647" xr:uid="{2D381745-6739-4F99-B9D2-93C757F7327B}"/>
    <cellStyle name="40% - Accent2 2 2 6 4" xfId="10429" xr:uid="{BAF2FEA5-1FE6-4B36-8F1D-C0821D01979F}"/>
    <cellStyle name="40% - Accent2 2 2 7" xfId="2323" xr:uid="{00000000-0005-0000-0000-000088040000}"/>
    <cellStyle name="40% - Accent2 2 2 7 2" xfId="6631" xr:uid="{00000000-0005-0000-0000-000089040000}"/>
    <cellStyle name="40% - Accent2 2 2 7 2 2" xfId="15060" xr:uid="{850ADADD-B8B4-450A-BDB3-10C8574D4271}"/>
    <cellStyle name="40% - Accent2 2 2 7 3" xfId="10842" xr:uid="{BA2FEF42-434A-465D-9069-EBDA428A9CA2}"/>
    <cellStyle name="40% - Accent2 2 2 8" xfId="4565" xr:uid="{00000000-0005-0000-0000-00008A040000}"/>
    <cellStyle name="40% - Accent2 2 2 8 2" xfId="12994" xr:uid="{C6627C14-4BEC-425F-BC8D-67D4FE8F9D9A}"/>
    <cellStyle name="40% - Accent2 2 2 9" xfId="8776" xr:uid="{C8547E99-3C62-48E3-B22F-6F1E3BEEF69C}"/>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E8528E2F-12E9-4815-91DE-7F456F5D796C}"/>
    <cellStyle name="40% - Accent2 2 3 2 2 3" xfId="11337" xr:uid="{A9166DFF-8898-4297-A2BB-F34C5F26FC84}"/>
    <cellStyle name="40% - Accent2 2 3 2 3" xfId="4981" xr:uid="{00000000-0005-0000-0000-00008F040000}"/>
    <cellStyle name="40% - Accent2 2 3 2 3 2" xfId="13410" xr:uid="{CDAF915C-E8C6-4C11-A9CE-E40F277EE3BD}"/>
    <cellStyle name="40% - Accent2 2 3 2 4" xfId="9192" xr:uid="{E401F903-854B-4E01-AC38-C38EA8C9639C}"/>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5541C676-1B8C-48DC-8B22-26622B4DEA6F}"/>
    <cellStyle name="40% - Accent2 2 3 3 2 3" xfId="11750" xr:uid="{1FE893BB-05D4-47EA-BEAA-09CB62F79580}"/>
    <cellStyle name="40% - Accent2 2 3 3 3" xfId="5394" xr:uid="{00000000-0005-0000-0000-000093040000}"/>
    <cellStyle name="40% - Accent2 2 3 3 3 2" xfId="13823" xr:uid="{695A4027-1F99-4647-AEFA-ACB0015016C6}"/>
    <cellStyle name="40% - Accent2 2 3 3 4" xfId="9605" xr:uid="{1C677137-C53C-47AE-B84B-C90BEEB4687E}"/>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63846FEC-C577-44AA-BBE8-85127E639F95}"/>
    <cellStyle name="40% - Accent2 2 3 4 2 3" xfId="12163" xr:uid="{52A0E9A1-2B33-4233-B12D-22359BC481BA}"/>
    <cellStyle name="40% - Accent2 2 3 4 3" xfId="5807" xr:uid="{00000000-0005-0000-0000-000097040000}"/>
    <cellStyle name="40% - Accent2 2 3 4 3 2" xfId="14236" xr:uid="{07301DD2-6B10-42D5-B151-EAD313B61BF7}"/>
    <cellStyle name="40% - Accent2 2 3 4 4" xfId="10018" xr:uid="{AB7A7B1A-4F29-4C1E-BF20-2A4953702274}"/>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120C9561-7001-4FFF-85F4-7CCFDAD9197E}"/>
    <cellStyle name="40% - Accent2 2 3 5 2 3" xfId="12576" xr:uid="{500AB92A-D6C8-4F12-B351-80D85931BF3D}"/>
    <cellStyle name="40% - Accent2 2 3 5 3" xfId="6220" xr:uid="{00000000-0005-0000-0000-00009B040000}"/>
    <cellStyle name="40% - Accent2 2 3 5 3 2" xfId="14649" xr:uid="{BC98CF92-0411-4A22-88C8-1FCBC604FCDA}"/>
    <cellStyle name="40% - Accent2 2 3 5 4" xfId="10431" xr:uid="{429EB440-C51D-49AC-87FB-06EFFB7D5DF8}"/>
    <cellStyle name="40% - Accent2 2 3 6" xfId="2325" xr:uid="{00000000-0005-0000-0000-00009C040000}"/>
    <cellStyle name="40% - Accent2 2 3 6 2" xfId="6633" xr:uid="{00000000-0005-0000-0000-00009D040000}"/>
    <cellStyle name="40% - Accent2 2 3 6 2 2" xfId="15062" xr:uid="{F0ECD1CE-4E2B-44CC-B4D8-851F003C8AE6}"/>
    <cellStyle name="40% - Accent2 2 3 6 3" xfId="10844" xr:uid="{3B20B4E0-C909-42E9-A032-A01529F84115}"/>
    <cellStyle name="40% - Accent2 2 3 7" xfId="4567" xr:uid="{00000000-0005-0000-0000-00009E040000}"/>
    <cellStyle name="40% - Accent2 2 3 7 2" xfId="12996" xr:uid="{BD7AE5FB-BB8E-419E-9358-E28FD454D88D}"/>
    <cellStyle name="40% - Accent2 2 3 8" xfId="8778" xr:uid="{1D414844-170C-4BB3-9D98-24178A07A066}"/>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6C9065FF-C8A8-46C3-8BC9-F71ED25316FB}"/>
    <cellStyle name="40% - Accent2 2 4 2 3" xfId="11334" xr:uid="{023362F7-11A5-4BE3-9BD0-BC5886CDC8D3}"/>
    <cellStyle name="40% - Accent2 2 4 3" xfId="4978" xr:uid="{00000000-0005-0000-0000-0000A2040000}"/>
    <cellStyle name="40% - Accent2 2 4 3 2" xfId="13407" xr:uid="{F9EAB117-2DD8-4F30-A62A-8793EE1222C2}"/>
    <cellStyle name="40% - Accent2 2 4 4" xfId="9189" xr:uid="{4C8E9B70-777B-4485-BD08-7DEE7839052C}"/>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4F8FFC0E-A108-468E-ADD9-B4C6B1A13E9C}"/>
    <cellStyle name="40% - Accent2 2 5 2 3" xfId="11747" xr:uid="{99741682-7DD5-4A21-B0AA-1866380E33B8}"/>
    <cellStyle name="40% - Accent2 2 5 3" xfId="5391" xr:uid="{00000000-0005-0000-0000-0000A6040000}"/>
    <cellStyle name="40% - Accent2 2 5 3 2" xfId="13820" xr:uid="{918B2068-4156-4848-9F78-EC09FDEA727F}"/>
    <cellStyle name="40% - Accent2 2 5 4" xfId="9602" xr:uid="{2091AF15-E2DF-4222-8EA5-92808744A4F7}"/>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C58583B5-0379-4F26-93E9-C2CEEF9694A0}"/>
    <cellStyle name="40% - Accent2 2 6 2 3" xfId="12160" xr:uid="{EFABF266-FA59-4620-92ED-F6AD984DC30A}"/>
    <cellStyle name="40% - Accent2 2 6 3" xfId="5804" xr:uid="{00000000-0005-0000-0000-0000AA040000}"/>
    <cellStyle name="40% - Accent2 2 6 3 2" xfId="14233" xr:uid="{280B643B-8C82-452F-8069-733068283039}"/>
    <cellStyle name="40% - Accent2 2 6 4" xfId="10015" xr:uid="{C7FE14D9-6BB9-4D75-A989-9437F7F16F1C}"/>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3B2CB5FE-04DF-4FC9-A3D6-E95F80736B1D}"/>
    <cellStyle name="40% - Accent2 2 7 2 3" xfId="12573" xr:uid="{E428FFB0-E354-4ED1-8DDB-B97CBA0520E2}"/>
    <cellStyle name="40% - Accent2 2 7 3" xfId="6217" xr:uid="{00000000-0005-0000-0000-0000AE040000}"/>
    <cellStyle name="40% - Accent2 2 7 3 2" xfId="14646" xr:uid="{5579F896-407C-4F8A-B299-5A060B669A06}"/>
    <cellStyle name="40% - Accent2 2 7 4" xfId="10428" xr:uid="{AAB40BC5-D7F9-4E4A-AB9F-5C4747235600}"/>
    <cellStyle name="40% - Accent2 2 8" xfId="2322" xr:uid="{00000000-0005-0000-0000-0000AF040000}"/>
    <cellStyle name="40% - Accent2 2 8 2" xfId="6630" xr:uid="{00000000-0005-0000-0000-0000B0040000}"/>
    <cellStyle name="40% - Accent2 2 8 2 2" xfId="15059" xr:uid="{E57DD05E-0CE0-43BE-94FB-BF2B0C113179}"/>
    <cellStyle name="40% - Accent2 2 8 3" xfId="10841" xr:uid="{B9892E5F-B5F3-4F37-B2E2-F286248917D2}"/>
    <cellStyle name="40% - Accent2 2 9" xfId="4564" xr:uid="{00000000-0005-0000-0000-0000B1040000}"/>
    <cellStyle name="40% - Accent2 2 9 2" xfId="12993" xr:uid="{1AD2D962-0874-40C3-AEE9-ECBDCF92E1FC}"/>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50703542-D69E-4E40-A971-41639114A66A}"/>
    <cellStyle name="40% - Accent2 3 2 2 2 3" xfId="11339" xr:uid="{05951A17-C3F1-43EC-93C9-D6EDB5BD3C79}"/>
    <cellStyle name="40% - Accent2 3 2 2 3" xfId="4983" xr:uid="{00000000-0005-0000-0000-0000B7040000}"/>
    <cellStyle name="40% - Accent2 3 2 2 3 2" xfId="13412" xr:uid="{D6010052-D651-4C97-A29A-E042C0CB27E4}"/>
    <cellStyle name="40% - Accent2 3 2 2 4" xfId="9194" xr:uid="{A26CD8F1-E2A3-44E5-B562-82D917F06439}"/>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67681FF2-8D16-443C-A14F-EF5595206A16}"/>
    <cellStyle name="40% - Accent2 3 2 3 2 3" xfId="11752" xr:uid="{A3B95EAF-F5DB-428A-AA4A-30D9C7FAD5BB}"/>
    <cellStyle name="40% - Accent2 3 2 3 3" xfId="5396" xr:uid="{00000000-0005-0000-0000-0000BB040000}"/>
    <cellStyle name="40% - Accent2 3 2 3 3 2" xfId="13825" xr:uid="{5E1E503E-851F-4D88-A484-2082DBA59B78}"/>
    <cellStyle name="40% - Accent2 3 2 3 4" xfId="9607" xr:uid="{32D5A0E8-1AD6-414A-BB93-16E1E11563B7}"/>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8F29AD2E-49F6-4E46-B58D-F49FED451645}"/>
    <cellStyle name="40% - Accent2 3 2 4 2 3" xfId="12165" xr:uid="{17172E8F-AEA3-48D3-BBB0-3076268935B6}"/>
    <cellStyle name="40% - Accent2 3 2 4 3" xfId="5809" xr:uid="{00000000-0005-0000-0000-0000BF040000}"/>
    <cellStyle name="40% - Accent2 3 2 4 3 2" xfId="14238" xr:uid="{0C7D6EBA-721C-4D15-B2DF-80F31F57BDE3}"/>
    <cellStyle name="40% - Accent2 3 2 4 4" xfId="10020" xr:uid="{5D0BE7D0-AA3B-4EDF-9BE7-C4FCB9D6D8CB}"/>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80C0DDC5-16E7-4915-B163-6456F5893499}"/>
    <cellStyle name="40% - Accent2 3 2 5 2 3" xfId="12578" xr:uid="{620AA123-5BA2-43F6-86C7-BFBA2A53495F}"/>
    <cellStyle name="40% - Accent2 3 2 5 3" xfId="6222" xr:uid="{00000000-0005-0000-0000-0000C3040000}"/>
    <cellStyle name="40% - Accent2 3 2 5 3 2" xfId="14651" xr:uid="{BE84A554-BC0E-4CB1-956B-93A0A3F94521}"/>
    <cellStyle name="40% - Accent2 3 2 5 4" xfId="10433" xr:uid="{9B1B88E1-49C4-4F52-990D-7048F28FE37B}"/>
    <cellStyle name="40% - Accent2 3 2 6" xfId="2327" xr:uid="{00000000-0005-0000-0000-0000C4040000}"/>
    <cellStyle name="40% - Accent2 3 2 6 2" xfId="6635" xr:uid="{00000000-0005-0000-0000-0000C5040000}"/>
    <cellStyle name="40% - Accent2 3 2 6 2 2" xfId="15064" xr:uid="{4305196B-3526-4054-B9B9-E29671CFB415}"/>
    <cellStyle name="40% - Accent2 3 2 6 3" xfId="10846" xr:uid="{EA841F08-0A3E-4812-ACCF-637A5D978CD3}"/>
    <cellStyle name="40% - Accent2 3 2 7" xfId="4569" xr:uid="{00000000-0005-0000-0000-0000C6040000}"/>
    <cellStyle name="40% - Accent2 3 2 7 2" xfId="12998" xr:uid="{2BCBA6A6-5B56-457F-8936-4BECE74C6FD9}"/>
    <cellStyle name="40% - Accent2 3 2 8" xfId="8780" xr:uid="{9F0B5850-4639-428D-B801-0D67748C7210}"/>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BB938F2D-ACE4-4163-9D1F-8C54CECE87E7}"/>
    <cellStyle name="40% - Accent2 3 3 2 3" xfId="11338" xr:uid="{5EE821E3-E815-4D38-A895-7666C05801A4}"/>
    <cellStyle name="40% - Accent2 3 3 3" xfId="4982" xr:uid="{00000000-0005-0000-0000-0000CA040000}"/>
    <cellStyle name="40% - Accent2 3 3 3 2" xfId="13411" xr:uid="{4932811E-70BA-4DC8-A06B-8BD8070DE48B}"/>
    <cellStyle name="40% - Accent2 3 3 4" xfId="9193" xr:uid="{3DCFD2D7-4CD3-400D-9184-2D12A1B63D03}"/>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EF2EB20F-CD7F-4366-AE40-93D411F75D2B}"/>
    <cellStyle name="40% - Accent2 3 4 2 3" xfId="11751" xr:uid="{B21F1919-0FDC-490A-A101-4DC4573417BA}"/>
    <cellStyle name="40% - Accent2 3 4 3" xfId="5395" xr:uid="{00000000-0005-0000-0000-0000CE040000}"/>
    <cellStyle name="40% - Accent2 3 4 3 2" xfId="13824" xr:uid="{A98A7E80-C730-42E0-AE36-7D92494F2B3A}"/>
    <cellStyle name="40% - Accent2 3 4 4" xfId="9606" xr:uid="{B490D699-769A-41E1-8908-5C53F2861159}"/>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779A7E40-2028-4189-957B-8822DD8E0668}"/>
    <cellStyle name="40% - Accent2 3 5 2 3" xfId="12164" xr:uid="{60D07590-6CE0-41A6-AD58-47DCC1516DFE}"/>
    <cellStyle name="40% - Accent2 3 5 3" xfId="5808" xr:uid="{00000000-0005-0000-0000-0000D2040000}"/>
    <cellStyle name="40% - Accent2 3 5 3 2" xfId="14237" xr:uid="{39E136DA-3202-4154-AD64-029AC429E89A}"/>
    <cellStyle name="40% - Accent2 3 5 4" xfId="10019" xr:uid="{207448E0-FA69-4C19-9C56-CF854A880BCD}"/>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69DCC6A3-BCD1-4F90-BB00-A5FCFCAB4585}"/>
    <cellStyle name="40% - Accent2 3 6 2 3" xfId="12577" xr:uid="{0C69E723-97BF-441A-8698-59FCF7A600A2}"/>
    <cellStyle name="40% - Accent2 3 6 3" xfId="6221" xr:uid="{00000000-0005-0000-0000-0000D6040000}"/>
    <cellStyle name="40% - Accent2 3 6 3 2" xfId="14650" xr:uid="{748B1019-6991-46E2-B3C3-AAB9C6C7FCAA}"/>
    <cellStyle name="40% - Accent2 3 6 4" xfId="10432" xr:uid="{31A7C260-5886-4DF5-8E67-7BF947602258}"/>
    <cellStyle name="40% - Accent2 3 7" xfId="2326" xr:uid="{00000000-0005-0000-0000-0000D7040000}"/>
    <cellStyle name="40% - Accent2 3 7 2" xfId="6634" xr:uid="{00000000-0005-0000-0000-0000D8040000}"/>
    <cellStyle name="40% - Accent2 3 7 2 2" xfId="15063" xr:uid="{E73DB7DD-0F76-457D-B0F4-A42B33615512}"/>
    <cellStyle name="40% - Accent2 3 7 3" xfId="10845" xr:uid="{2B5D5D10-2361-44F2-B1AC-5A5BD28F7D5A}"/>
    <cellStyle name="40% - Accent2 3 8" xfId="4568" xr:uid="{00000000-0005-0000-0000-0000D9040000}"/>
    <cellStyle name="40% - Accent2 3 8 2" xfId="12997" xr:uid="{0D023FBD-535C-4453-8EA3-BA4F0253BB87}"/>
    <cellStyle name="40% - Accent2 3 9" xfId="8779" xr:uid="{D63A746F-0BEE-4539-BC4A-3D4DA9FED4C8}"/>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F76118D2-44F0-4422-A83B-2A50EFBB8DE5}"/>
    <cellStyle name="40% - Accent2 4 2 2 3" xfId="11340" xr:uid="{59199DAF-A454-4F29-98AA-3CE7988489DC}"/>
    <cellStyle name="40% - Accent2 4 2 3" xfId="4984" xr:uid="{00000000-0005-0000-0000-0000DE040000}"/>
    <cellStyle name="40% - Accent2 4 2 3 2" xfId="13413" xr:uid="{9711D41E-4B53-4529-B069-C3A5417215DA}"/>
    <cellStyle name="40% - Accent2 4 2 4" xfId="9195" xr:uid="{86742235-0FEC-4FB6-BCAB-5557B25FEB46}"/>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B8B9C3FC-CD4F-4ED6-BA9F-735D70A1E815}"/>
    <cellStyle name="40% - Accent2 4 3 2 3" xfId="11753" xr:uid="{FB3EE9AC-F5D8-47BE-8D75-CE54C7251B67}"/>
    <cellStyle name="40% - Accent2 4 3 3" xfId="5397" xr:uid="{00000000-0005-0000-0000-0000E2040000}"/>
    <cellStyle name="40% - Accent2 4 3 3 2" xfId="13826" xr:uid="{6AB60CEB-6FC6-4732-8789-1BF8BD2A97F6}"/>
    <cellStyle name="40% - Accent2 4 3 4" xfId="9608" xr:uid="{B0CB95D0-E8BB-4D35-9374-4CDFEB07B1DB}"/>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43D613C5-4637-4380-A36A-5D74CCABE55A}"/>
    <cellStyle name="40% - Accent2 4 4 2 3" xfId="12166" xr:uid="{A87758B0-968D-4C8D-B81D-319956A81C82}"/>
    <cellStyle name="40% - Accent2 4 4 3" xfId="5810" xr:uid="{00000000-0005-0000-0000-0000E6040000}"/>
    <cellStyle name="40% - Accent2 4 4 3 2" xfId="14239" xr:uid="{51FACBC3-7A02-4CAE-8A4F-51EAD84BECAE}"/>
    <cellStyle name="40% - Accent2 4 4 4" xfId="10021" xr:uid="{E0357522-4A82-4CC1-B0C3-FBD1902D84A7}"/>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8EC3DE61-A5AD-4EF3-8FB4-1E25F42CF7A0}"/>
    <cellStyle name="40% - Accent2 4 5 2 3" xfId="12579" xr:uid="{06E49C50-A5CE-40E6-874D-F1BE3978DCD2}"/>
    <cellStyle name="40% - Accent2 4 5 3" xfId="6223" xr:uid="{00000000-0005-0000-0000-0000EA040000}"/>
    <cellStyle name="40% - Accent2 4 5 3 2" xfId="14652" xr:uid="{1F434774-C295-4402-9890-9351CB8C0931}"/>
    <cellStyle name="40% - Accent2 4 5 4" xfId="10434" xr:uid="{A1916B5E-6BEC-4AFA-BF79-ABAF40E21916}"/>
    <cellStyle name="40% - Accent2 4 6" xfId="2328" xr:uid="{00000000-0005-0000-0000-0000EB040000}"/>
    <cellStyle name="40% - Accent2 4 6 2" xfId="6636" xr:uid="{00000000-0005-0000-0000-0000EC040000}"/>
    <cellStyle name="40% - Accent2 4 6 2 2" xfId="15065" xr:uid="{FB35735F-B22D-453F-848D-3744309B89D6}"/>
    <cellStyle name="40% - Accent2 4 6 3" xfId="10847" xr:uid="{482E4586-AC54-47A0-994B-BC5DB2121EBF}"/>
    <cellStyle name="40% - Accent2 4 7" xfId="4570" xr:uid="{00000000-0005-0000-0000-0000ED040000}"/>
    <cellStyle name="40% - Accent2 4 7 2" xfId="12999" xr:uid="{6556FCAA-5C77-4E31-8CD5-FF4FF0BDE3CD}"/>
    <cellStyle name="40% - Accent2 4 8" xfId="8781" xr:uid="{C9669BE0-654C-4C11-86FF-EC7C441CB9A4}"/>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266C4157-EE4E-49A7-B94C-765F720DE7EC}"/>
    <cellStyle name="40% - Accent2 5 2 3" xfId="11333" xr:uid="{AF115C76-65B3-437D-A57A-376AB8003E19}"/>
    <cellStyle name="40% - Accent2 5 3" xfId="4977" xr:uid="{00000000-0005-0000-0000-0000F1040000}"/>
    <cellStyle name="40% - Accent2 5 3 2" xfId="13406" xr:uid="{EF597A14-2124-4728-9BC8-88063ECDE260}"/>
    <cellStyle name="40% - Accent2 5 4" xfId="9188" xr:uid="{CC7698FD-5597-4D99-8EF1-DC9767577286}"/>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EAAC1110-8576-45A4-9619-256868A3D2A8}"/>
    <cellStyle name="40% - Accent2 6 2 3" xfId="11746" xr:uid="{6A023638-299C-41AC-9A81-0B4531312FE1}"/>
    <cellStyle name="40% - Accent2 6 3" xfId="5390" xr:uid="{00000000-0005-0000-0000-0000F5040000}"/>
    <cellStyle name="40% - Accent2 6 3 2" xfId="13819" xr:uid="{4B93AD76-A760-462C-B0FD-E13013AF21FF}"/>
    <cellStyle name="40% - Accent2 6 4" xfId="9601" xr:uid="{72C69879-D15C-402C-8464-8DECCAD47C9D}"/>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D2956EE5-0876-4C67-AEF4-4D423F3BDF2B}"/>
    <cellStyle name="40% - Accent2 7 2 3" xfId="12159" xr:uid="{1FF1A626-5950-4C27-811D-BE8C0DB7CD51}"/>
    <cellStyle name="40% - Accent2 7 3" xfId="5803" xr:uid="{00000000-0005-0000-0000-0000F9040000}"/>
    <cellStyle name="40% - Accent2 7 3 2" xfId="14232" xr:uid="{A174C41F-1355-4E58-AB84-B83B0CAAEFE3}"/>
    <cellStyle name="40% - Accent2 7 4" xfId="10014" xr:uid="{AEAAF981-D574-42E4-B223-AEFA6E5BE097}"/>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958A102E-C938-43E5-92F9-35900BE789F3}"/>
    <cellStyle name="40% - Accent2 8 2 3" xfId="12572" xr:uid="{8957BC07-FE92-4590-BC6D-81D7C046DA14}"/>
    <cellStyle name="40% - Accent2 8 3" xfId="6216" xr:uid="{00000000-0005-0000-0000-0000FD040000}"/>
    <cellStyle name="40% - Accent2 8 3 2" xfId="14645" xr:uid="{72266565-BF42-464D-B0C2-EE00A8A638DB}"/>
    <cellStyle name="40% - Accent2 8 4" xfId="10427" xr:uid="{3843A9BE-800B-4C23-BBEB-74C4FD048AEC}"/>
    <cellStyle name="40% - Accent2 9" xfId="2321" xr:uid="{00000000-0005-0000-0000-0000FE040000}"/>
    <cellStyle name="40% - Accent2 9 2" xfId="6629" xr:uid="{00000000-0005-0000-0000-0000FF040000}"/>
    <cellStyle name="40% - Accent2 9 2 2" xfId="15058" xr:uid="{72E0E445-E0C0-49EC-826F-333AA88AAC1A}"/>
    <cellStyle name="40% - Accent2 9 3" xfId="10840" xr:uid="{ABAB5A2D-5516-4C8A-A951-360DD7A443C9}"/>
    <cellStyle name="40% - Accent3" xfId="65" builtinId="39" customBuiltin="1"/>
    <cellStyle name="40% - Accent3 10" xfId="4571" xr:uid="{00000000-0005-0000-0000-000001050000}"/>
    <cellStyle name="40% - Accent3 10 2" xfId="13000" xr:uid="{75FF03DC-A1A6-4CA8-BC88-9F107955694A}"/>
    <cellStyle name="40% - Accent3 11" xfId="8782" xr:uid="{01324ECC-F106-4941-A86F-64D267BDCF91}"/>
    <cellStyle name="40% - Accent3 2" xfId="66" xr:uid="{00000000-0005-0000-0000-000002050000}"/>
    <cellStyle name="40% - Accent3 2 10" xfId="8783" xr:uid="{BE5F8C78-E84B-42D9-BCB7-3F84AE2D6522}"/>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0FD5EBC8-0CBA-4125-9E51-B3C6677DC359}"/>
    <cellStyle name="40% - Accent3 2 2 2 2 2 3" xfId="11344" xr:uid="{3D1E3800-BA54-4AA6-9FD7-64105C3D5B95}"/>
    <cellStyle name="40% - Accent3 2 2 2 2 3" xfId="4988" xr:uid="{00000000-0005-0000-0000-000008050000}"/>
    <cellStyle name="40% - Accent3 2 2 2 2 3 2" xfId="13417" xr:uid="{305D3A14-27AC-43E8-BB7F-F0B7D24A1A6B}"/>
    <cellStyle name="40% - Accent3 2 2 2 2 4" xfId="9199" xr:uid="{7CC9FC1C-9236-457E-98DD-D95EEB0B276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D6438D3F-51AC-448E-BAC8-B45903132697}"/>
    <cellStyle name="40% - Accent3 2 2 2 3 2 3" xfId="11757" xr:uid="{CE9D45E7-FEE8-40A5-BC67-F2CA7A1FEDFE}"/>
    <cellStyle name="40% - Accent3 2 2 2 3 3" xfId="5401" xr:uid="{00000000-0005-0000-0000-00000C050000}"/>
    <cellStyle name="40% - Accent3 2 2 2 3 3 2" xfId="13830" xr:uid="{BBF42548-17F4-4797-94C6-D014205353A3}"/>
    <cellStyle name="40% - Accent3 2 2 2 3 4" xfId="9612" xr:uid="{7B552694-99AF-4FD7-906E-269954366731}"/>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E9C3C820-0EE3-4879-A57E-FD876FD7B738}"/>
    <cellStyle name="40% - Accent3 2 2 2 4 2 3" xfId="12170" xr:uid="{C7BDFC92-26C0-47F0-AEE6-877988FF23FE}"/>
    <cellStyle name="40% - Accent3 2 2 2 4 3" xfId="5814" xr:uid="{00000000-0005-0000-0000-000010050000}"/>
    <cellStyle name="40% - Accent3 2 2 2 4 3 2" xfId="14243" xr:uid="{1C94BC9E-5234-4087-9B5C-5FD49A7DDDF7}"/>
    <cellStyle name="40% - Accent3 2 2 2 4 4" xfId="10025" xr:uid="{A9DECA6C-3707-4A0C-B8B3-8425AD36B837}"/>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7BB7A602-166C-4647-9A96-BA1433819D8C}"/>
    <cellStyle name="40% - Accent3 2 2 2 5 2 3" xfId="12583" xr:uid="{65EA320A-C439-423E-A387-32D61BEDC1A1}"/>
    <cellStyle name="40% - Accent3 2 2 2 5 3" xfId="6227" xr:uid="{00000000-0005-0000-0000-000014050000}"/>
    <cellStyle name="40% - Accent3 2 2 2 5 3 2" xfId="14656" xr:uid="{B84BB798-6F22-4B54-A900-1D1728EC82F3}"/>
    <cellStyle name="40% - Accent3 2 2 2 5 4" xfId="10438" xr:uid="{40FFC23D-2E26-401F-9BFD-055E7EF583A7}"/>
    <cellStyle name="40% - Accent3 2 2 2 6" xfId="2332" xr:uid="{00000000-0005-0000-0000-000015050000}"/>
    <cellStyle name="40% - Accent3 2 2 2 6 2" xfId="6640" xr:uid="{00000000-0005-0000-0000-000016050000}"/>
    <cellStyle name="40% - Accent3 2 2 2 6 2 2" xfId="15069" xr:uid="{4F661056-1A59-443C-B285-287708000C2E}"/>
    <cellStyle name="40% - Accent3 2 2 2 6 3" xfId="10851" xr:uid="{A7964F7F-0EC3-4095-A8CD-8746E2848C8C}"/>
    <cellStyle name="40% - Accent3 2 2 2 7" xfId="4574" xr:uid="{00000000-0005-0000-0000-000017050000}"/>
    <cellStyle name="40% - Accent3 2 2 2 7 2" xfId="13003" xr:uid="{DA211D3A-D84C-41BF-913D-D34B06E629C4}"/>
    <cellStyle name="40% - Accent3 2 2 2 8" xfId="8785" xr:uid="{1FB7B76A-8871-448D-873F-6E84335F92D3}"/>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CB1AD0EA-0BFA-4292-87A8-A36C64437E7F}"/>
    <cellStyle name="40% - Accent3 2 2 3 2 3" xfId="11343" xr:uid="{B509B7B5-E1E9-4784-99AB-153A767B50D1}"/>
    <cellStyle name="40% - Accent3 2 2 3 3" xfId="4987" xr:uid="{00000000-0005-0000-0000-00001B050000}"/>
    <cellStyle name="40% - Accent3 2 2 3 3 2" xfId="13416" xr:uid="{822598C7-A7B3-4038-B31D-16B7FDC826B6}"/>
    <cellStyle name="40% - Accent3 2 2 3 4" xfId="9198" xr:uid="{06D0A979-D62F-41E3-A9A2-4BD2BACC17A6}"/>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4662BEE2-BFD2-40D8-89A7-5A4519CB52C8}"/>
    <cellStyle name="40% - Accent3 2 2 4 2 3" xfId="11756" xr:uid="{2DA7AF9C-B8E5-45E7-AC24-58787F999D45}"/>
    <cellStyle name="40% - Accent3 2 2 4 3" xfId="5400" xr:uid="{00000000-0005-0000-0000-00001F050000}"/>
    <cellStyle name="40% - Accent3 2 2 4 3 2" xfId="13829" xr:uid="{50B9CE44-6B49-4604-9663-B6C0D23557DF}"/>
    <cellStyle name="40% - Accent3 2 2 4 4" xfId="9611" xr:uid="{73BB9D08-81A2-4788-824E-DFF9D7C34A0C}"/>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11D174DC-10C0-49C7-B5B2-57079E72A776}"/>
    <cellStyle name="40% - Accent3 2 2 5 2 3" xfId="12169" xr:uid="{F1A8AA36-DC73-48F3-A5EE-9B98F23E7F31}"/>
    <cellStyle name="40% - Accent3 2 2 5 3" xfId="5813" xr:uid="{00000000-0005-0000-0000-000023050000}"/>
    <cellStyle name="40% - Accent3 2 2 5 3 2" xfId="14242" xr:uid="{91E937E2-E911-47E6-953F-A61C9D7C69E4}"/>
    <cellStyle name="40% - Accent3 2 2 5 4" xfId="10024" xr:uid="{8E4AAADA-3816-4205-B7F6-17C2F72844BB}"/>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D2D5C0D9-D020-443B-9E5F-41210C59F953}"/>
    <cellStyle name="40% - Accent3 2 2 6 2 3" xfId="12582" xr:uid="{4A6D3CAD-E713-451A-9241-E174C8479A79}"/>
    <cellStyle name="40% - Accent3 2 2 6 3" xfId="6226" xr:uid="{00000000-0005-0000-0000-000027050000}"/>
    <cellStyle name="40% - Accent3 2 2 6 3 2" xfId="14655" xr:uid="{23C1504F-BB3A-4A93-9397-7648480587DA}"/>
    <cellStyle name="40% - Accent3 2 2 6 4" xfId="10437" xr:uid="{C3B25551-A878-4E4A-9DB0-00FBFC5F3AFC}"/>
    <cellStyle name="40% - Accent3 2 2 7" xfId="2331" xr:uid="{00000000-0005-0000-0000-000028050000}"/>
    <cellStyle name="40% - Accent3 2 2 7 2" xfId="6639" xr:uid="{00000000-0005-0000-0000-000029050000}"/>
    <cellStyle name="40% - Accent3 2 2 7 2 2" xfId="15068" xr:uid="{67D69F0F-177F-44BF-B0EC-D8C60102258F}"/>
    <cellStyle name="40% - Accent3 2 2 7 3" xfId="10850" xr:uid="{52BB6A8C-9961-4855-BA50-2B59E62075C0}"/>
    <cellStyle name="40% - Accent3 2 2 8" xfId="4573" xr:uid="{00000000-0005-0000-0000-00002A050000}"/>
    <cellStyle name="40% - Accent3 2 2 8 2" xfId="13002" xr:uid="{F5751BE9-BE00-45E0-B12F-2A55C95356A2}"/>
    <cellStyle name="40% - Accent3 2 2 9" xfId="8784" xr:uid="{DA736B57-9CDE-43D4-833E-EA06D6FFC94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81F4EC82-84DC-4206-AC3B-262BA5DFDC1B}"/>
    <cellStyle name="40% - Accent3 2 3 2 2 3" xfId="11345" xr:uid="{3D1BBE7D-2401-4E1C-B955-97ACE43B53ED}"/>
    <cellStyle name="40% - Accent3 2 3 2 3" xfId="4989" xr:uid="{00000000-0005-0000-0000-00002F050000}"/>
    <cellStyle name="40% - Accent3 2 3 2 3 2" xfId="13418" xr:uid="{5CD70DC8-1486-42DE-B639-1B093347F66C}"/>
    <cellStyle name="40% - Accent3 2 3 2 4" xfId="9200" xr:uid="{DDBA7B40-975B-4F4A-8BA0-B97AFF05F31A}"/>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BE1B68C5-D22A-43A3-8F81-326902D6DADF}"/>
    <cellStyle name="40% - Accent3 2 3 3 2 3" xfId="11758" xr:uid="{ED77966A-24D7-4E39-A4F2-F171DBC06426}"/>
    <cellStyle name="40% - Accent3 2 3 3 3" xfId="5402" xr:uid="{00000000-0005-0000-0000-000033050000}"/>
    <cellStyle name="40% - Accent3 2 3 3 3 2" xfId="13831" xr:uid="{DABB65A7-0202-4BED-878B-A4300428DDC5}"/>
    <cellStyle name="40% - Accent3 2 3 3 4" xfId="9613" xr:uid="{DF95EFA5-89A2-4C41-8A65-A2B2C7EF4702}"/>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2020A4AC-05E5-4798-BD9E-74C2B58DCED5}"/>
    <cellStyle name="40% - Accent3 2 3 4 2 3" xfId="12171" xr:uid="{E8F7C77D-8F16-4A15-BAD1-80FDFAE7BA16}"/>
    <cellStyle name="40% - Accent3 2 3 4 3" xfId="5815" xr:uid="{00000000-0005-0000-0000-000037050000}"/>
    <cellStyle name="40% - Accent3 2 3 4 3 2" xfId="14244" xr:uid="{B7A233CB-D9C1-4F6F-A925-18EAC94768AD}"/>
    <cellStyle name="40% - Accent3 2 3 4 4" xfId="10026" xr:uid="{C54A5712-47E3-4D39-A93B-5872E9973534}"/>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195F8AEC-EC23-49EB-AB43-627979B5C0BD}"/>
    <cellStyle name="40% - Accent3 2 3 5 2 3" xfId="12584" xr:uid="{A8421297-C026-4AA0-9181-8CE74062AF40}"/>
    <cellStyle name="40% - Accent3 2 3 5 3" xfId="6228" xr:uid="{00000000-0005-0000-0000-00003B050000}"/>
    <cellStyle name="40% - Accent3 2 3 5 3 2" xfId="14657" xr:uid="{EABFF024-CB86-4B3E-86F0-CAD9693B4CA8}"/>
    <cellStyle name="40% - Accent3 2 3 5 4" xfId="10439" xr:uid="{DB14C5C7-5A7B-4024-B2AF-1D19DADDFFB3}"/>
    <cellStyle name="40% - Accent3 2 3 6" xfId="2333" xr:uid="{00000000-0005-0000-0000-00003C050000}"/>
    <cellStyle name="40% - Accent3 2 3 6 2" xfId="6641" xr:uid="{00000000-0005-0000-0000-00003D050000}"/>
    <cellStyle name="40% - Accent3 2 3 6 2 2" xfId="15070" xr:uid="{D53F7CA6-6AAC-4C5D-B231-9D16A51D2904}"/>
    <cellStyle name="40% - Accent3 2 3 6 3" xfId="10852" xr:uid="{39DC6C0D-9CCC-4AD2-AD28-4155059A6195}"/>
    <cellStyle name="40% - Accent3 2 3 7" xfId="4575" xr:uid="{00000000-0005-0000-0000-00003E050000}"/>
    <cellStyle name="40% - Accent3 2 3 7 2" xfId="13004" xr:uid="{AD5C4AEA-73F1-4405-B16A-DD26F5C1FD03}"/>
    <cellStyle name="40% - Accent3 2 3 8" xfId="8786" xr:uid="{E1FAA0C8-C268-4133-9F66-1FAFCB1EB75D}"/>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D2D1B0C1-E998-41F2-A12B-98D75560A801}"/>
    <cellStyle name="40% - Accent3 2 4 2 3" xfId="11342" xr:uid="{A410065A-A9CF-4FC6-8F7F-863747D33431}"/>
    <cellStyle name="40% - Accent3 2 4 3" xfId="4986" xr:uid="{00000000-0005-0000-0000-000042050000}"/>
    <cellStyle name="40% - Accent3 2 4 3 2" xfId="13415" xr:uid="{AB0269FB-8F87-47E9-B269-84C8DCB3BFD4}"/>
    <cellStyle name="40% - Accent3 2 4 4" xfId="9197" xr:uid="{242FF3E2-1D9C-47DC-ADD5-F13575594232}"/>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99AE7AF7-5F04-4E8D-90E0-55FD51E702C1}"/>
    <cellStyle name="40% - Accent3 2 5 2 3" xfId="11755" xr:uid="{20CFFB12-5E2B-4C18-B246-A5DEF2624097}"/>
    <cellStyle name="40% - Accent3 2 5 3" xfId="5399" xr:uid="{00000000-0005-0000-0000-000046050000}"/>
    <cellStyle name="40% - Accent3 2 5 3 2" xfId="13828" xr:uid="{72A3D965-A65C-447A-A99E-B10549B1FA75}"/>
    <cellStyle name="40% - Accent3 2 5 4" xfId="9610" xr:uid="{5D490740-45FF-4FC5-98DD-EB59707090BB}"/>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04497544-7E64-42F1-91D9-2E4B4BF48F01}"/>
    <cellStyle name="40% - Accent3 2 6 2 3" xfId="12168" xr:uid="{9F8A47AA-B0D6-4908-886D-9FFDC5643D2A}"/>
    <cellStyle name="40% - Accent3 2 6 3" xfId="5812" xr:uid="{00000000-0005-0000-0000-00004A050000}"/>
    <cellStyle name="40% - Accent3 2 6 3 2" xfId="14241" xr:uid="{F55F97CE-CA92-4FB4-A0E9-5A95B6801D81}"/>
    <cellStyle name="40% - Accent3 2 6 4" xfId="10023" xr:uid="{0C5817DB-8CCB-4129-8A19-317E4BC71F62}"/>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9E9E57D2-8488-4CCF-9F38-F5CE664AD8E5}"/>
    <cellStyle name="40% - Accent3 2 7 2 3" xfId="12581" xr:uid="{B338246F-8ED0-455F-91D9-51FCA1C10F79}"/>
    <cellStyle name="40% - Accent3 2 7 3" xfId="6225" xr:uid="{00000000-0005-0000-0000-00004E050000}"/>
    <cellStyle name="40% - Accent3 2 7 3 2" xfId="14654" xr:uid="{F064EE10-F90F-401D-A6CB-1E6F0FB5F25A}"/>
    <cellStyle name="40% - Accent3 2 7 4" xfId="10436" xr:uid="{36E2C216-09B6-4C7C-8222-20C32C475CE0}"/>
    <cellStyle name="40% - Accent3 2 8" xfId="2330" xr:uid="{00000000-0005-0000-0000-00004F050000}"/>
    <cellStyle name="40% - Accent3 2 8 2" xfId="6638" xr:uid="{00000000-0005-0000-0000-000050050000}"/>
    <cellStyle name="40% - Accent3 2 8 2 2" xfId="15067" xr:uid="{1D433199-E4EE-4C7E-B913-E04F9B6FB03E}"/>
    <cellStyle name="40% - Accent3 2 8 3" xfId="10849" xr:uid="{35694D83-BB7A-4EDC-BB3F-22820F6DD647}"/>
    <cellStyle name="40% - Accent3 2 9" xfId="4572" xr:uid="{00000000-0005-0000-0000-000051050000}"/>
    <cellStyle name="40% - Accent3 2 9 2" xfId="13001" xr:uid="{8E2DA1DC-88D4-4222-9643-A6A2B8BBFED2}"/>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7FCF5390-C40B-4E61-ACFE-A95672C2A63E}"/>
    <cellStyle name="40% - Accent3 3 2 2 2 3" xfId="11347" xr:uid="{364DB241-E82C-47A3-8806-3B941D5771AB}"/>
    <cellStyle name="40% - Accent3 3 2 2 3" xfId="4991" xr:uid="{00000000-0005-0000-0000-000057050000}"/>
    <cellStyle name="40% - Accent3 3 2 2 3 2" xfId="13420" xr:uid="{88C75873-043A-43BE-BFB1-4F5E3A36EC60}"/>
    <cellStyle name="40% - Accent3 3 2 2 4" xfId="9202" xr:uid="{A904ED14-4903-4DAE-B845-715FCF5194D4}"/>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B283D6AF-3A01-40FA-A4E1-3DF9E73A7BF6}"/>
    <cellStyle name="40% - Accent3 3 2 3 2 3" xfId="11760" xr:uid="{95AF8B37-E376-4572-8248-F37DE1D4F061}"/>
    <cellStyle name="40% - Accent3 3 2 3 3" xfId="5404" xr:uid="{00000000-0005-0000-0000-00005B050000}"/>
    <cellStyle name="40% - Accent3 3 2 3 3 2" xfId="13833" xr:uid="{DBB17076-99E6-4471-A870-B2D6BD62FF41}"/>
    <cellStyle name="40% - Accent3 3 2 3 4" xfId="9615" xr:uid="{BAC2F2CB-9092-4892-AE1F-8FEAFC646BA6}"/>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5492EBF8-3B2C-4D47-A62F-2127FDCD1639}"/>
    <cellStyle name="40% - Accent3 3 2 4 2 3" xfId="12173" xr:uid="{C6621DCE-4296-4E2D-B382-A19CDC495729}"/>
    <cellStyle name="40% - Accent3 3 2 4 3" xfId="5817" xr:uid="{00000000-0005-0000-0000-00005F050000}"/>
    <cellStyle name="40% - Accent3 3 2 4 3 2" xfId="14246" xr:uid="{CFB20E40-D094-46C6-96CF-A3D927A905B4}"/>
    <cellStyle name="40% - Accent3 3 2 4 4" xfId="10028" xr:uid="{082892D8-E484-4F47-830A-503EBF8A13FD}"/>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43BCEBA9-A8DD-4B9C-B587-41847C1C1501}"/>
    <cellStyle name="40% - Accent3 3 2 5 2 3" xfId="12586" xr:uid="{6B011664-7EA3-495E-9D78-364AADD4AAE4}"/>
    <cellStyle name="40% - Accent3 3 2 5 3" xfId="6230" xr:uid="{00000000-0005-0000-0000-000063050000}"/>
    <cellStyle name="40% - Accent3 3 2 5 3 2" xfId="14659" xr:uid="{18B1A473-850F-4E2F-8F4C-7465D054914F}"/>
    <cellStyle name="40% - Accent3 3 2 5 4" xfId="10441" xr:uid="{799C45AA-ACF8-4A5C-9E51-521C84834B5B}"/>
    <cellStyle name="40% - Accent3 3 2 6" xfId="2335" xr:uid="{00000000-0005-0000-0000-000064050000}"/>
    <cellStyle name="40% - Accent3 3 2 6 2" xfId="6643" xr:uid="{00000000-0005-0000-0000-000065050000}"/>
    <cellStyle name="40% - Accent3 3 2 6 2 2" xfId="15072" xr:uid="{2A8FA94B-519B-4813-B497-F5D7B485C149}"/>
    <cellStyle name="40% - Accent3 3 2 6 3" xfId="10854" xr:uid="{78E839A9-555A-4A0B-8D6F-17B6D22D8400}"/>
    <cellStyle name="40% - Accent3 3 2 7" xfId="4577" xr:uid="{00000000-0005-0000-0000-000066050000}"/>
    <cellStyle name="40% - Accent3 3 2 7 2" xfId="13006" xr:uid="{043A0BE4-9AAE-4E06-AC2F-6C345DBC4204}"/>
    <cellStyle name="40% - Accent3 3 2 8" xfId="8788" xr:uid="{E2AFB18A-AD4F-4C17-A62E-75FD59B860E4}"/>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456BC25C-0FF7-4B69-94EF-6E5D416A17AE}"/>
    <cellStyle name="40% - Accent3 3 3 2 3" xfId="11346" xr:uid="{B64FA63C-8A45-4DB5-AFDE-64700AEFAF74}"/>
    <cellStyle name="40% - Accent3 3 3 3" xfId="4990" xr:uid="{00000000-0005-0000-0000-00006A050000}"/>
    <cellStyle name="40% - Accent3 3 3 3 2" xfId="13419" xr:uid="{1A641854-D513-44A7-A34C-F2290D3A7E26}"/>
    <cellStyle name="40% - Accent3 3 3 4" xfId="9201" xr:uid="{D7E0E368-F605-407B-97E3-80E570B1A5BA}"/>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56C7B7B7-B47F-40C3-9D87-0FED38095883}"/>
    <cellStyle name="40% - Accent3 3 4 2 3" xfId="11759" xr:uid="{081C4AE0-AAC5-45FC-89F0-10362F5284A5}"/>
    <cellStyle name="40% - Accent3 3 4 3" xfId="5403" xr:uid="{00000000-0005-0000-0000-00006E050000}"/>
    <cellStyle name="40% - Accent3 3 4 3 2" xfId="13832" xr:uid="{E303E740-B736-4C76-A8C8-5337EF6C9BC3}"/>
    <cellStyle name="40% - Accent3 3 4 4" xfId="9614" xr:uid="{CC0603C8-6711-4205-9009-C05470A3D05C}"/>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62026C24-3278-4035-993B-83E95C4F817D}"/>
    <cellStyle name="40% - Accent3 3 5 2 3" xfId="12172" xr:uid="{5F450FEE-34F6-4478-A0EF-79C08BED6D2A}"/>
    <cellStyle name="40% - Accent3 3 5 3" xfId="5816" xr:uid="{00000000-0005-0000-0000-000072050000}"/>
    <cellStyle name="40% - Accent3 3 5 3 2" xfId="14245" xr:uid="{3806E9D0-34FC-4FBA-9604-91420147BD9A}"/>
    <cellStyle name="40% - Accent3 3 5 4" xfId="10027" xr:uid="{C1A30BB3-9408-4624-BF88-E42ADAAC8882}"/>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71AC5141-CE92-4D5C-BFED-0363C541AF64}"/>
    <cellStyle name="40% - Accent3 3 6 2 3" xfId="12585" xr:uid="{9BCB2EE4-C1F3-4F32-8A91-C034DD0D58CE}"/>
    <cellStyle name="40% - Accent3 3 6 3" xfId="6229" xr:uid="{00000000-0005-0000-0000-000076050000}"/>
    <cellStyle name="40% - Accent3 3 6 3 2" xfId="14658" xr:uid="{44022FA7-657D-46D2-8319-DF28D22D5D1B}"/>
    <cellStyle name="40% - Accent3 3 6 4" xfId="10440" xr:uid="{4A6597C1-8799-4248-B81B-7EBD0B3C6925}"/>
    <cellStyle name="40% - Accent3 3 7" xfId="2334" xr:uid="{00000000-0005-0000-0000-000077050000}"/>
    <cellStyle name="40% - Accent3 3 7 2" xfId="6642" xr:uid="{00000000-0005-0000-0000-000078050000}"/>
    <cellStyle name="40% - Accent3 3 7 2 2" xfId="15071" xr:uid="{D0C51766-D427-49B3-93C4-E974A85D7DF0}"/>
    <cellStyle name="40% - Accent3 3 7 3" xfId="10853" xr:uid="{77C69282-E3E2-4B8A-9935-64EAD1128CA1}"/>
    <cellStyle name="40% - Accent3 3 8" xfId="4576" xr:uid="{00000000-0005-0000-0000-000079050000}"/>
    <cellStyle name="40% - Accent3 3 8 2" xfId="13005" xr:uid="{92CB84C3-624C-4ACF-885D-FFCEA424B227}"/>
    <cellStyle name="40% - Accent3 3 9" xfId="8787" xr:uid="{47BCE025-6DDA-40C8-9E6A-5D94AC1A562B}"/>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2C6E4B31-7200-462F-9CCE-CE14DFF9D2D4}"/>
    <cellStyle name="40% - Accent3 4 2 2 3" xfId="11348" xr:uid="{F9DAA65A-A9BD-4B8B-8BEB-67D592056A22}"/>
    <cellStyle name="40% - Accent3 4 2 3" xfId="4992" xr:uid="{00000000-0005-0000-0000-00007E050000}"/>
    <cellStyle name="40% - Accent3 4 2 3 2" xfId="13421" xr:uid="{123A7115-8D90-4728-A5DA-753E88E79D54}"/>
    <cellStyle name="40% - Accent3 4 2 4" xfId="9203" xr:uid="{7BC2440C-187A-44FA-BFB8-3500469BE5F0}"/>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B756DE1B-F95E-424F-92C0-7C9AEB18D403}"/>
    <cellStyle name="40% - Accent3 4 3 2 3" xfId="11761" xr:uid="{A158B084-AD9B-409F-BA09-48B5CE572F83}"/>
    <cellStyle name="40% - Accent3 4 3 3" xfId="5405" xr:uid="{00000000-0005-0000-0000-000082050000}"/>
    <cellStyle name="40% - Accent3 4 3 3 2" xfId="13834" xr:uid="{007F31AF-C880-4C7B-A831-AF2055824A7A}"/>
    <cellStyle name="40% - Accent3 4 3 4" xfId="9616" xr:uid="{AA3D5B9D-FC5E-43D3-976D-2328EEBA49A0}"/>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0EC449C3-4F06-41A8-8CCD-A508CB08612B}"/>
    <cellStyle name="40% - Accent3 4 4 2 3" xfId="12174" xr:uid="{CF9D0548-121D-480F-9982-0EC8125C4105}"/>
    <cellStyle name="40% - Accent3 4 4 3" xfId="5818" xr:uid="{00000000-0005-0000-0000-000086050000}"/>
    <cellStyle name="40% - Accent3 4 4 3 2" xfId="14247" xr:uid="{B4E8AA26-3C0E-4BF7-9DDE-06C247FC3952}"/>
    <cellStyle name="40% - Accent3 4 4 4" xfId="10029" xr:uid="{59608B45-17A0-459C-9EA8-96B63A32FB1D}"/>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A8EF8564-2764-45CF-8683-BE2710B45245}"/>
    <cellStyle name="40% - Accent3 4 5 2 3" xfId="12587" xr:uid="{D28DADBB-C360-48E7-82A6-54AA7FAFA447}"/>
    <cellStyle name="40% - Accent3 4 5 3" xfId="6231" xr:uid="{00000000-0005-0000-0000-00008A050000}"/>
    <cellStyle name="40% - Accent3 4 5 3 2" xfId="14660" xr:uid="{81ADC450-6ACF-41BA-8764-713E00A687D7}"/>
    <cellStyle name="40% - Accent3 4 5 4" xfId="10442" xr:uid="{136C3E6A-0003-4AEA-A4ED-91FD27D18934}"/>
    <cellStyle name="40% - Accent3 4 6" xfId="2336" xr:uid="{00000000-0005-0000-0000-00008B050000}"/>
    <cellStyle name="40% - Accent3 4 6 2" xfId="6644" xr:uid="{00000000-0005-0000-0000-00008C050000}"/>
    <cellStyle name="40% - Accent3 4 6 2 2" xfId="15073" xr:uid="{9DD4CC4C-8F2E-4B8C-B721-4744DF1B7FC0}"/>
    <cellStyle name="40% - Accent3 4 6 3" xfId="10855" xr:uid="{5795558C-4044-4B48-9551-E26BB1E82C64}"/>
    <cellStyle name="40% - Accent3 4 7" xfId="4578" xr:uid="{00000000-0005-0000-0000-00008D050000}"/>
    <cellStyle name="40% - Accent3 4 7 2" xfId="13007" xr:uid="{FC91B174-DEF7-47AE-8AFE-3400DB62A6BE}"/>
    <cellStyle name="40% - Accent3 4 8" xfId="8789" xr:uid="{7A3FE4E2-4B7C-4E9E-BA80-9FC019E1A43A}"/>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3C922A2E-65BA-4012-8781-65AFB18F0D05}"/>
    <cellStyle name="40% - Accent3 5 2 3" xfId="11341" xr:uid="{83645EC6-5D97-462F-A606-94EC412FB834}"/>
    <cellStyle name="40% - Accent3 5 3" xfId="4985" xr:uid="{00000000-0005-0000-0000-000091050000}"/>
    <cellStyle name="40% - Accent3 5 3 2" xfId="13414" xr:uid="{9E326B21-B988-4855-AF16-91B91D8B30F6}"/>
    <cellStyle name="40% - Accent3 5 4" xfId="9196" xr:uid="{6F89361E-1646-4BA3-8130-C63888F76551}"/>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97D731E8-D999-4EB9-8EAF-FDB0C512CF01}"/>
    <cellStyle name="40% - Accent3 6 2 3" xfId="11754" xr:uid="{316158E5-0095-4836-9E54-BC3E6DC657DD}"/>
    <cellStyle name="40% - Accent3 6 3" xfId="5398" xr:uid="{00000000-0005-0000-0000-000095050000}"/>
    <cellStyle name="40% - Accent3 6 3 2" xfId="13827" xr:uid="{838D73DA-82B0-4694-8B67-14E6832D9920}"/>
    <cellStyle name="40% - Accent3 6 4" xfId="9609" xr:uid="{6A1A8C87-FC48-4E39-95EE-3410A8AE309B}"/>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D23E30EB-5F24-453B-8480-6BA0CDA83D44}"/>
    <cellStyle name="40% - Accent3 7 2 3" xfId="12167" xr:uid="{7D712144-5C98-4765-8CC8-F5A85D48F074}"/>
    <cellStyle name="40% - Accent3 7 3" xfId="5811" xr:uid="{00000000-0005-0000-0000-000099050000}"/>
    <cellStyle name="40% - Accent3 7 3 2" xfId="14240" xr:uid="{81C333B6-0CB2-4FE7-8FA2-3A77052985AD}"/>
    <cellStyle name="40% - Accent3 7 4" xfId="10022" xr:uid="{DC62B2E8-5A32-46C5-BBDD-B709B1B07F5D}"/>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941434F3-4E99-4E3E-ABDC-7D52B82F52E9}"/>
    <cellStyle name="40% - Accent3 8 2 3" xfId="12580" xr:uid="{F7A1A89E-AFC9-43F0-ADFF-A641E6F7BF42}"/>
    <cellStyle name="40% - Accent3 8 3" xfId="6224" xr:uid="{00000000-0005-0000-0000-00009D050000}"/>
    <cellStyle name="40% - Accent3 8 3 2" xfId="14653" xr:uid="{9B5B16C8-2EA8-4AA2-B9A6-290EC342BA05}"/>
    <cellStyle name="40% - Accent3 8 4" xfId="10435" xr:uid="{AFE53D3A-8B73-412A-AA6E-38272A7774E1}"/>
    <cellStyle name="40% - Accent3 9" xfId="2329" xr:uid="{00000000-0005-0000-0000-00009E050000}"/>
    <cellStyle name="40% - Accent3 9 2" xfId="6637" xr:uid="{00000000-0005-0000-0000-00009F050000}"/>
    <cellStyle name="40% - Accent3 9 2 2" xfId="15066" xr:uid="{98C07D3D-3E46-4B33-A071-F59F9E82680D}"/>
    <cellStyle name="40% - Accent3 9 3" xfId="10848" xr:uid="{AB90E662-3577-44BA-9F64-02E31AFC2350}"/>
    <cellStyle name="40% - Accent4" xfId="73" builtinId="43" customBuiltin="1"/>
    <cellStyle name="40% - Accent4 10" xfId="4579" xr:uid="{00000000-0005-0000-0000-0000A1050000}"/>
    <cellStyle name="40% - Accent4 10 2" xfId="13008" xr:uid="{BE4A941E-BDD6-4DD1-A430-BE900D30AD7C}"/>
    <cellStyle name="40% - Accent4 11" xfId="8790" xr:uid="{79BC1EC2-E364-4DC8-9546-21099556D96A}"/>
    <cellStyle name="40% - Accent4 2" xfId="74" xr:uid="{00000000-0005-0000-0000-0000A2050000}"/>
    <cellStyle name="40% - Accent4 2 10" xfId="8791" xr:uid="{66139723-C881-43D4-B816-1937881E7EF8}"/>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697857A7-304D-4B70-B00B-6CF811766EBE}"/>
    <cellStyle name="40% - Accent4 2 2 2 2 2 3" xfId="11352" xr:uid="{CB038B92-A1D4-4C64-85C9-F7EB7C30BD60}"/>
    <cellStyle name="40% - Accent4 2 2 2 2 3" xfId="4996" xr:uid="{00000000-0005-0000-0000-0000A8050000}"/>
    <cellStyle name="40% - Accent4 2 2 2 2 3 2" xfId="13425" xr:uid="{1F3E6044-1387-4761-AC2B-2C31C94BB22F}"/>
    <cellStyle name="40% - Accent4 2 2 2 2 4" xfId="9207" xr:uid="{49FEA2CC-BE51-4002-A083-2A768280A935}"/>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EBEE8528-7111-41D6-A181-9011E97BD5FF}"/>
    <cellStyle name="40% - Accent4 2 2 2 3 2 3" xfId="11765" xr:uid="{0C83119C-F98F-45D0-935C-6931F821F35E}"/>
    <cellStyle name="40% - Accent4 2 2 2 3 3" xfId="5409" xr:uid="{00000000-0005-0000-0000-0000AC050000}"/>
    <cellStyle name="40% - Accent4 2 2 2 3 3 2" xfId="13838" xr:uid="{CEC726E9-76BC-488D-A17E-02D039A1FEFE}"/>
    <cellStyle name="40% - Accent4 2 2 2 3 4" xfId="9620" xr:uid="{7991E6E2-4C95-437C-90F3-5DB421DEA7B7}"/>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59D7B47B-D141-4F7B-B9FF-67E6A702DF5C}"/>
    <cellStyle name="40% - Accent4 2 2 2 4 2 3" xfId="12178" xr:uid="{B1BD2DE3-9775-407D-8011-5A8A53EC3765}"/>
    <cellStyle name="40% - Accent4 2 2 2 4 3" xfId="5822" xr:uid="{00000000-0005-0000-0000-0000B0050000}"/>
    <cellStyle name="40% - Accent4 2 2 2 4 3 2" xfId="14251" xr:uid="{2D30E9B8-A397-407F-BB34-C48081A4BE1E}"/>
    <cellStyle name="40% - Accent4 2 2 2 4 4" xfId="10033" xr:uid="{BD2C77F6-9063-4B7E-89DC-1A169E33A9AF}"/>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1F2D362E-05D3-477E-B3DC-7122A64A909E}"/>
    <cellStyle name="40% - Accent4 2 2 2 5 2 3" xfId="12591" xr:uid="{EBAA955F-91E0-4198-A470-F7AF87B9A178}"/>
    <cellStyle name="40% - Accent4 2 2 2 5 3" xfId="6235" xr:uid="{00000000-0005-0000-0000-0000B4050000}"/>
    <cellStyle name="40% - Accent4 2 2 2 5 3 2" xfId="14664" xr:uid="{8433B224-C3AC-4AB7-A58E-80156E4FFDC7}"/>
    <cellStyle name="40% - Accent4 2 2 2 5 4" xfId="10446" xr:uid="{A01FC463-ED1A-45DE-BEEA-E6D6474FB396}"/>
    <cellStyle name="40% - Accent4 2 2 2 6" xfId="2340" xr:uid="{00000000-0005-0000-0000-0000B5050000}"/>
    <cellStyle name="40% - Accent4 2 2 2 6 2" xfId="6648" xr:uid="{00000000-0005-0000-0000-0000B6050000}"/>
    <cellStyle name="40% - Accent4 2 2 2 6 2 2" xfId="15077" xr:uid="{9B16DF76-530D-4206-8589-03A1F35B03E5}"/>
    <cellStyle name="40% - Accent4 2 2 2 6 3" xfId="10859" xr:uid="{C55CFCDD-17B9-4D9E-9670-33A8E12D88A7}"/>
    <cellStyle name="40% - Accent4 2 2 2 7" xfId="4582" xr:uid="{00000000-0005-0000-0000-0000B7050000}"/>
    <cellStyle name="40% - Accent4 2 2 2 7 2" xfId="13011" xr:uid="{DFF5D87E-0F6E-47F6-AB3D-C036BDFB0149}"/>
    <cellStyle name="40% - Accent4 2 2 2 8" xfId="8793" xr:uid="{A928E21C-B635-4682-8FAC-15D1114819AA}"/>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C4BEE979-4FEC-4359-9E2B-1CA5FC9D127A}"/>
    <cellStyle name="40% - Accent4 2 2 3 2 3" xfId="11351" xr:uid="{C02F81AC-9AAE-4E79-A199-62980AF9E953}"/>
    <cellStyle name="40% - Accent4 2 2 3 3" xfId="4995" xr:uid="{00000000-0005-0000-0000-0000BB050000}"/>
    <cellStyle name="40% - Accent4 2 2 3 3 2" xfId="13424" xr:uid="{470C97DA-4993-42F3-9783-B84FBC1ECEE9}"/>
    <cellStyle name="40% - Accent4 2 2 3 4" xfId="9206" xr:uid="{ED236303-3764-48FA-9575-4A41291C276C}"/>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1E64BF0C-B807-478E-9293-C45BFD95D2C1}"/>
    <cellStyle name="40% - Accent4 2 2 4 2 3" xfId="11764" xr:uid="{41D0C9E8-CAC3-4E48-A92C-4A74B1CD08B1}"/>
    <cellStyle name="40% - Accent4 2 2 4 3" xfId="5408" xr:uid="{00000000-0005-0000-0000-0000BF050000}"/>
    <cellStyle name="40% - Accent4 2 2 4 3 2" xfId="13837" xr:uid="{8B4688BD-F16C-45A2-BFE6-FEC34132644A}"/>
    <cellStyle name="40% - Accent4 2 2 4 4" xfId="9619" xr:uid="{084F4378-CB52-47C5-9EF5-31EC8AF3D384}"/>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D197D77E-3B40-4102-BCD6-703E84F0C859}"/>
    <cellStyle name="40% - Accent4 2 2 5 2 3" xfId="12177" xr:uid="{2424E985-347A-48BB-A2C2-87C85456DA2C}"/>
    <cellStyle name="40% - Accent4 2 2 5 3" xfId="5821" xr:uid="{00000000-0005-0000-0000-0000C3050000}"/>
    <cellStyle name="40% - Accent4 2 2 5 3 2" xfId="14250" xr:uid="{762BDF70-9281-47BC-9B99-B3124E1A1E53}"/>
    <cellStyle name="40% - Accent4 2 2 5 4" xfId="10032" xr:uid="{ADE0B8E5-F27D-493F-8F3D-A2628716FF0C}"/>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F17E210A-F6B8-456B-A1BB-CBEC4D5B62B6}"/>
    <cellStyle name="40% - Accent4 2 2 6 2 3" xfId="12590" xr:uid="{7CBCAC6A-6CA8-4413-B4EC-5B9C076671D4}"/>
    <cellStyle name="40% - Accent4 2 2 6 3" xfId="6234" xr:uid="{00000000-0005-0000-0000-0000C7050000}"/>
    <cellStyle name="40% - Accent4 2 2 6 3 2" xfId="14663" xr:uid="{8752FCB1-394E-46D8-8E03-064A007F0B55}"/>
    <cellStyle name="40% - Accent4 2 2 6 4" xfId="10445" xr:uid="{6B5BE19C-FACB-4EFE-9BF9-2FF957974F71}"/>
    <cellStyle name="40% - Accent4 2 2 7" xfId="2339" xr:uid="{00000000-0005-0000-0000-0000C8050000}"/>
    <cellStyle name="40% - Accent4 2 2 7 2" xfId="6647" xr:uid="{00000000-0005-0000-0000-0000C9050000}"/>
    <cellStyle name="40% - Accent4 2 2 7 2 2" xfId="15076" xr:uid="{B2D708A1-88C2-4C75-9E81-CB323D0EE449}"/>
    <cellStyle name="40% - Accent4 2 2 7 3" xfId="10858" xr:uid="{6EB96A24-CEC0-4C47-884B-E1FB93EA9BF9}"/>
    <cellStyle name="40% - Accent4 2 2 8" xfId="4581" xr:uid="{00000000-0005-0000-0000-0000CA050000}"/>
    <cellStyle name="40% - Accent4 2 2 8 2" xfId="13010" xr:uid="{ABE5D936-D991-4BBF-B84E-4A069F5D32B7}"/>
    <cellStyle name="40% - Accent4 2 2 9" xfId="8792" xr:uid="{B65299B0-3FCF-40D3-A9F8-D9CCEDD3D1F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8F76F2BB-6E5F-45D9-A10F-68F651AED4A0}"/>
    <cellStyle name="40% - Accent4 2 3 2 2 3" xfId="11353" xr:uid="{259CD2EA-7BB8-495A-9A09-9CED1F52FD14}"/>
    <cellStyle name="40% - Accent4 2 3 2 3" xfId="4997" xr:uid="{00000000-0005-0000-0000-0000CF050000}"/>
    <cellStyle name="40% - Accent4 2 3 2 3 2" xfId="13426" xr:uid="{894D8EC3-97F8-4CDA-8637-EE421E82FEF5}"/>
    <cellStyle name="40% - Accent4 2 3 2 4" xfId="9208" xr:uid="{7B21CAEB-B809-4C6D-AC13-7358CCDA334A}"/>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E507CB22-37BD-43D3-B75A-D9230DF153A0}"/>
    <cellStyle name="40% - Accent4 2 3 3 2 3" xfId="11766" xr:uid="{C89ABEAC-79B8-40A0-A049-27335A6DB86A}"/>
    <cellStyle name="40% - Accent4 2 3 3 3" xfId="5410" xr:uid="{00000000-0005-0000-0000-0000D3050000}"/>
    <cellStyle name="40% - Accent4 2 3 3 3 2" xfId="13839" xr:uid="{8E81FE21-B68A-406D-8713-9AFEA6BD3AF6}"/>
    <cellStyle name="40% - Accent4 2 3 3 4" xfId="9621" xr:uid="{199FA5C8-CCFC-4DED-B7CE-F467C3B42FC5}"/>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20D9C3A1-4AAC-470D-A0D8-F6D7EC9F7A72}"/>
    <cellStyle name="40% - Accent4 2 3 4 2 3" xfId="12179" xr:uid="{B111515E-4022-44F4-BEE7-D25F0F0A2FEB}"/>
    <cellStyle name="40% - Accent4 2 3 4 3" xfId="5823" xr:uid="{00000000-0005-0000-0000-0000D7050000}"/>
    <cellStyle name="40% - Accent4 2 3 4 3 2" xfId="14252" xr:uid="{20E49C79-85CE-4B0F-9E11-5F30CCE345A7}"/>
    <cellStyle name="40% - Accent4 2 3 4 4" xfId="10034" xr:uid="{0A5578FB-B916-48E0-B147-AD2320ED17F8}"/>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5EAA7BC7-229A-4653-828A-D45AA1D16CA5}"/>
    <cellStyle name="40% - Accent4 2 3 5 2 3" xfId="12592" xr:uid="{5C727DA9-23B4-418E-915E-8D4A28AEBEC6}"/>
    <cellStyle name="40% - Accent4 2 3 5 3" xfId="6236" xr:uid="{00000000-0005-0000-0000-0000DB050000}"/>
    <cellStyle name="40% - Accent4 2 3 5 3 2" xfId="14665" xr:uid="{4F29DBBE-48C3-458A-A42E-C815DF5ACF71}"/>
    <cellStyle name="40% - Accent4 2 3 5 4" xfId="10447" xr:uid="{14839413-B8FD-41C4-B2A7-CD2258D43FDE}"/>
    <cellStyle name="40% - Accent4 2 3 6" xfId="2341" xr:uid="{00000000-0005-0000-0000-0000DC050000}"/>
    <cellStyle name="40% - Accent4 2 3 6 2" xfId="6649" xr:uid="{00000000-0005-0000-0000-0000DD050000}"/>
    <cellStyle name="40% - Accent4 2 3 6 2 2" xfId="15078" xr:uid="{F2138B8B-C868-4314-B2B7-8D85F6264D00}"/>
    <cellStyle name="40% - Accent4 2 3 6 3" xfId="10860" xr:uid="{0F64B988-D52D-4F00-9E51-D4B04C713E45}"/>
    <cellStyle name="40% - Accent4 2 3 7" xfId="4583" xr:uid="{00000000-0005-0000-0000-0000DE050000}"/>
    <cellStyle name="40% - Accent4 2 3 7 2" xfId="13012" xr:uid="{938C5EB8-DD7E-4DB0-93BF-50D0FABD5D70}"/>
    <cellStyle name="40% - Accent4 2 3 8" xfId="8794" xr:uid="{20E6D655-FB15-4108-8CCF-3EC7D4778318}"/>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900EF358-C493-40B2-B7EF-8D16091B71CD}"/>
    <cellStyle name="40% - Accent4 2 4 2 3" xfId="11350" xr:uid="{46CC8FC0-5A7E-445C-BF0A-DF2688C4A64E}"/>
    <cellStyle name="40% - Accent4 2 4 3" xfId="4994" xr:uid="{00000000-0005-0000-0000-0000E2050000}"/>
    <cellStyle name="40% - Accent4 2 4 3 2" xfId="13423" xr:uid="{633BCC85-9002-49DE-B552-99B19AE004C2}"/>
    <cellStyle name="40% - Accent4 2 4 4" xfId="9205" xr:uid="{EE2F877D-976A-4115-9F93-745C548B5B76}"/>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CE1C3FBB-3C94-4C64-A976-6DA0BF6AE191}"/>
    <cellStyle name="40% - Accent4 2 5 2 3" xfId="11763" xr:uid="{8D631410-A4AE-43F1-881E-AC394E991276}"/>
    <cellStyle name="40% - Accent4 2 5 3" xfId="5407" xr:uid="{00000000-0005-0000-0000-0000E6050000}"/>
    <cellStyle name="40% - Accent4 2 5 3 2" xfId="13836" xr:uid="{3EC6029D-2BA8-4954-94FF-C1BF416370A6}"/>
    <cellStyle name="40% - Accent4 2 5 4" xfId="9618" xr:uid="{9A88750B-A906-4E21-BBF3-0605468CA451}"/>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DB4D7151-90AD-46E7-8B63-29000C90B9C3}"/>
    <cellStyle name="40% - Accent4 2 6 2 3" xfId="12176" xr:uid="{AAB3CC83-4872-4333-B2A0-E7202CECF36E}"/>
    <cellStyle name="40% - Accent4 2 6 3" xfId="5820" xr:uid="{00000000-0005-0000-0000-0000EA050000}"/>
    <cellStyle name="40% - Accent4 2 6 3 2" xfId="14249" xr:uid="{B3D3B113-7E30-45EA-8B01-1137A63C3605}"/>
    <cellStyle name="40% - Accent4 2 6 4" xfId="10031" xr:uid="{3FAF6BBA-9CE2-4D25-B04D-2F9C25A4193B}"/>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CC596484-F257-4388-97E1-D333AD5A21BB}"/>
    <cellStyle name="40% - Accent4 2 7 2 3" xfId="12589" xr:uid="{8B2CB99A-BB50-4058-A5CC-06479FA0333F}"/>
    <cellStyle name="40% - Accent4 2 7 3" xfId="6233" xr:uid="{00000000-0005-0000-0000-0000EE050000}"/>
    <cellStyle name="40% - Accent4 2 7 3 2" xfId="14662" xr:uid="{7CD932BD-1086-48FF-A46D-D91C06637938}"/>
    <cellStyle name="40% - Accent4 2 7 4" xfId="10444" xr:uid="{0E0B7D2F-D097-4506-8F20-F7A49DB63A55}"/>
    <cellStyle name="40% - Accent4 2 8" xfId="2338" xr:uid="{00000000-0005-0000-0000-0000EF050000}"/>
    <cellStyle name="40% - Accent4 2 8 2" xfId="6646" xr:uid="{00000000-0005-0000-0000-0000F0050000}"/>
    <cellStyle name="40% - Accent4 2 8 2 2" xfId="15075" xr:uid="{7374A1A8-607E-4D7F-BD94-88321FBF38E3}"/>
    <cellStyle name="40% - Accent4 2 8 3" xfId="10857" xr:uid="{8137E19C-96E5-48C8-B482-2C611531CE83}"/>
    <cellStyle name="40% - Accent4 2 9" xfId="4580" xr:uid="{00000000-0005-0000-0000-0000F1050000}"/>
    <cellStyle name="40% - Accent4 2 9 2" xfId="13009" xr:uid="{92D0F6C0-64AA-49BB-8DF9-463F450120CA}"/>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A3149BAB-8E89-4196-B439-A285462CF405}"/>
    <cellStyle name="40% - Accent4 3 2 2 2 3" xfId="11355" xr:uid="{7820F827-D92B-4720-AA31-6DF3323127E2}"/>
    <cellStyle name="40% - Accent4 3 2 2 3" xfId="4999" xr:uid="{00000000-0005-0000-0000-0000F7050000}"/>
    <cellStyle name="40% - Accent4 3 2 2 3 2" xfId="13428" xr:uid="{A9C524E8-35FF-4698-92DF-6B76A1A31030}"/>
    <cellStyle name="40% - Accent4 3 2 2 4" xfId="9210" xr:uid="{25BBCB0C-4BD5-40C8-A052-0CFDE8984C9E}"/>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EE0EA7A1-426D-452D-B5AE-89A848D848A3}"/>
    <cellStyle name="40% - Accent4 3 2 3 2 3" xfId="11768" xr:uid="{9322DD9F-1BC8-419F-9308-A3EC1D8E2B9E}"/>
    <cellStyle name="40% - Accent4 3 2 3 3" xfId="5412" xr:uid="{00000000-0005-0000-0000-0000FB050000}"/>
    <cellStyle name="40% - Accent4 3 2 3 3 2" xfId="13841" xr:uid="{FB77C86A-E3AD-4B86-AACC-FB04CA68044A}"/>
    <cellStyle name="40% - Accent4 3 2 3 4" xfId="9623" xr:uid="{819700E2-ECEE-483F-8F48-267E4AC7B187}"/>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321143DB-DCFD-49EC-85EA-A166D030ADA4}"/>
    <cellStyle name="40% - Accent4 3 2 4 2 3" xfId="12181" xr:uid="{D27E8A5D-F083-49BE-85EC-1A79E8A7C166}"/>
    <cellStyle name="40% - Accent4 3 2 4 3" xfId="5825" xr:uid="{00000000-0005-0000-0000-0000FF050000}"/>
    <cellStyle name="40% - Accent4 3 2 4 3 2" xfId="14254" xr:uid="{CD00FA5E-DB38-4BB2-B4B2-2CFE7668133F}"/>
    <cellStyle name="40% - Accent4 3 2 4 4" xfId="10036" xr:uid="{A6C3E4FA-DBB5-40DF-A070-247D48D63424}"/>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C2D9578B-D08B-4CDD-B277-4A2FF186F6D9}"/>
    <cellStyle name="40% - Accent4 3 2 5 2 3" xfId="12594" xr:uid="{C0E6AD3E-EF9C-4110-AB56-79F099A517C8}"/>
    <cellStyle name="40% - Accent4 3 2 5 3" xfId="6238" xr:uid="{00000000-0005-0000-0000-000003060000}"/>
    <cellStyle name="40% - Accent4 3 2 5 3 2" xfId="14667" xr:uid="{8422598A-15B6-4568-92A4-720C04D40587}"/>
    <cellStyle name="40% - Accent4 3 2 5 4" xfId="10449" xr:uid="{ECECAFB6-6EF2-490C-A2EF-0275D40C02D3}"/>
    <cellStyle name="40% - Accent4 3 2 6" xfId="2343" xr:uid="{00000000-0005-0000-0000-000004060000}"/>
    <cellStyle name="40% - Accent4 3 2 6 2" xfId="6651" xr:uid="{00000000-0005-0000-0000-000005060000}"/>
    <cellStyle name="40% - Accent4 3 2 6 2 2" xfId="15080" xr:uid="{64A50E32-4A0E-4E92-BEB4-D9BF77E40D8A}"/>
    <cellStyle name="40% - Accent4 3 2 6 3" xfId="10862" xr:uid="{EC7EC538-B329-425B-A8F5-11A002971344}"/>
    <cellStyle name="40% - Accent4 3 2 7" xfId="4585" xr:uid="{00000000-0005-0000-0000-000006060000}"/>
    <cellStyle name="40% - Accent4 3 2 7 2" xfId="13014" xr:uid="{5BD28903-1086-4F11-8459-F8BEABD576EE}"/>
    <cellStyle name="40% - Accent4 3 2 8" xfId="8796" xr:uid="{40DA4B55-298A-4645-B68E-29E5001493F5}"/>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A2662DA2-35E2-45FF-A7D3-DAEB1B15AB61}"/>
    <cellStyle name="40% - Accent4 3 3 2 3" xfId="11354" xr:uid="{82A107FE-9DC0-4942-B493-A373F79BDE28}"/>
    <cellStyle name="40% - Accent4 3 3 3" xfId="4998" xr:uid="{00000000-0005-0000-0000-00000A060000}"/>
    <cellStyle name="40% - Accent4 3 3 3 2" xfId="13427" xr:uid="{33161A48-8EF4-4E26-B12A-9B3BCE018961}"/>
    <cellStyle name="40% - Accent4 3 3 4" xfId="9209" xr:uid="{F26E109F-B0E3-48AE-A5B5-3B9DF904FC91}"/>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65736255-DF6E-4A85-B9ED-DF663308DBB9}"/>
    <cellStyle name="40% - Accent4 3 4 2 3" xfId="11767" xr:uid="{1F82DCBD-A6C2-4D67-880C-527D6DEDD40C}"/>
    <cellStyle name="40% - Accent4 3 4 3" xfId="5411" xr:uid="{00000000-0005-0000-0000-00000E060000}"/>
    <cellStyle name="40% - Accent4 3 4 3 2" xfId="13840" xr:uid="{9121337F-12C4-4D48-A5B2-596606513D4F}"/>
    <cellStyle name="40% - Accent4 3 4 4" xfId="9622" xr:uid="{5DE1ED62-03CC-4725-8977-F8FC6114FDFD}"/>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EF156114-2528-49B2-BA90-F2DE6EF67119}"/>
    <cellStyle name="40% - Accent4 3 5 2 3" xfId="12180" xr:uid="{84FFF984-65A3-4FC6-9CA7-9212EE8C740A}"/>
    <cellStyle name="40% - Accent4 3 5 3" xfId="5824" xr:uid="{00000000-0005-0000-0000-000012060000}"/>
    <cellStyle name="40% - Accent4 3 5 3 2" xfId="14253" xr:uid="{5DB8EC8B-9D5A-4301-92BD-3F92E264F239}"/>
    <cellStyle name="40% - Accent4 3 5 4" xfId="10035" xr:uid="{79C93132-6DEC-4DF8-9B8D-416A0EC7F307}"/>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78E86603-9C6C-40E7-A5BE-7D684CC19BE3}"/>
    <cellStyle name="40% - Accent4 3 6 2 3" xfId="12593" xr:uid="{44132385-A416-4DF9-B587-6870BDB8E232}"/>
    <cellStyle name="40% - Accent4 3 6 3" xfId="6237" xr:uid="{00000000-0005-0000-0000-000016060000}"/>
    <cellStyle name="40% - Accent4 3 6 3 2" xfId="14666" xr:uid="{AAC8E694-5BF2-4641-94E4-2CA4CA51E09B}"/>
    <cellStyle name="40% - Accent4 3 6 4" xfId="10448" xr:uid="{4E92FCDF-CC79-40CE-806D-37883C8C156C}"/>
    <cellStyle name="40% - Accent4 3 7" xfId="2342" xr:uid="{00000000-0005-0000-0000-000017060000}"/>
    <cellStyle name="40% - Accent4 3 7 2" xfId="6650" xr:uid="{00000000-0005-0000-0000-000018060000}"/>
    <cellStyle name="40% - Accent4 3 7 2 2" xfId="15079" xr:uid="{592B538D-342C-4BBE-A9E7-0B83F5DE1DA8}"/>
    <cellStyle name="40% - Accent4 3 7 3" xfId="10861" xr:uid="{6A3A9B10-50D5-44E2-A663-FA74540A5E2A}"/>
    <cellStyle name="40% - Accent4 3 8" xfId="4584" xr:uid="{00000000-0005-0000-0000-000019060000}"/>
    <cellStyle name="40% - Accent4 3 8 2" xfId="13013" xr:uid="{B4C39BC2-585F-4CD8-A29A-D3CAE49868B1}"/>
    <cellStyle name="40% - Accent4 3 9" xfId="8795" xr:uid="{5D6AEE6C-CFCF-46F7-91E4-918B6195AC8F}"/>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1CFC2C62-3120-4572-B8C1-51C75DF317A1}"/>
    <cellStyle name="40% - Accent4 4 2 2 3" xfId="11356" xr:uid="{084B323B-B0B7-43FD-A54E-1BC5EA1D1026}"/>
    <cellStyle name="40% - Accent4 4 2 3" xfId="5000" xr:uid="{00000000-0005-0000-0000-00001E060000}"/>
    <cellStyle name="40% - Accent4 4 2 3 2" xfId="13429" xr:uid="{9FA5C457-6F74-4291-B781-BBF7244BC92A}"/>
    <cellStyle name="40% - Accent4 4 2 4" xfId="9211" xr:uid="{EE37354D-323A-4854-8D6B-B9A14EB2DDEF}"/>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2533B80B-EE24-4A38-B9CC-FEA71688A958}"/>
    <cellStyle name="40% - Accent4 4 3 2 3" xfId="11769" xr:uid="{26650A00-0907-4247-BA46-B79DCEA547A1}"/>
    <cellStyle name="40% - Accent4 4 3 3" xfId="5413" xr:uid="{00000000-0005-0000-0000-000022060000}"/>
    <cellStyle name="40% - Accent4 4 3 3 2" xfId="13842" xr:uid="{5C0AB0EA-3A32-4304-BE77-DF54C105AED4}"/>
    <cellStyle name="40% - Accent4 4 3 4" xfId="9624" xr:uid="{4437EE46-00AC-4A8D-8291-810B1167A77E}"/>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72740A53-6603-495A-B8EC-70C8243A82E4}"/>
    <cellStyle name="40% - Accent4 4 4 2 3" xfId="12182" xr:uid="{480CEF41-BF92-49CB-906C-2A5487443FB5}"/>
    <cellStyle name="40% - Accent4 4 4 3" xfId="5826" xr:uid="{00000000-0005-0000-0000-000026060000}"/>
    <cellStyle name="40% - Accent4 4 4 3 2" xfId="14255" xr:uid="{A3FFAD4B-3470-4CE6-964A-3152D1EA00E8}"/>
    <cellStyle name="40% - Accent4 4 4 4" xfId="10037" xr:uid="{360C0281-6493-49E8-AEB9-329F492AC04A}"/>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BF9DDC35-A675-45CB-9143-1B64F31A702C}"/>
    <cellStyle name="40% - Accent4 4 5 2 3" xfId="12595" xr:uid="{9C73D19E-59D5-4FEA-A9F7-96ACA28A727A}"/>
    <cellStyle name="40% - Accent4 4 5 3" xfId="6239" xr:uid="{00000000-0005-0000-0000-00002A060000}"/>
    <cellStyle name="40% - Accent4 4 5 3 2" xfId="14668" xr:uid="{0C01BDCE-322E-4C8B-AD3B-171B0CBB2675}"/>
    <cellStyle name="40% - Accent4 4 5 4" xfId="10450" xr:uid="{FC97DF69-1FA1-4E29-B2E0-83E1F968A0A3}"/>
    <cellStyle name="40% - Accent4 4 6" xfId="2344" xr:uid="{00000000-0005-0000-0000-00002B060000}"/>
    <cellStyle name="40% - Accent4 4 6 2" xfId="6652" xr:uid="{00000000-0005-0000-0000-00002C060000}"/>
    <cellStyle name="40% - Accent4 4 6 2 2" xfId="15081" xr:uid="{01EF434D-6827-4C8C-984F-229525787163}"/>
    <cellStyle name="40% - Accent4 4 6 3" xfId="10863" xr:uid="{CD30DDCF-6AFB-4A62-8145-04E20C947E00}"/>
    <cellStyle name="40% - Accent4 4 7" xfId="4586" xr:uid="{00000000-0005-0000-0000-00002D060000}"/>
    <cellStyle name="40% - Accent4 4 7 2" xfId="13015" xr:uid="{C0BFE503-AC70-4392-B4FB-225539F464B4}"/>
    <cellStyle name="40% - Accent4 4 8" xfId="8797" xr:uid="{12A73285-3F2A-4EBB-A1EE-4C8E0E73B289}"/>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62AD5992-5A31-48C1-A5BF-77C2BCAC25A3}"/>
    <cellStyle name="40% - Accent4 5 2 3" xfId="11349" xr:uid="{022765A4-DA7B-47FF-BE1F-C416F2A62258}"/>
    <cellStyle name="40% - Accent4 5 3" xfId="4993" xr:uid="{00000000-0005-0000-0000-000031060000}"/>
    <cellStyle name="40% - Accent4 5 3 2" xfId="13422" xr:uid="{58314CA7-924B-4F23-8F5A-41A53A911CCC}"/>
    <cellStyle name="40% - Accent4 5 4" xfId="9204" xr:uid="{1C351876-4DBF-487B-81BA-C1B180C32FF1}"/>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8F89F893-A581-4740-8869-E93DEE4CD3F5}"/>
    <cellStyle name="40% - Accent4 6 2 3" xfId="11762" xr:uid="{55BABBCA-73AC-409A-860D-88411677141F}"/>
    <cellStyle name="40% - Accent4 6 3" xfId="5406" xr:uid="{00000000-0005-0000-0000-000035060000}"/>
    <cellStyle name="40% - Accent4 6 3 2" xfId="13835" xr:uid="{64C097B3-5141-48F8-82B8-5DEE41616927}"/>
    <cellStyle name="40% - Accent4 6 4" xfId="9617" xr:uid="{E69F8B0A-96C8-478C-9AF6-FC51179D735A}"/>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B87F538A-95AF-4852-89A7-D8F9BB72B8FA}"/>
    <cellStyle name="40% - Accent4 7 2 3" xfId="12175" xr:uid="{7B4AC529-76A6-4596-A91A-97974952BD77}"/>
    <cellStyle name="40% - Accent4 7 3" xfId="5819" xr:uid="{00000000-0005-0000-0000-000039060000}"/>
    <cellStyle name="40% - Accent4 7 3 2" xfId="14248" xr:uid="{5D4BD64C-AA3B-4BF9-A259-755E422604DB}"/>
    <cellStyle name="40% - Accent4 7 4" xfId="10030" xr:uid="{F0FE9097-CC6D-4F8D-89E6-ACDAFF19123D}"/>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42A00403-211D-42C6-95A8-59EBA5A50E10}"/>
    <cellStyle name="40% - Accent4 8 2 3" xfId="12588" xr:uid="{AC09A612-824B-49FF-97A9-1BFF73EE33D6}"/>
    <cellStyle name="40% - Accent4 8 3" xfId="6232" xr:uid="{00000000-0005-0000-0000-00003D060000}"/>
    <cellStyle name="40% - Accent4 8 3 2" xfId="14661" xr:uid="{CE266B7C-4393-4F2C-9C57-5C59C9BFA2CF}"/>
    <cellStyle name="40% - Accent4 8 4" xfId="10443" xr:uid="{E19AB0EE-7C2C-4D53-9A7B-1BA47D1500E0}"/>
    <cellStyle name="40% - Accent4 9" xfId="2337" xr:uid="{00000000-0005-0000-0000-00003E060000}"/>
    <cellStyle name="40% - Accent4 9 2" xfId="6645" xr:uid="{00000000-0005-0000-0000-00003F060000}"/>
    <cellStyle name="40% - Accent4 9 2 2" xfId="15074" xr:uid="{CD12A001-65EF-4445-895D-8256920A5A42}"/>
    <cellStyle name="40% - Accent4 9 3" xfId="10856" xr:uid="{64169398-AFFB-4EBC-92B0-CB795060CCFF}"/>
    <cellStyle name="40% - Accent5" xfId="81" builtinId="47" customBuiltin="1"/>
    <cellStyle name="40% - Accent5 10" xfId="4587" xr:uid="{00000000-0005-0000-0000-000041060000}"/>
    <cellStyle name="40% - Accent5 10 2" xfId="13016" xr:uid="{0E323F22-39BC-46FB-9FAA-BD77730DCEA9}"/>
    <cellStyle name="40% - Accent5 11" xfId="8798" xr:uid="{DFB291BC-FB54-409E-9444-C6FE8DC6BE5A}"/>
    <cellStyle name="40% - Accent5 2" xfId="82" xr:uid="{00000000-0005-0000-0000-000042060000}"/>
    <cellStyle name="40% - Accent5 2 10" xfId="8799" xr:uid="{931CF0B6-752F-4AF1-811F-D0DD30E897B8}"/>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38B7529B-C934-4376-B5F7-7921AC784251}"/>
    <cellStyle name="40% - Accent5 2 2 2 2 2 3" xfId="11360" xr:uid="{21A6DA66-4C94-42DB-AF19-30573CBF57DD}"/>
    <cellStyle name="40% - Accent5 2 2 2 2 3" xfId="5004" xr:uid="{00000000-0005-0000-0000-000048060000}"/>
    <cellStyle name="40% - Accent5 2 2 2 2 3 2" xfId="13433" xr:uid="{75A092A6-E651-4EF9-9B10-1096C261FB89}"/>
    <cellStyle name="40% - Accent5 2 2 2 2 4" xfId="9215" xr:uid="{FD1274A3-15DF-46CD-99F1-B74F711786C6}"/>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9340DE39-30F5-4347-BF62-1EAE3053BC7D}"/>
    <cellStyle name="40% - Accent5 2 2 2 3 2 3" xfId="11773" xr:uid="{93CC9ECC-96F6-40FB-A8C7-56A63F611082}"/>
    <cellStyle name="40% - Accent5 2 2 2 3 3" xfId="5417" xr:uid="{00000000-0005-0000-0000-00004C060000}"/>
    <cellStyle name="40% - Accent5 2 2 2 3 3 2" xfId="13846" xr:uid="{80D237DC-5696-4B89-BC97-54F3BBC203D9}"/>
    <cellStyle name="40% - Accent5 2 2 2 3 4" xfId="9628" xr:uid="{ECB07658-7DE9-4C74-8506-B4BFB418ADC9}"/>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A51E1A9F-1AC4-4A26-899C-F743BCE66233}"/>
    <cellStyle name="40% - Accent5 2 2 2 4 2 3" xfId="12186" xr:uid="{17DFE447-6511-44B2-ADBA-4784359EBFE4}"/>
    <cellStyle name="40% - Accent5 2 2 2 4 3" xfId="5830" xr:uid="{00000000-0005-0000-0000-000050060000}"/>
    <cellStyle name="40% - Accent5 2 2 2 4 3 2" xfId="14259" xr:uid="{BF95CF0B-3126-4B51-B50B-FA504E7A848F}"/>
    <cellStyle name="40% - Accent5 2 2 2 4 4" xfId="10041" xr:uid="{AC2496D9-F094-461F-86E3-28174EA64509}"/>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F7D5D46A-E3C3-4420-83F0-5DC8D0D9636D}"/>
    <cellStyle name="40% - Accent5 2 2 2 5 2 3" xfId="12599" xr:uid="{9CF45072-85CD-4DEC-9328-D3371D3728EC}"/>
    <cellStyle name="40% - Accent5 2 2 2 5 3" xfId="6243" xr:uid="{00000000-0005-0000-0000-000054060000}"/>
    <cellStyle name="40% - Accent5 2 2 2 5 3 2" xfId="14672" xr:uid="{85260824-F943-474C-9F27-7B749411FA35}"/>
    <cellStyle name="40% - Accent5 2 2 2 5 4" xfId="10454" xr:uid="{4675A6F4-B960-4BB7-8B82-0C96C6C0140D}"/>
    <cellStyle name="40% - Accent5 2 2 2 6" xfId="2348" xr:uid="{00000000-0005-0000-0000-000055060000}"/>
    <cellStyle name="40% - Accent5 2 2 2 6 2" xfId="6656" xr:uid="{00000000-0005-0000-0000-000056060000}"/>
    <cellStyle name="40% - Accent5 2 2 2 6 2 2" xfId="15085" xr:uid="{023FC2E9-49B1-40F1-8A50-2D40CC15BEDB}"/>
    <cellStyle name="40% - Accent5 2 2 2 6 3" xfId="10867" xr:uid="{767E789E-693F-4C69-AC57-5C511DF3275B}"/>
    <cellStyle name="40% - Accent5 2 2 2 7" xfId="4590" xr:uid="{00000000-0005-0000-0000-000057060000}"/>
    <cellStyle name="40% - Accent5 2 2 2 7 2" xfId="13019" xr:uid="{C363C260-173A-4B47-8E97-035DA6BB7F29}"/>
    <cellStyle name="40% - Accent5 2 2 2 8" xfId="8801" xr:uid="{3DD53FDA-932D-42E9-AA79-334E87D4652E}"/>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8FC2EE86-EB0C-4C88-8254-B0B95DDD5CB3}"/>
    <cellStyle name="40% - Accent5 2 2 3 2 3" xfId="11359" xr:uid="{810CB15B-5FAB-4DDF-8C38-A86A29F15199}"/>
    <cellStyle name="40% - Accent5 2 2 3 3" xfId="5003" xr:uid="{00000000-0005-0000-0000-00005B060000}"/>
    <cellStyle name="40% - Accent5 2 2 3 3 2" xfId="13432" xr:uid="{6213772B-4730-4B0A-8944-FE462FC744DF}"/>
    <cellStyle name="40% - Accent5 2 2 3 4" xfId="9214" xr:uid="{0263ED7D-07B5-4C4D-BB6A-2E25218A932D}"/>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3978A7C2-5360-4BC4-9897-7BAB6A76B02D}"/>
    <cellStyle name="40% - Accent5 2 2 4 2 3" xfId="11772" xr:uid="{D0374377-B7F3-41B5-B91A-116BFC665D61}"/>
    <cellStyle name="40% - Accent5 2 2 4 3" xfId="5416" xr:uid="{00000000-0005-0000-0000-00005F060000}"/>
    <cellStyle name="40% - Accent5 2 2 4 3 2" xfId="13845" xr:uid="{D28FA9B1-3DDF-4125-9BBF-66C33B35725E}"/>
    <cellStyle name="40% - Accent5 2 2 4 4" xfId="9627" xr:uid="{68124FF1-0AC0-40A8-9E03-64862D780A4B}"/>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9FA1F957-1F67-43AA-A4E8-7EB61C0FF989}"/>
    <cellStyle name="40% - Accent5 2 2 5 2 3" xfId="12185" xr:uid="{A0C40FAD-9982-4112-9D9A-BD3B79F1869E}"/>
    <cellStyle name="40% - Accent5 2 2 5 3" xfId="5829" xr:uid="{00000000-0005-0000-0000-000063060000}"/>
    <cellStyle name="40% - Accent5 2 2 5 3 2" xfId="14258" xr:uid="{6FE2949E-5FA1-4BF4-AFC0-A829D45BA6D3}"/>
    <cellStyle name="40% - Accent5 2 2 5 4" xfId="10040" xr:uid="{83A385A1-7AAB-4C37-A4E1-0F78FC5F5FC2}"/>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57BF635B-597B-41ED-9ECF-84B383E82F87}"/>
    <cellStyle name="40% - Accent5 2 2 6 2 3" xfId="12598" xr:uid="{CD6BFC94-DDD1-45B5-8175-517B62411C80}"/>
    <cellStyle name="40% - Accent5 2 2 6 3" xfId="6242" xr:uid="{00000000-0005-0000-0000-000067060000}"/>
    <cellStyle name="40% - Accent5 2 2 6 3 2" xfId="14671" xr:uid="{377FCC29-DC11-422D-9B72-89BE4C2085C4}"/>
    <cellStyle name="40% - Accent5 2 2 6 4" xfId="10453" xr:uid="{1C66E10B-A6BA-4347-B2CC-00D786F09417}"/>
    <cellStyle name="40% - Accent5 2 2 7" xfId="2347" xr:uid="{00000000-0005-0000-0000-000068060000}"/>
    <cellStyle name="40% - Accent5 2 2 7 2" xfId="6655" xr:uid="{00000000-0005-0000-0000-000069060000}"/>
    <cellStyle name="40% - Accent5 2 2 7 2 2" xfId="15084" xr:uid="{5E0C8945-7292-4940-B1C0-4978AA65BD20}"/>
    <cellStyle name="40% - Accent5 2 2 7 3" xfId="10866" xr:uid="{F93D57EE-AC65-476C-966A-9FA0B195F3A9}"/>
    <cellStyle name="40% - Accent5 2 2 8" xfId="4589" xr:uid="{00000000-0005-0000-0000-00006A060000}"/>
    <cellStyle name="40% - Accent5 2 2 8 2" xfId="13018" xr:uid="{30C055AD-50D6-41CC-94F9-DB7A89189345}"/>
    <cellStyle name="40% - Accent5 2 2 9" xfId="8800" xr:uid="{A604DDFC-0EE7-4B5E-BD9B-6A818A51950E}"/>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A7899312-6225-4629-9430-8CC5C5C61D12}"/>
    <cellStyle name="40% - Accent5 2 3 2 2 3" xfId="11361" xr:uid="{7D86CDA5-42B5-4717-994D-5CFD564F0810}"/>
    <cellStyle name="40% - Accent5 2 3 2 3" xfId="5005" xr:uid="{00000000-0005-0000-0000-00006F060000}"/>
    <cellStyle name="40% - Accent5 2 3 2 3 2" xfId="13434" xr:uid="{A9239FC7-3BD0-4533-B6C9-DA3EC48A4AA1}"/>
    <cellStyle name="40% - Accent5 2 3 2 4" xfId="9216" xr:uid="{560E3340-627E-4224-8D81-29350B09615A}"/>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B333B4DA-5FE3-429B-8B98-F37AE95C6511}"/>
    <cellStyle name="40% - Accent5 2 3 3 2 3" xfId="11774" xr:uid="{6C1A2A05-0876-4875-ABFC-4E4BC635845C}"/>
    <cellStyle name="40% - Accent5 2 3 3 3" xfId="5418" xr:uid="{00000000-0005-0000-0000-000073060000}"/>
    <cellStyle name="40% - Accent5 2 3 3 3 2" xfId="13847" xr:uid="{EDFFC58F-6B61-434E-9A41-A38DC18F12A7}"/>
    <cellStyle name="40% - Accent5 2 3 3 4" xfId="9629" xr:uid="{75EEAA7E-1991-467F-B886-D5115DAE3F5A}"/>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2D55EBCC-51C4-416B-AE3B-9B6EBF275CF2}"/>
    <cellStyle name="40% - Accent5 2 3 4 2 3" xfId="12187" xr:uid="{2E2E2BEB-B06A-4629-A993-4954D601AE36}"/>
    <cellStyle name="40% - Accent5 2 3 4 3" xfId="5831" xr:uid="{00000000-0005-0000-0000-000077060000}"/>
    <cellStyle name="40% - Accent5 2 3 4 3 2" xfId="14260" xr:uid="{2F3A8B2C-7BAE-42B6-A5ED-1D833052CD30}"/>
    <cellStyle name="40% - Accent5 2 3 4 4" xfId="10042" xr:uid="{D210591E-1027-46B2-8D0C-1B6A15B19383}"/>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D677D783-A329-48CA-80A5-6E22CDBD020B}"/>
    <cellStyle name="40% - Accent5 2 3 5 2 3" xfId="12600" xr:uid="{784865C2-E07E-4C42-85EF-E3A6C7D19229}"/>
    <cellStyle name="40% - Accent5 2 3 5 3" xfId="6244" xr:uid="{00000000-0005-0000-0000-00007B060000}"/>
    <cellStyle name="40% - Accent5 2 3 5 3 2" xfId="14673" xr:uid="{F51B9672-574F-4E87-A14B-93D6AB4F2EF6}"/>
    <cellStyle name="40% - Accent5 2 3 5 4" xfId="10455" xr:uid="{7E25F2F3-F8B0-4A6B-8425-DE24191636DB}"/>
    <cellStyle name="40% - Accent5 2 3 6" xfId="2349" xr:uid="{00000000-0005-0000-0000-00007C060000}"/>
    <cellStyle name="40% - Accent5 2 3 6 2" xfId="6657" xr:uid="{00000000-0005-0000-0000-00007D060000}"/>
    <cellStyle name="40% - Accent5 2 3 6 2 2" xfId="15086" xr:uid="{4C05DB5A-6239-4FA2-AD6E-B29A17A1DB8C}"/>
    <cellStyle name="40% - Accent5 2 3 6 3" xfId="10868" xr:uid="{FF7E6067-81EF-4FBD-B1FF-3F6E67ABFE5A}"/>
    <cellStyle name="40% - Accent5 2 3 7" xfId="4591" xr:uid="{00000000-0005-0000-0000-00007E060000}"/>
    <cellStyle name="40% - Accent5 2 3 7 2" xfId="13020" xr:uid="{8B678F52-C0E4-4C9F-A330-6CE58ED9A517}"/>
    <cellStyle name="40% - Accent5 2 3 8" xfId="8802" xr:uid="{137F956B-D043-494F-8F20-BD19AB26DE44}"/>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0C9943F3-B68D-434F-B17C-E8C4F3FD2E3C}"/>
    <cellStyle name="40% - Accent5 2 4 2 3" xfId="11358" xr:uid="{6A00E5AB-034F-4385-93BA-12FE4B2AD556}"/>
    <cellStyle name="40% - Accent5 2 4 3" xfId="5002" xr:uid="{00000000-0005-0000-0000-000082060000}"/>
    <cellStyle name="40% - Accent5 2 4 3 2" xfId="13431" xr:uid="{A7610425-1BA8-405E-B3EE-21367FB6FB91}"/>
    <cellStyle name="40% - Accent5 2 4 4" xfId="9213" xr:uid="{7100065D-63BD-42DD-9B85-6FEFE7D22EA6}"/>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EA043C53-5A97-4C10-8B8E-D6CA6AB562B5}"/>
    <cellStyle name="40% - Accent5 2 5 2 3" xfId="11771" xr:uid="{616CBA0F-C818-4E90-BD62-841BCDF3DCD9}"/>
    <cellStyle name="40% - Accent5 2 5 3" xfId="5415" xr:uid="{00000000-0005-0000-0000-000086060000}"/>
    <cellStyle name="40% - Accent5 2 5 3 2" xfId="13844" xr:uid="{CDAA26C5-28CD-47B4-979E-4630B9223A26}"/>
    <cellStyle name="40% - Accent5 2 5 4" xfId="9626" xr:uid="{D2447F43-6D77-48E7-A046-7C074C84E07F}"/>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10FBEBF6-A673-48D0-A6D0-1211FC9D20D6}"/>
    <cellStyle name="40% - Accent5 2 6 2 3" xfId="12184" xr:uid="{CFEECFAA-E15E-4548-89B8-915AFB6F466C}"/>
    <cellStyle name="40% - Accent5 2 6 3" xfId="5828" xr:uid="{00000000-0005-0000-0000-00008A060000}"/>
    <cellStyle name="40% - Accent5 2 6 3 2" xfId="14257" xr:uid="{7A9CEBFB-5FC3-4DAC-B0AC-D25A9820ECBC}"/>
    <cellStyle name="40% - Accent5 2 6 4" xfId="10039" xr:uid="{B1D145EC-A16E-405E-BD6C-023F0B1A380F}"/>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8527338F-A6BD-436C-A2AF-F177EC32433B}"/>
    <cellStyle name="40% - Accent5 2 7 2 3" xfId="12597" xr:uid="{2D44422C-DA4F-47DD-A138-CDEF77D04D6A}"/>
    <cellStyle name="40% - Accent5 2 7 3" xfId="6241" xr:uid="{00000000-0005-0000-0000-00008E060000}"/>
    <cellStyle name="40% - Accent5 2 7 3 2" xfId="14670" xr:uid="{3B1C97F7-7798-4E16-906A-3B6AC4D18618}"/>
    <cellStyle name="40% - Accent5 2 7 4" xfId="10452" xr:uid="{033A2A2D-18EE-45F6-9FC3-47C56584BE80}"/>
    <cellStyle name="40% - Accent5 2 8" xfId="2346" xr:uid="{00000000-0005-0000-0000-00008F060000}"/>
    <cellStyle name="40% - Accent5 2 8 2" xfId="6654" xr:uid="{00000000-0005-0000-0000-000090060000}"/>
    <cellStyle name="40% - Accent5 2 8 2 2" xfId="15083" xr:uid="{E62007BA-053A-4AC6-8F14-1CAA9C8BF41F}"/>
    <cellStyle name="40% - Accent5 2 8 3" xfId="10865" xr:uid="{B66B7ED4-C06A-4C9D-A45B-0D14EAD806EE}"/>
    <cellStyle name="40% - Accent5 2 9" xfId="4588" xr:uid="{00000000-0005-0000-0000-000091060000}"/>
    <cellStyle name="40% - Accent5 2 9 2" xfId="13017" xr:uid="{310C5A3E-2858-4B6F-BF46-2C470F15DB9E}"/>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AF28D4F1-C5C5-408E-9870-97BB818F4270}"/>
    <cellStyle name="40% - Accent5 3 2 2 2 3" xfId="11363" xr:uid="{D3CD3F96-82D8-4041-8E12-D74FFC5B9755}"/>
    <cellStyle name="40% - Accent5 3 2 2 3" xfId="5007" xr:uid="{00000000-0005-0000-0000-000097060000}"/>
    <cellStyle name="40% - Accent5 3 2 2 3 2" xfId="13436" xr:uid="{B5CCF89C-35DB-4DE4-AF76-E972CAF6B708}"/>
    <cellStyle name="40% - Accent5 3 2 2 4" xfId="9218" xr:uid="{27F3B44C-B97D-4C0F-85F5-820AA1782C4C}"/>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9746817F-1C18-494D-9211-27BA81368A58}"/>
    <cellStyle name="40% - Accent5 3 2 3 2 3" xfId="11776" xr:uid="{0AFCCCE6-1423-4DBF-BA78-443CF77F2028}"/>
    <cellStyle name="40% - Accent5 3 2 3 3" xfId="5420" xr:uid="{00000000-0005-0000-0000-00009B060000}"/>
    <cellStyle name="40% - Accent5 3 2 3 3 2" xfId="13849" xr:uid="{73E66D43-6048-4ACF-A547-D535B254488F}"/>
    <cellStyle name="40% - Accent5 3 2 3 4" xfId="9631" xr:uid="{F59B6A19-892A-4153-8EFC-057F2F30AB2B}"/>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73157EC1-65D2-4D20-8C7E-EB5B80E3266E}"/>
    <cellStyle name="40% - Accent5 3 2 4 2 3" xfId="12189" xr:uid="{D5EF8AF3-2DD3-484C-AB8D-25FE975D1669}"/>
    <cellStyle name="40% - Accent5 3 2 4 3" xfId="5833" xr:uid="{00000000-0005-0000-0000-00009F060000}"/>
    <cellStyle name="40% - Accent5 3 2 4 3 2" xfId="14262" xr:uid="{606BD155-B8A2-41FC-BB93-E786C95183FE}"/>
    <cellStyle name="40% - Accent5 3 2 4 4" xfId="10044" xr:uid="{3F358FA3-F354-41C5-9B0B-A13210AA3C27}"/>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54E8989B-4537-4576-B76C-C4F1E0F943C4}"/>
    <cellStyle name="40% - Accent5 3 2 5 2 3" xfId="12602" xr:uid="{39B09E5E-25F0-40F3-8A6B-3751F8A6A29A}"/>
    <cellStyle name="40% - Accent5 3 2 5 3" xfId="6246" xr:uid="{00000000-0005-0000-0000-0000A3060000}"/>
    <cellStyle name="40% - Accent5 3 2 5 3 2" xfId="14675" xr:uid="{96BA98DD-9254-4669-83D7-95FD4B487F74}"/>
    <cellStyle name="40% - Accent5 3 2 5 4" xfId="10457" xr:uid="{A29EA930-3F85-4DBC-822B-90D784C2FF94}"/>
    <cellStyle name="40% - Accent5 3 2 6" xfId="2351" xr:uid="{00000000-0005-0000-0000-0000A4060000}"/>
    <cellStyle name="40% - Accent5 3 2 6 2" xfId="6659" xr:uid="{00000000-0005-0000-0000-0000A5060000}"/>
    <cellStyle name="40% - Accent5 3 2 6 2 2" xfId="15088" xr:uid="{168C1BAD-44A3-4288-A619-1E8E0547E15E}"/>
    <cellStyle name="40% - Accent5 3 2 6 3" xfId="10870" xr:uid="{96CB4DF1-2296-4638-9221-AE485874D637}"/>
    <cellStyle name="40% - Accent5 3 2 7" xfId="4593" xr:uid="{00000000-0005-0000-0000-0000A6060000}"/>
    <cellStyle name="40% - Accent5 3 2 7 2" xfId="13022" xr:uid="{9FD55A01-5F10-49EE-A28E-23BD8D69E7BB}"/>
    <cellStyle name="40% - Accent5 3 2 8" xfId="8804" xr:uid="{2585A0B5-43DF-47EC-9B49-7B5B13F723DB}"/>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C0C4DF76-145E-4642-8529-2D16AABA653C}"/>
    <cellStyle name="40% - Accent5 3 3 2 3" xfId="11362" xr:uid="{8B8C969F-0A41-487D-B5A8-E46E0E6AC2ED}"/>
    <cellStyle name="40% - Accent5 3 3 3" xfId="5006" xr:uid="{00000000-0005-0000-0000-0000AA060000}"/>
    <cellStyle name="40% - Accent5 3 3 3 2" xfId="13435" xr:uid="{CFF33BD0-96B5-4E41-BB92-3DD93C007EF9}"/>
    <cellStyle name="40% - Accent5 3 3 4" xfId="9217" xr:uid="{F59CEABE-6CBF-4C6E-A3B8-091EE349782E}"/>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8C792541-024A-4076-B828-78A95E04F21C}"/>
    <cellStyle name="40% - Accent5 3 4 2 3" xfId="11775" xr:uid="{DA661702-49AA-4C59-AEAF-59B0736C3207}"/>
    <cellStyle name="40% - Accent5 3 4 3" xfId="5419" xr:uid="{00000000-0005-0000-0000-0000AE060000}"/>
    <cellStyle name="40% - Accent5 3 4 3 2" xfId="13848" xr:uid="{D410DA01-1236-46C5-9129-CA91610DFF40}"/>
    <cellStyle name="40% - Accent5 3 4 4" xfId="9630" xr:uid="{B5024508-C4DE-4C50-948E-39EE416CD42E}"/>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16CF8E9F-D7A9-4F5F-83C1-B6121D35F824}"/>
    <cellStyle name="40% - Accent5 3 5 2 3" xfId="12188" xr:uid="{6A69DD27-13E0-4E37-A3CA-697F2EBC13A2}"/>
    <cellStyle name="40% - Accent5 3 5 3" xfId="5832" xr:uid="{00000000-0005-0000-0000-0000B2060000}"/>
    <cellStyle name="40% - Accent5 3 5 3 2" xfId="14261" xr:uid="{1007FDDA-300A-4D3E-843D-D315D0F8E4BF}"/>
    <cellStyle name="40% - Accent5 3 5 4" xfId="10043" xr:uid="{8B7F1A18-DDB1-41C8-9A9E-6DD232679945}"/>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CB37803F-842F-4124-90F7-5B66F085C3C6}"/>
    <cellStyle name="40% - Accent5 3 6 2 3" xfId="12601" xr:uid="{EA62F03A-8A11-42BA-A579-9AA04B54F714}"/>
    <cellStyle name="40% - Accent5 3 6 3" xfId="6245" xr:uid="{00000000-0005-0000-0000-0000B6060000}"/>
    <cellStyle name="40% - Accent5 3 6 3 2" xfId="14674" xr:uid="{9CEFEB14-CB75-498D-9722-EF433E6202CB}"/>
    <cellStyle name="40% - Accent5 3 6 4" xfId="10456" xr:uid="{A00898D5-9ABD-4FEF-BAA3-3E72E93BFE4F}"/>
    <cellStyle name="40% - Accent5 3 7" xfId="2350" xr:uid="{00000000-0005-0000-0000-0000B7060000}"/>
    <cellStyle name="40% - Accent5 3 7 2" xfId="6658" xr:uid="{00000000-0005-0000-0000-0000B8060000}"/>
    <cellStyle name="40% - Accent5 3 7 2 2" xfId="15087" xr:uid="{7DD0F4F6-9A99-430B-AF00-7A7B6B9F69EB}"/>
    <cellStyle name="40% - Accent5 3 7 3" xfId="10869" xr:uid="{2283C143-4B05-46C8-A3D1-A9E2245BE0B5}"/>
    <cellStyle name="40% - Accent5 3 8" xfId="4592" xr:uid="{00000000-0005-0000-0000-0000B9060000}"/>
    <cellStyle name="40% - Accent5 3 8 2" xfId="13021" xr:uid="{3FF16DD3-B896-42A7-8C3C-042F6C2D9C3F}"/>
    <cellStyle name="40% - Accent5 3 9" xfId="8803" xr:uid="{9A92B054-82D7-4975-A3B2-445D077663B4}"/>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B6C92F36-9A68-4A26-8F0C-EFD92472DE2C}"/>
    <cellStyle name="40% - Accent5 4 2 2 3" xfId="11364" xr:uid="{332D6CBC-FED9-49B8-89AE-338FDDFF5D8E}"/>
    <cellStyle name="40% - Accent5 4 2 3" xfId="5008" xr:uid="{00000000-0005-0000-0000-0000BE060000}"/>
    <cellStyle name="40% - Accent5 4 2 3 2" xfId="13437" xr:uid="{CC163194-5AE0-404C-A4CA-CED37C6E578C}"/>
    <cellStyle name="40% - Accent5 4 2 4" xfId="9219" xr:uid="{86B1AA97-5571-4759-A8E6-A1ED8DCCBF31}"/>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38CC0908-49DE-4FF0-9F68-AFC0CAAF386B}"/>
    <cellStyle name="40% - Accent5 4 3 2 3" xfId="11777" xr:uid="{17B1ADE8-C2BC-47BF-9151-55978F7C6CEA}"/>
    <cellStyle name="40% - Accent5 4 3 3" xfId="5421" xr:uid="{00000000-0005-0000-0000-0000C2060000}"/>
    <cellStyle name="40% - Accent5 4 3 3 2" xfId="13850" xr:uid="{4CA42739-6D2F-4FBF-BF60-326146A78AA7}"/>
    <cellStyle name="40% - Accent5 4 3 4" xfId="9632" xr:uid="{27CBD02A-3401-4F6B-B30F-735DA34242E7}"/>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BDEB198-D959-4F56-AF10-8DC230EF2EF4}"/>
    <cellStyle name="40% - Accent5 4 4 2 3" xfId="12190" xr:uid="{7F1C4304-2E15-496F-8B9A-D94FB95B2C62}"/>
    <cellStyle name="40% - Accent5 4 4 3" xfId="5834" xr:uid="{00000000-0005-0000-0000-0000C6060000}"/>
    <cellStyle name="40% - Accent5 4 4 3 2" xfId="14263" xr:uid="{DE0197C2-5417-4252-B8D6-797B8975CEA8}"/>
    <cellStyle name="40% - Accent5 4 4 4" xfId="10045" xr:uid="{CD38D442-43E3-44B9-A4E4-CFA101141094}"/>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86D5663E-C14A-4A17-93BF-4763EA29A453}"/>
    <cellStyle name="40% - Accent5 4 5 2 3" xfId="12603" xr:uid="{801C018B-4584-49F7-BC66-151936557FBE}"/>
    <cellStyle name="40% - Accent5 4 5 3" xfId="6247" xr:uid="{00000000-0005-0000-0000-0000CA060000}"/>
    <cellStyle name="40% - Accent5 4 5 3 2" xfId="14676" xr:uid="{95EDAC7F-7A11-4954-BE57-7A4543E8A435}"/>
    <cellStyle name="40% - Accent5 4 5 4" xfId="10458" xr:uid="{1C6933B2-E65C-40F1-8A3E-E2B388B80E77}"/>
    <cellStyle name="40% - Accent5 4 6" xfId="2352" xr:uid="{00000000-0005-0000-0000-0000CB060000}"/>
    <cellStyle name="40% - Accent5 4 6 2" xfId="6660" xr:uid="{00000000-0005-0000-0000-0000CC060000}"/>
    <cellStyle name="40% - Accent5 4 6 2 2" xfId="15089" xr:uid="{85133747-F1EC-4D76-856D-8FFA7D07EB2F}"/>
    <cellStyle name="40% - Accent5 4 6 3" xfId="10871" xr:uid="{53A7F85D-49E2-4B27-8419-D7212EB87EC9}"/>
    <cellStyle name="40% - Accent5 4 7" xfId="4594" xr:uid="{00000000-0005-0000-0000-0000CD060000}"/>
    <cellStyle name="40% - Accent5 4 7 2" xfId="13023" xr:uid="{1797D257-54CF-4D63-9C8C-D0EDDA23060D}"/>
    <cellStyle name="40% - Accent5 4 8" xfId="8805" xr:uid="{6BD0DA6C-AFC2-45E9-92B4-269A989D06DA}"/>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F22E5425-EE41-4717-A877-AFB719A5F152}"/>
    <cellStyle name="40% - Accent5 5 2 3" xfId="11357" xr:uid="{28C99C1B-8503-4123-82C2-0F676EF6F661}"/>
    <cellStyle name="40% - Accent5 5 3" xfId="5001" xr:uid="{00000000-0005-0000-0000-0000D1060000}"/>
    <cellStyle name="40% - Accent5 5 3 2" xfId="13430" xr:uid="{3CB8F902-F2BD-478F-A957-25E9C843848F}"/>
    <cellStyle name="40% - Accent5 5 4" xfId="9212" xr:uid="{A208DA99-ABE1-419C-A030-2B4D194F32BB}"/>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4CF14BA8-D721-4479-A4FA-85B84B01F950}"/>
    <cellStyle name="40% - Accent5 6 2 3" xfId="11770" xr:uid="{E5C4C1DB-4CB3-4475-937A-CFEDBAC04FF5}"/>
    <cellStyle name="40% - Accent5 6 3" xfId="5414" xr:uid="{00000000-0005-0000-0000-0000D5060000}"/>
    <cellStyle name="40% - Accent5 6 3 2" xfId="13843" xr:uid="{BB4D5355-A0F1-4791-9C84-F840E6B16E64}"/>
    <cellStyle name="40% - Accent5 6 4" xfId="9625" xr:uid="{88C1C6C8-74EF-4C09-B35A-5464B459EB82}"/>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D9A27190-845C-4753-8EC6-93F13BB9A9D0}"/>
    <cellStyle name="40% - Accent5 7 2 3" xfId="12183" xr:uid="{21F3DFD7-9C92-4F9E-B33B-A2B2A1097036}"/>
    <cellStyle name="40% - Accent5 7 3" xfId="5827" xr:uid="{00000000-0005-0000-0000-0000D9060000}"/>
    <cellStyle name="40% - Accent5 7 3 2" xfId="14256" xr:uid="{EB274007-5233-4435-9EF5-F7425E6B4B32}"/>
    <cellStyle name="40% - Accent5 7 4" xfId="10038" xr:uid="{7D5801D7-99C8-4B0F-95E5-30FEC5932C0A}"/>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699046F5-C876-45D9-826A-4D03C67F4AAB}"/>
    <cellStyle name="40% - Accent5 8 2 3" xfId="12596" xr:uid="{A1121007-8A23-423B-9320-0A2B386AD6EF}"/>
    <cellStyle name="40% - Accent5 8 3" xfId="6240" xr:uid="{00000000-0005-0000-0000-0000DD060000}"/>
    <cellStyle name="40% - Accent5 8 3 2" xfId="14669" xr:uid="{DBFEAD47-F743-4941-BA91-5190B5B1E503}"/>
    <cellStyle name="40% - Accent5 8 4" xfId="10451" xr:uid="{D814B211-69FC-4AF3-BA21-AE960F38F162}"/>
    <cellStyle name="40% - Accent5 9" xfId="2345" xr:uid="{00000000-0005-0000-0000-0000DE060000}"/>
    <cellStyle name="40% - Accent5 9 2" xfId="6653" xr:uid="{00000000-0005-0000-0000-0000DF060000}"/>
    <cellStyle name="40% - Accent5 9 2 2" xfId="15082" xr:uid="{65768B6C-BFAA-4A31-949B-4A8F54A0A8D7}"/>
    <cellStyle name="40% - Accent5 9 3" xfId="10864" xr:uid="{1FC3196A-9B77-4717-AD5D-4EC087ADBBF7}"/>
    <cellStyle name="40% - Accent6" xfId="89" builtinId="51" customBuiltin="1"/>
    <cellStyle name="40% - Accent6 10" xfId="4595" xr:uid="{00000000-0005-0000-0000-0000E1060000}"/>
    <cellStyle name="40% - Accent6 10 2" xfId="13024" xr:uid="{F0386482-41B2-45BB-B1B9-E3956CDE4831}"/>
    <cellStyle name="40% - Accent6 11" xfId="8806" xr:uid="{3B52E2EC-AAE3-4F07-A478-871378AEA739}"/>
    <cellStyle name="40% - Accent6 2" xfId="90" xr:uid="{00000000-0005-0000-0000-0000E2060000}"/>
    <cellStyle name="40% - Accent6 2 10" xfId="8807" xr:uid="{F0BFCBC7-BF16-4D82-AAAE-B862952C7B44}"/>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174EFC45-A5D8-4889-9509-ED1E4828F1AF}"/>
    <cellStyle name="40% - Accent6 2 2 2 2 2 3" xfId="11368" xr:uid="{21BBDA92-9530-4387-AE1A-4F9145241F34}"/>
    <cellStyle name="40% - Accent6 2 2 2 2 3" xfId="5012" xr:uid="{00000000-0005-0000-0000-0000E8060000}"/>
    <cellStyle name="40% - Accent6 2 2 2 2 3 2" xfId="13441" xr:uid="{AD77F78E-019D-40AA-9AD7-9991DE49C981}"/>
    <cellStyle name="40% - Accent6 2 2 2 2 4" xfId="9223" xr:uid="{6F996169-555A-4243-A9E3-01EB3999791F}"/>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8718B19B-DADD-4BE9-AF69-F2F024828614}"/>
    <cellStyle name="40% - Accent6 2 2 2 3 2 3" xfId="11781" xr:uid="{BFDC2D78-D8F5-4179-88AF-C56533740318}"/>
    <cellStyle name="40% - Accent6 2 2 2 3 3" xfId="5425" xr:uid="{00000000-0005-0000-0000-0000EC060000}"/>
    <cellStyle name="40% - Accent6 2 2 2 3 3 2" xfId="13854" xr:uid="{13F0418B-343D-4872-8149-81CB90CBB88F}"/>
    <cellStyle name="40% - Accent6 2 2 2 3 4" xfId="9636" xr:uid="{839CE750-527D-48DE-BD5F-78DB9A010776}"/>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F00E9A26-5623-468C-B255-601BB07047C6}"/>
    <cellStyle name="40% - Accent6 2 2 2 4 2 3" xfId="12194" xr:uid="{F7F4541A-309B-409F-B64D-F7977180B62A}"/>
    <cellStyle name="40% - Accent6 2 2 2 4 3" xfId="5838" xr:uid="{00000000-0005-0000-0000-0000F0060000}"/>
    <cellStyle name="40% - Accent6 2 2 2 4 3 2" xfId="14267" xr:uid="{CE93B6CA-0A21-4976-8D38-421AE2E1BBF6}"/>
    <cellStyle name="40% - Accent6 2 2 2 4 4" xfId="10049" xr:uid="{DD3383E4-CE14-4E16-85E8-7A29163FBFF9}"/>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A1EB91AF-833D-4A5E-9755-D94E51E71F17}"/>
    <cellStyle name="40% - Accent6 2 2 2 5 2 3" xfId="12607" xr:uid="{17146115-2E97-4E6F-9ABB-E03E897F53F5}"/>
    <cellStyle name="40% - Accent6 2 2 2 5 3" xfId="6251" xr:uid="{00000000-0005-0000-0000-0000F4060000}"/>
    <cellStyle name="40% - Accent6 2 2 2 5 3 2" xfId="14680" xr:uid="{D0999CED-1673-4BFD-8F91-A9B23DBCB89D}"/>
    <cellStyle name="40% - Accent6 2 2 2 5 4" xfId="10462" xr:uid="{A36971EF-AA38-47C7-83F3-D1D7D41DB4BC}"/>
    <cellStyle name="40% - Accent6 2 2 2 6" xfId="2356" xr:uid="{00000000-0005-0000-0000-0000F5060000}"/>
    <cellStyle name="40% - Accent6 2 2 2 6 2" xfId="6664" xr:uid="{00000000-0005-0000-0000-0000F6060000}"/>
    <cellStyle name="40% - Accent6 2 2 2 6 2 2" xfId="15093" xr:uid="{05AC1C33-C28B-405E-A2A9-52E9F3E15C9A}"/>
    <cellStyle name="40% - Accent6 2 2 2 6 3" xfId="10875" xr:uid="{458AB9EA-D844-4752-8754-0FC14E034947}"/>
    <cellStyle name="40% - Accent6 2 2 2 7" xfId="4598" xr:uid="{00000000-0005-0000-0000-0000F7060000}"/>
    <cellStyle name="40% - Accent6 2 2 2 7 2" xfId="13027" xr:uid="{F80D401D-3D7A-46D5-B00B-8C0238CE0C1B}"/>
    <cellStyle name="40% - Accent6 2 2 2 8" xfId="8809" xr:uid="{79627717-5D68-4DC7-B35A-2A258F8B5DC1}"/>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C9D5068A-A585-474F-875B-335C5C2C3A0A}"/>
    <cellStyle name="40% - Accent6 2 2 3 2 3" xfId="11367" xr:uid="{71053D78-BB64-4A0B-9D59-4252A6FC7B2E}"/>
    <cellStyle name="40% - Accent6 2 2 3 3" xfId="5011" xr:uid="{00000000-0005-0000-0000-0000FB060000}"/>
    <cellStyle name="40% - Accent6 2 2 3 3 2" xfId="13440" xr:uid="{12066088-BCE8-4DF3-A16F-7CAE570EEF20}"/>
    <cellStyle name="40% - Accent6 2 2 3 4" xfId="9222" xr:uid="{172C596B-42C0-47EF-BD7A-C85A63767C09}"/>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4504D714-1A97-42CD-A306-BAFEFFD3DF94}"/>
    <cellStyle name="40% - Accent6 2 2 4 2 3" xfId="11780" xr:uid="{BAA36BBF-859E-49B3-9E7E-5F48318466FF}"/>
    <cellStyle name="40% - Accent6 2 2 4 3" xfId="5424" xr:uid="{00000000-0005-0000-0000-0000FF060000}"/>
    <cellStyle name="40% - Accent6 2 2 4 3 2" xfId="13853" xr:uid="{B137F8E6-DF31-44DA-9B72-B913CBD2EA18}"/>
    <cellStyle name="40% - Accent6 2 2 4 4" xfId="9635" xr:uid="{C224B9E2-C0E6-44CC-8B0C-A92B12640E8C}"/>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646079BF-AE07-43C6-90A8-79F11DDD51B0}"/>
    <cellStyle name="40% - Accent6 2 2 5 2 3" xfId="12193" xr:uid="{1207AB04-3788-469C-A725-4D04CDE205C2}"/>
    <cellStyle name="40% - Accent6 2 2 5 3" xfId="5837" xr:uid="{00000000-0005-0000-0000-000003070000}"/>
    <cellStyle name="40% - Accent6 2 2 5 3 2" xfId="14266" xr:uid="{1C7DBAFA-C8EE-46B2-8C7E-C1BDECF30AC8}"/>
    <cellStyle name="40% - Accent6 2 2 5 4" xfId="10048" xr:uid="{C7CA5628-20FC-4EAA-A9DC-4EC7D9FD8AB7}"/>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96A23894-6D37-4830-86DE-3BDE0CE2CCDF}"/>
    <cellStyle name="40% - Accent6 2 2 6 2 3" xfId="12606" xr:uid="{EBEB7143-6DAA-4496-87AD-A8A823020EAD}"/>
    <cellStyle name="40% - Accent6 2 2 6 3" xfId="6250" xr:uid="{00000000-0005-0000-0000-000007070000}"/>
    <cellStyle name="40% - Accent6 2 2 6 3 2" xfId="14679" xr:uid="{C6D83237-80F8-4A45-95AB-0BCBAA078995}"/>
    <cellStyle name="40% - Accent6 2 2 6 4" xfId="10461" xr:uid="{76D7F7FF-85E6-4722-A6BC-B8623E936306}"/>
    <cellStyle name="40% - Accent6 2 2 7" xfId="2355" xr:uid="{00000000-0005-0000-0000-000008070000}"/>
    <cellStyle name="40% - Accent6 2 2 7 2" xfId="6663" xr:uid="{00000000-0005-0000-0000-000009070000}"/>
    <cellStyle name="40% - Accent6 2 2 7 2 2" xfId="15092" xr:uid="{E9F94EAD-78A8-4BE8-BBAD-DFC9BBCC0334}"/>
    <cellStyle name="40% - Accent6 2 2 7 3" xfId="10874" xr:uid="{B4001C50-391F-408E-B869-82DE7AAA6532}"/>
    <cellStyle name="40% - Accent6 2 2 8" xfId="4597" xr:uid="{00000000-0005-0000-0000-00000A070000}"/>
    <cellStyle name="40% - Accent6 2 2 8 2" xfId="13026" xr:uid="{9E161C95-DCD8-413E-B38F-4A2681A1E428}"/>
    <cellStyle name="40% - Accent6 2 2 9" xfId="8808" xr:uid="{D82766EB-5952-49E1-87E2-FCF76F1F804E}"/>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EAA3D718-95D0-463A-BE02-14CE2B686411}"/>
    <cellStyle name="40% - Accent6 2 3 2 2 3" xfId="11369" xr:uid="{D45AC72D-D80C-4323-ACEE-22E08244CC4D}"/>
    <cellStyle name="40% - Accent6 2 3 2 3" xfId="5013" xr:uid="{00000000-0005-0000-0000-00000F070000}"/>
    <cellStyle name="40% - Accent6 2 3 2 3 2" xfId="13442" xr:uid="{73E164F1-88B1-439D-9BE0-9ABA911F85DE}"/>
    <cellStyle name="40% - Accent6 2 3 2 4" xfId="9224" xr:uid="{8AA59021-467E-4048-9F1A-970458E7FB78}"/>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05FC5A18-75B7-4126-87FB-F5EE410213C4}"/>
    <cellStyle name="40% - Accent6 2 3 3 2 3" xfId="11782" xr:uid="{6C807F53-59FE-4783-92DB-E1C22083724E}"/>
    <cellStyle name="40% - Accent6 2 3 3 3" xfId="5426" xr:uid="{00000000-0005-0000-0000-000013070000}"/>
    <cellStyle name="40% - Accent6 2 3 3 3 2" xfId="13855" xr:uid="{D529733B-E4EC-4871-86E9-8063135E45D0}"/>
    <cellStyle name="40% - Accent6 2 3 3 4" xfId="9637" xr:uid="{D6344B55-2FEC-4546-B2B9-EB71C94FB42E}"/>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E2630BAB-31C6-4B30-BD75-F58EFA532D1D}"/>
    <cellStyle name="40% - Accent6 2 3 4 2 3" xfId="12195" xr:uid="{F492375B-FD43-4126-A329-65120AD1F21B}"/>
    <cellStyle name="40% - Accent6 2 3 4 3" xfId="5839" xr:uid="{00000000-0005-0000-0000-000017070000}"/>
    <cellStyle name="40% - Accent6 2 3 4 3 2" xfId="14268" xr:uid="{0D63A9E1-67A3-43AB-8B81-B5741338B7F7}"/>
    <cellStyle name="40% - Accent6 2 3 4 4" xfId="10050" xr:uid="{31D7F132-E5D8-49E1-992E-48A43510B3B9}"/>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5AE19CBD-7B66-4962-91CC-BD764A930D66}"/>
    <cellStyle name="40% - Accent6 2 3 5 2 3" xfId="12608" xr:uid="{A203E92D-4888-44B8-8F02-ADF585DD538C}"/>
    <cellStyle name="40% - Accent6 2 3 5 3" xfId="6252" xr:uid="{00000000-0005-0000-0000-00001B070000}"/>
    <cellStyle name="40% - Accent6 2 3 5 3 2" xfId="14681" xr:uid="{C1506881-6CCF-4514-8F6E-83195DF1BA31}"/>
    <cellStyle name="40% - Accent6 2 3 5 4" xfId="10463" xr:uid="{03A4962A-D7AB-4576-A3DD-B55C2B239502}"/>
    <cellStyle name="40% - Accent6 2 3 6" xfId="2357" xr:uid="{00000000-0005-0000-0000-00001C070000}"/>
    <cellStyle name="40% - Accent6 2 3 6 2" xfId="6665" xr:uid="{00000000-0005-0000-0000-00001D070000}"/>
    <cellStyle name="40% - Accent6 2 3 6 2 2" xfId="15094" xr:uid="{46B6C53E-DB55-429D-9F34-700DC0A09F1E}"/>
    <cellStyle name="40% - Accent6 2 3 6 3" xfId="10876" xr:uid="{460641C7-5EF7-4AA2-AB8B-A2EE8354EDCC}"/>
    <cellStyle name="40% - Accent6 2 3 7" xfId="4599" xr:uid="{00000000-0005-0000-0000-00001E070000}"/>
    <cellStyle name="40% - Accent6 2 3 7 2" xfId="13028" xr:uid="{D7442DEB-F593-438C-9FBD-51073A734FBA}"/>
    <cellStyle name="40% - Accent6 2 3 8" xfId="8810" xr:uid="{FDD21D7E-674D-4BB3-B9BC-652528298AB9}"/>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19E6AFF1-57BB-4D79-9972-DE47E46A48A0}"/>
    <cellStyle name="40% - Accent6 2 4 2 3" xfId="11366" xr:uid="{187E3C3D-8005-45FF-88D6-D52A2CA4A314}"/>
    <cellStyle name="40% - Accent6 2 4 3" xfId="5010" xr:uid="{00000000-0005-0000-0000-000022070000}"/>
    <cellStyle name="40% - Accent6 2 4 3 2" xfId="13439" xr:uid="{79058EF0-22DC-49EB-973F-65C7F3CA6A88}"/>
    <cellStyle name="40% - Accent6 2 4 4" xfId="9221" xr:uid="{60E88111-7A89-420E-880E-FE1B209BDD95}"/>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DFBE33C9-D4A5-4FC8-9B25-4064747EA1E1}"/>
    <cellStyle name="40% - Accent6 2 5 2 3" xfId="11779" xr:uid="{BB394401-B17B-40CF-8F53-59B85CE5E2D3}"/>
    <cellStyle name="40% - Accent6 2 5 3" xfId="5423" xr:uid="{00000000-0005-0000-0000-000026070000}"/>
    <cellStyle name="40% - Accent6 2 5 3 2" xfId="13852" xr:uid="{C030F9DC-C30A-4237-91E3-51816AC2C20D}"/>
    <cellStyle name="40% - Accent6 2 5 4" xfId="9634" xr:uid="{C39A90A0-B11E-4292-9E6C-AED6CB5D5794}"/>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F6848E35-60CA-47FE-87F5-3980622FD197}"/>
    <cellStyle name="40% - Accent6 2 6 2 3" xfId="12192" xr:uid="{CE94C91C-1367-4B99-B216-F7309B3A86B3}"/>
    <cellStyle name="40% - Accent6 2 6 3" xfId="5836" xr:uid="{00000000-0005-0000-0000-00002A070000}"/>
    <cellStyle name="40% - Accent6 2 6 3 2" xfId="14265" xr:uid="{68EC786A-129D-4A7C-A4AB-2490C4DCF7CE}"/>
    <cellStyle name="40% - Accent6 2 6 4" xfId="10047" xr:uid="{4B997898-3B8E-4B86-9E8F-013EBC57A103}"/>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89983293-3C1D-4E80-99D1-943406C1FF96}"/>
    <cellStyle name="40% - Accent6 2 7 2 3" xfId="12605" xr:uid="{EF7D9ABE-BD9D-41B0-9F73-E22B149BC825}"/>
    <cellStyle name="40% - Accent6 2 7 3" xfId="6249" xr:uid="{00000000-0005-0000-0000-00002E070000}"/>
    <cellStyle name="40% - Accent6 2 7 3 2" xfId="14678" xr:uid="{CA7D4510-4443-4B29-9433-EFFACC6FBCC9}"/>
    <cellStyle name="40% - Accent6 2 7 4" xfId="10460" xr:uid="{C0C60557-A120-48C8-8F5D-0CF1AEFE3F29}"/>
    <cellStyle name="40% - Accent6 2 8" xfId="2354" xr:uid="{00000000-0005-0000-0000-00002F070000}"/>
    <cellStyle name="40% - Accent6 2 8 2" xfId="6662" xr:uid="{00000000-0005-0000-0000-000030070000}"/>
    <cellStyle name="40% - Accent6 2 8 2 2" xfId="15091" xr:uid="{CCA253C7-1796-48FD-A9E5-AB4D715772EA}"/>
    <cellStyle name="40% - Accent6 2 8 3" xfId="10873" xr:uid="{CFB15F4C-4C22-420D-8EAA-7D119465BE52}"/>
    <cellStyle name="40% - Accent6 2 9" xfId="4596" xr:uid="{00000000-0005-0000-0000-000031070000}"/>
    <cellStyle name="40% - Accent6 2 9 2" xfId="13025" xr:uid="{AFAB7F05-3E33-4D53-9BDA-22F38942718A}"/>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454314A8-1033-4346-8B1B-139B00828165}"/>
    <cellStyle name="40% - Accent6 3 2 2 2 3" xfId="11371" xr:uid="{8BFE82E8-6347-41C6-A73B-33CBC5CBC050}"/>
    <cellStyle name="40% - Accent6 3 2 2 3" xfId="5015" xr:uid="{00000000-0005-0000-0000-000037070000}"/>
    <cellStyle name="40% - Accent6 3 2 2 3 2" xfId="13444" xr:uid="{D2E92BC6-0B1F-403A-8289-B47F1CBAEC3A}"/>
    <cellStyle name="40% - Accent6 3 2 2 4" xfId="9226" xr:uid="{6F6BF140-84E3-4EC2-A386-D72FC18EC9C6}"/>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804990B5-97D6-42FA-8BC5-A05ABE12E0C1}"/>
    <cellStyle name="40% - Accent6 3 2 3 2 3" xfId="11784" xr:uid="{BAFFB8F2-248D-4846-B39B-916CF66C837F}"/>
    <cellStyle name="40% - Accent6 3 2 3 3" xfId="5428" xr:uid="{00000000-0005-0000-0000-00003B070000}"/>
    <cellStyle name="40% - Accent6 3 2 3 3 2" xfId="13857" xr:uid="{5DAD54B0-435C-467D-86DF-38D94B7C47B4}"/>
    <cellStyle name="40% - Accent6 3 2 3 4" xfId="9639" xr:uid="{ABDB70F4-E40D-4076-99F4-101CCF0D8189}"/>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94856F09-42A3-4B0A-B824-2CF9F8613BC4}"/>
    <cellStyle name="40% - Accent6 3 2 4 2 3" xfId="12197" xr:uid="{985779A2-0964-48C9-BA80-CDE1F4AB0C3C}"/>
    <cellStyle name="40% - Accent6 3 2 4 3" xfId="5841" xr:uid="{00000000-0005-0000-0000-00003F070000}"/>
    <cellStyle name="40% - Accent6 3 2 4 3 2" xfId="14270" xr:uid="{8D8C5B8A-CE14-484E-9F03-B82E19B54A23}"/>
    <cellStyle name="40% - Accent6 3 2 4 4" xfId="10052" xr:uid="{A8E83053-912A-466E-890A-F4D3B9C5CC5A}"/>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76097D43-EF9B-4192-8E5E-4C415F002797}"/>
    <cellStyle name="40% - Accent6 3 2 5 2 3" xfId="12610" xr:uid="{14ED98F3-21D5-440E-832F-8F639AAB1AB3}"/>
    <cellStyle name="40% - Accent6 3 2 5 3" xfId="6254" xr:uid="{00000000-0005-0000-0000-000043070000}"/>
    <cellStyle name="40% - Accent6 3 2 5 3 2" xfId="14683" xr:uid="{7C7B3777-0DFB-4376-8CB2-5BEA946331F7}"/>
    <cellStyle name="40% - Accent6 3 2 5 4" xfId="10465" xr:uid="{B7FF338D-3090-4BB7-8C45-21127C742C72}"/>
    <cellStyle name="40% - Accent6 3 2 6" xfId="2359" xr:uid="{00000000-0005-0000-0000-000044070000}"/>
    <cellStyle name="40% - Accent6 3 2 6 2" xfId="6667" xr:uid="{00000000-0005-0000-0000-000045070000}"/>
    <cellStyle name="40% - Accent6 3 2 6 2 2" xfId="15096" xr:uid="{07AE29DC-D6D4-402F-91D4-115F92FFD8D3}"/>
    <cellStyle name="40% - Accent6 3 2 6 3" xfId="10878" xr:uid="{00D0A7B0-0253-4C76-8549-D88730A6EBB1}"/>
    <cellStyle name="40% - Accent6 3 2 7" xfId="4601" xr:uid="{00000000-0005-0000-0000-000046070000}"/>
    <cellStyle name="40% - Accent6 3 2 7 2" xfId="13030" xr:uid="{63214F35-C51E-44FC-844F-33DC7D830575}"/>
    <cellStyle name="40% - Accent6 3 2 8" xfId="8812" xr:uid="{F2E9CA86-7DAE-41AF-A0AF-CB745CC88DA4}"/>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965BB89E-B628-47AA-B385-076A64A9FAEE}"/>
    <cellStyle name="40% - Accent6 3 3 2 3" xfId="11370" xr:uid="{793F784A-0D26-4C8F-BCA5-6E6A51401041}"/>
    <cellStyle name="40% - Accent6 3 3 3" xfId="5014" xr:uid="{00000000-0005-0000-0000-00004A070000}"/>
    <cellStyle name="40% - Accent6 3 3 3 2" xfId="13443" xr:uid="{B0F73480-F8F4-4311-A4A8-FA059E4872F0}"/>
    <cellStyle name="40% - Accent6 3 3 4" xfId="9225" xr:uid="{D12A73B6-88BB-45C7-AC16-7AFF4A4D57AB}"/>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2BF13C8D-0E67-48CF-A788-51F2AE28C5AA}"/>
    <cellStyle name="40% - Accent6 3 4 2 3" xfId="11783" xr:uid="{04881D83-3870-4244-A347-9E11DF24EA55}"/>
    <cellStyle name="40% - Accent6 3 4 3" xfId="5427" xr:uid="{00000000-0005-0000-0000-00004E070000}"/>
    <cellStyle name="40% - Accent6 3 4 3 2" xfId="13856" xr:uid="{17AF62FD-C658-47EA-9B0C-AF0759BF49D0}"/>
    <cellStyle name="40% - Accent6 3 4 4" xfId="9638" xr:uid="{0A73AA94-7516-48F4-A63C-3F2CE70A6753}"/>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DCE38BF1-280B-410E-9A5E-427DC98316A9}"/>
    <cellStyle name="40% - Accent6 3 5 2 3" xfId="12196" xr:uid="{761B98CA-224C-4BFA-A272-EC3C3DA41A43}"/>
    <cellStyle name="40% - Accent6 3 5 3" xfId="5840" xr:uid="{00000000-0005-0000-0000-000052070000}"/>
    <cellStyle name="40% - Accent6 3 5 3 2" xfId="14269" xr:uid="{F9CD4CF8-ED43-4422-9B65-24C341221C9F}"/>
    <cellStyle name="40% - Accent6 3 5 4" xfId="10051" xr:uid="{C256517F-0549-4652-9F00-5E9F6D6E05EE}"/>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B9350DA0-759E-48B5-A073-B88DEFAE54E9}"/>
    <cellStyle name="40% - Accent6 3 6 2 3" xfId="12609" xr:uid="{3EF4E732-0676-434A-8D85-5D252E2438B3}"/>
    <cellStyle name="40% - Accent6 3 6 3" xfId="6253" xr:uid="{00000000-0005-0000-0000-000056070000}"/>
    <cellStyle name="40% - Accent6 3 6 3 2" xfId="14682" xr:uid="{1A3BFC96-F1FF-4CCE-A29E-7ACD00BCF2F6}"/>
    <cellStyle name="40% - Accent6 3 6 4" xfId="10464" xr:uid="{CFD62920-DE4F-4D4E-874D-484A8C961DDF}"/>
    <cellStyle name="40% - Accent6 3 7" xfId="2358" xr:uid="{00000000-0005-0000-0000-000057070000}"/>
    <cellStyle name="40% - Accent6 3 7 2" xfId="6666" xr:uid="{00000000-0005-0000-0000-000058070000}"/>
    <cellStyle name="40% - Accent6 3 7 2 2" xfId="15095" xr:uid="{283CE3EE-0F17-4FDE-85CF-DB4C24A3692D}"/>
    <cellStyle name="40% - Accent6 3 7 3" xfId="10877" xr:uid="{DAE53400-8CF7-4494-8192-65FEF29B95FA}"/>
    <cellStyle name="40% - Accent6 3 8" xfId="4600" xr:uid="{00000000-0005-0000-0000-000059070000}"/>
    <cellStyle name="40% - Accent6 3 8 2" xfId="13029" xr:uid="{0377749A-DF98-42D8-94EF-5C0B692834CD}"/>
    <cellStyle name="40% - Accent6 3 9" xfId="8811" xr:uid="{F044F413-AE34-4B73-8A0A-A3EACA3DF778}"/>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10AE5D3D-6558-4DD7-B03B-7A9C3A1ABEDE}"/>
    <cellStyle name="40% - Accent6 4 2 2 3" xfId="11372" xr:uid="{8FCE9388-A257-4562-B44F-6955E6A3AF53}"/>
    <cellStyle name="40% - Accent6 4 2 3" xfId="5016" xr:uid="{00000000-0005-0000-0000-00005E070000}"/>
    <cellStyle name="40% - Accent6 4 2 3 2" xfId="13445" xr:uid="{17AED473-BF7A-4F0D-A6DD-1694CE5C7A4F}"/>
    <cellStyle name="40% - Accent6 4 2 4" xfId="9227" xr:uid="{931DCEFD-9763-4637-9753-D82949B3FACC}"/>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083A263A-4F1D-4CA7-9102-CD3F3ABD4334}"/>
    <cellStyle name="40% - Accent6 4 3 2 3" xfId="11785" xr:uid="{1BFD27B8-218B-4D63-B200-3718C4B3B415}"/>
    <cellStyle name="40% - Accent6 4 3 3" xfId="5429" xr:uid="{00000000-0005-0000-0000-000062070000}"/>
    <cellStyle name="40% - Accent6 4 3 3 2" xfId="13858" xr:uid="{0A64AC7A-D943-4FBC-B954-F293907A8E62}"/>
    <cellStyle name="40% - Accent6 4 3 4" xfId="9640" xr:uid="{F9FFC374-1D28-45D7-96A1-194C81C5A993}"/>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09F38AB2-D92D-4B79-A7D8-DD4CEAC3CC36}"/>
    <cellStyle name="40% - Accent6 4 4 2 3" xfId="12198" xr:uid="{B904861D-BADA-46EF-90C8-DDABE5B235C7}"/>
    <cellStyle name="40% - Accent6 4 4 3" xfId="5842" xr:uid="{00000000-0005-0000-0000-000066070000}"/>
    <cellStyle name="40% - Accent6 4 4 3 2" xfId="14271" xr:uid="{B13760E8-D741-4809-8EFF-A04617A4CB38}"/>
    <cellStyle name="40% - Accent6 4 4 4" xfId="10053" xr:uid="{352E8870-8ADE-4357-9861-67D5DF1D8C81}"/>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3DE5BD45-5D86-4135-B2F6-3E8CFCB30B27}"/>
    <cellStyle name="40% - Accent6 4 5 2 3" xfId="12611" xr:uid="{C36B80CA-B598-4ECF-BE04-E054D8C62BB6}"/>
    <cellStyle name="40% - Accent6 4 5 3" xfId="6255" xr:uid="{00000000-0005-0000-0000-00006A070000}"/>
    <cellStyle name="40% - Accent6 4 5 3 2" xfId="14684" xr:uid="{984F88A2-B577-4342-92E8-16A7CDAA9E87}"/>
    <cellStyle name="40% - Accent6 4 5 4" xfId="10466" xr:uid="{1F49CA53-C45B-4261-9C1C-1DA98FCEA086}"/>
    <cellStyle name="40% - Accent6 4 6" xfId="2360" xr:uid="{00000000-0005-0000-0000-00006B070000}"/>
    <cellStyle name="40% - Accent6 4 6 2" xfId="6668" xr:uid="{00000000-0005-0000-0000-00006C070000}"/>
    <cellStyle name="40% - Accent6 4 6 2 2" xfId="15097" xr:uid="{CA8FDE74-631B-4F79-BA0A-905D9B68247C}"/>
    <cellStyle name="40% - Accent6 4 6 3" xfId="10879" xr:uid="{963752D2-0831-4006-B6B2-9C2403655739}"/>
    <cellStyle name="40% - Accent6 4 7" xfId="4602" xr:uid="{00000000-0005-0000-0000-00006D070000}"/>
    <cellStyle name="40% - Accent6 4 7 2" xfId="13031" xr:uid="{6F8BFC4C-2C88-4E0D-BEC0-09D15AC38AC8}"/>
    <cellStyle name="40% - Accent6 4 8" xfId="8813" xr:uid="{C29CD3AB-1609-4836-A0D3-12B158DB617D}"/>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779D4775-46E0-4797-9E3F-3FA6F3BAEE7A}"/>
    <cellStyle name="40% - Accent6 5 2 3" xfId="11365" xr:uid="{3859B39A-E3EF-4A11-9F8E-BB8CBFA8C5ED}"/>
    <cellStyle name="40% - Accent6 5 3" xfId="5009" xr:uid="{00000000-0005-0000-0000-000071070000}"/>
    <cellStyle name="40% - Accent6 5 3 2" xfId="13438" xr:uid="{32943B56-E143-4CCC-B2DC-78E026A2F9B7}"/>
    <cellStyle name="40% - Accent6 5 4" xfId="9220" xr:uid="{3FC9C93C-A58A-4616-892C-7BFF5214D6EC}"/>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CB9F3431-28B5-4E98-A96C-152289A11DAF}"/>
    <cellStyle name="40% - Accent6 6 2 3" xfId="11778" xr:uid="{3496F16C-4EC6-4B63-8CA5-4BA51CE3E0E9}"/>
    <cellStyle name="40% - Accent6 6 3" xfId="5422" xr:uid="{00000000-0005-0000-0000-000075070000}"/>
    <cellStyle name="40% - Accent6 6 3 2" xfId="13851" xr:uid="{7F8E17B8-3D9D-4A56-BE09-87E761B04F9A}"/>
    <cellStyle name="40% - Accent6 6 4" xfId="9633" xr:uid="{BCBA8252-6B3E-4401-A862-3BA9BC592826}"/>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71A2EFE8-B827-4513-BE8D-DD1D731244F9}"/>
    <cellStyle name="40% - Accent6 7 2 3" xfId="12191" xr:uid="{A508B4DD-22D0-4580-96E8-35F27E420A98}"/>
    <cellStyle name="40% - Accent6 7 3" xfId="5835" xr:uid="{00000000-0005-0000-0000-000079070000}"/>
    <cellStyle name="40% - Accent6 7 3 2" xfId="14264" xr:uid="{4753CF45-2B66-44DB-8120-79D5FCAF58D0}"/>
    <cellStyle name="40% - Accent6 7 4" xfId="10046" xr:uid="{4920AC6A-A3BD-4559-843B-A7CB81E845C2}"/>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8BBA46A0-1EAB-4F7B-B531-75313B3C0B11}"/>
    <cellStyle name="40% - Accent6 8 2 3" xfId="12604" xr:uid="{A6E97358-3721-4CD2-A685-1325CBC7D4D3}"/>
    <cellStyle name="40% - Accent6 8 3" xfId="6248" xr:uid="{00000000-0005-0000-0000-00007D070000}"/>
    <cellStyle name="40% - Accent6 8 3 2" xfId="14677" xr:uid="{90B3A10A-3075-47AC-B4BD-3B2E735C9F9C}"/>
    <cellStyle name="40% - Accent6 8 4" xfId="10459" xr:uid="{BF2EA1B6-035C-4F21-B804-66FE1A3BAE86}"/>
    <cellStyle name="40% - Accent6 9" xfId="2353" xr:uid="{00000000-0005-0000-0000-00007E070000}"/>
    <cellStyle name="40% - Accent6 9 2" xfId="6661" xr:uid="{00000000-0005-0000-0000-00007F070000}"/>
    <cellStyle name="40% - Accent6 9 2 2" xfId="15090" xr:uid="{34D698F8-D56E-45C2-B32E-5AC05AC67A86}"/>
    <cellStyle name="40% - Accent6 9 3" xfId="10872" xr:uid="{37AC099F-750B-43C2-8D60-5D8DE7BA6A9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0BDC7F11-D887-4B30-A40D-DC86DAB7E4C3}"/>
    <cellStyle name="Comma 4 2 2 2 10 3" xfId="11197" xr:uid="{9EF2D586-887D-4679-A799-108B79A247C8}"/>
    <cellStyle name="Comma 4 2 2 2 11" xfId="4603" xr:uid="{00000000-0005-0000-0000-0000A3070000}"/>
    <cellStyle name="Comma 4 2 2 2 11 2" xfId="13032" xr:uid="{E6061138-06DF-4CC9-A5CD-9DBDA1854F5D}"/>
    <cellStyle name="Comma 4 2 2 2 12" xfId="8814" xr:uid="{9B726233-5541-4422-8C61-64182CF8FF1D}"/>
    <cellStyle name="Comma 4 2 2 2 2" xfId="129" xr:uid="{00000000-0005-0000-0000-0000A4070000}"/>
    <cellStyle name="Comma 4 2 2 2 2 10" xfId="4604" xr:uid="{00000000-0005-0000-0000-0000A5070000}"/>
    <cellStyle name="Comma 4 2 2 2 2 10 2" xfId="13033" xr:uid="{2A95E553-4025-4B47-ADF0-00CE5258C6CB}"/>
    <cellStyle name="Comma 4 2 2 2 2 11" xfId="8815" xr:uid="{85FB2099-48A2-4FF1-9B06-F77163C79E8C}"/>
    <cellStyle name="Comma 4 2 2 2 2 2" xfId="130" xr:uid="{00000000-0005-0000-0000-0000A6070000}"/>
    <cellStyle name="Comma 4 2 2 2 2 2 10" xfId="8816" xr:uid="{7BC0F424-4435-464B-B900-930A92061704}"/>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602CF30D-6F6C-4094-B7CE-F8BAE7629FC4}"/>
    <cellStyle name="Comma 4 2 2 2 2 2 2 2 3" xfId="11375" xr:uid="{098E8028-3A02-443D-851D-3D8878BA593A}"/>
    <cellStyle name="Comma 4 2 2 2 2 2 2 3" xfId="5019" xr:uid="{00000000-0005-0000-0000-0000AA070000}"/>
    <cellStyle name="Comma 4 2 2 2 2 2 2 3 2" xfId="13448" xr:uid="{17DCC373-6DEC-4E6A-93FB-2EEC4F9072D6}"/>
    <cellStyle name="Comma 4 2 2 2 2 2 2 4" xfId="9230" xr:uid="{C1D9D717-A25A-45F5-8710-3D7157EA87BD}"/>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70BB35B5-2333-44A5-8C59-4D2CA2106A50}"/>
    <cellStyle name="Comma 4 2 2 2 2 2 3 2 3" xfId="11788" xr:uid="{ADA34E02-04A0-45D1-AFFC-E9200B7C70D1}"/>
    <cellStyle name="Comma 4 2 2 2 2 2 3 3" xfId="5432" xr:uid="{00000000-0005-0000-0000-0000AE070000}"/>
    <cellStyle name="Comma 4 2 2 2 2 2 3 3 2" xfId="13861" xr:uid="{DE7A5AC9-1694-4152-A9EB-9C8D503EDE62}"/>
    <cellStyle name="Comma 4 2 2 2 2 2 3 4" xfId="9643" xr:uid="{0CDF3637-B782-47FF-A2BA-BF32CE9D5618}"/>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3226AFDE-CEDD-40D4-A8DB-9980BFD07835}"/>
    <cellStyle name="Comma 4 2 2 2 2 2 4 2 3" xfId="12201" xr:uid="{D174DABA-912D-4903-BF13-B850276714CB}"/>
    <cellStyle name="Comma 4 2 2 2 2 2 4 3" xfId="5845" xr:uid="{00000000-0005-0000-0000-0000B2070000}"/>
    <cellStyle name="Comma 4 2 2 2 2 2 4 3 2" xfId="14274" xr:uid="{8A58BCC0-84D5-4BBF-A2B3-B28D41A23869}"/>
    <cellStyle name="Comma 4 2 2 2 2 2 4 4" xfId="10056" xr:uid="{3AB91933-BF9B-4174-8980-934015874A43}"/>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D8925B88-CA1D-4410-8D2F-EC5FE94ABF8A}"/>
    <cellStyle name="Comma 4 2 2 2 2 2 5 2 3" xfId="12614" xr:uid="{E006AAF6-4CA9-4E1C-8D71-04F48113AC1F}"/>
    <cellStyle name="Comma 4 2 2 2 2 2 5 3" xfId="6258" xr:uid="{00000000-0005-0000-0000-0000B6070000}"/>
    <cellStyle name="Comma 4 2 2 2 2 2 5 3 2" xfId="14687" xr:uid="{59BFECF3-7724-41BD-A49C-E609B0384848}"/>
    <cellStyle name="Comma 4 2 2 2 2 2 5 4" xfId="10469" xr:uid="{96ADE25C-AFC7-4737-8BBB-9CE74A18E625}"/>
    <cellStyle name="Comma 4 2 2 2 2 2 6" xfId="2385" xr:uid="{00000000-0005-0000-0000-0000B7070000}"/>
    <cellStyle name="Comma 4 2 2 2 2 2 6 2" xfId="6671" xr:uid="{00000000-0005-0000-0000-0000B8070000}"/>
    <cellStyle name="Comma 4 2 2 2 2 2 6 2 2" xfId="15100" xr:uid="{349E0F59-627B-42A9-8A08-8A49F2F8FDE0}"/>
    <cellStyle name="Comma 4 2 2 2 2 2 6 3" xfId="10882" xr:uid="{3D021E77-E293-4AA3-A5FB-CB9A39511AA0}"/>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20BBD209-3BC9-4F94-9537-A8311937C656}"/>
    <cellStyle name="Comma 4 2 2 2 2 2 8 3" xfId="11199" xr:uid="{04DF9A12-1FF2-4B99-97F1-0D5A6E8A2D1A}"/>
    <cellStyle name="Comma 4 2 2 2 2 2 9" xfId="4605" xr:uid="{00000000-0005-0000-0000-0000BC070000}"/>
    <cellStyle name="Comma 4 2 2 2 2 2 9 2" xfId="13034" xr:uid="{1F8E40AA-298C-4049-A678-2BA0649EB9A1}"/>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C5E1C330-8DF5-4F89-A355-036332EB859A}"/>
    <cellStyle name="Comma 4 2 2 2 2 3 2 3" xfId="11374" xr:uid="{4AE1C42A-2DB8-4945-82A0-C2EC0B6EA680}"/>
    <cellStyle name="Comma 4 2 2 2 2 3 3" xfId="5018" xr:uid="{00000000-0005-0000-0000-0000C0070000}"/>
    <cellStyle name="Comma 4 2 2 2 2 3 3 2" xfId="13447" xr:uid="{607A4482-4541-43D4-8FE1-88BC9ABFFC8F}"/>
    <cellStyle name="Comma 4 2 2 2 2 3 4" xfId="9229" xr:uid="{BA5AA5DC-22F0-449A-A160-727FB2668B24}"/>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E9C4A2F3-6C67-4038-934A-062367048337}"/>
    <cellStyle name="Comma 4 2 2 2 2 4 2 3" xfId="11787" xr:uid="{452DBCB1-83EF-4DBD-AB97-22FAEDB5FF1B}"/>
    <cellStyle name="Comma 4 2 2 2 2 4 3" xfId="5431" xr:uid="{00000000-0005-0000-0000-0000C4070000}"/>
    <cellStyle name="Comma 4 2 2 2 2 4 3 2" xfId="13860" xr:uid="{B8951EAC-5496-4BAD-A08C-EBA7545738FC}"/>
    <cellStyle name="Comma 4 2 2 2 2 4 4" xfId="9642" xr:uid="{658E053E-506C-4844-9247-B4FA57A7C0CC}"/>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461567AE-ED98-48F0-A058-E0EEE26C018A}"/>
    <cellStyle name="Comma 4 2 2 2 2 5 2 3" xfId="12200" xr:uid="{2BDB3924-6FB4-41CF-9E80-4DCA03429C7E}"/>
    <cellStyle name="Comma 4 2 2 2 2 5 3" xfId="5844" xr:uid="{00000000-0005-0000-0000-0000C8070000}"/>
    <cellStyle name="Comma 4 2 2 2 2 5 3 2" xfId="14273" xr:uid="{EA37548F-ED94-4894-A82F-DA54873BEDDE}"/>
    <cellStyle name="Comma 4 2 2 2 2 5 4" xfId="10055" xr:uid="{1D175BA7-79CB-4E76-9036-DD8C3EA34FD0}"/>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4A578475-0ABA-435E-BDD6-9577E07B9C93}"/>
    <cellStyle name="Comma 4 2 2 2 2 6 2 3" xfId="12613" xr:uid="{D64276E9-EC0D-4F80-ABB5-C717B2EAF4FB}"/>
    <cellStyle name="Comma 4 2 2 2 2 6 3" xfId="6257" xr:uid="{00000000-0005-0000-0000-0000CC070000}"/>
    <cellStyle name="Comma 4 2 2 2 2 6 3 2" xfId="14686" xr:uid="{248F45FA-2FDB-4475-A54D-80F63CA09442}"/>
    <cellStyle name="Comma 4 2 2 2 2 6 4" xfId="10468" xr:uid="{B34A549C-CEBF-4335-BE20-D06FFAFD9876}"/>
    <cellStyle name="Comma 4 2 2 2 2 7" xfId="2384" xr:uid="{00000000-0005-0000-0000-0000CD070000}"/>
    <cellStyle name="Comma 4 2 2 2 2 7 2" xfId="6670" xr:uid="{00000000-0005-0000-0000-0000CE070000}"/>
    <cellStyle name="Comma 4 2 2 2 2 7 2 2" xfId="15099" xr:uid="{AEBBA72E-F45B-4780-A23E-063C60DB2A5F}"/>
    <cellStyle name="Comma 4 2 2 2 2 7 3" xfId="10881" xr:uid="{89971565-3041-46D3-AE45-689ABB966296}"/>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55E2C8A2-D7C0-4FD8-95B2-783DE8248CA8}"/>
    <cellStyle name="Comma 4 2 2 2 2 9 3" xfId="11198" xr:uid="{A3A2E4BA-6AC8-4BCB-8BE6-9B89E6EE20EC}"/>
    <cellStyle name="Comma 4 2 2 2 3" xfId="131" xr:uid="{00000000-0005-0000-0000-0000D2070000}"/>
    <cellStyle name="Comma 4 2 2 2 3 10" xfId="8817" xr:uid="{2BB2A6A8-D163-454C-B0ED-0A1F1FF870E1}"/>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5EF3192C-1FD6-4D25-BC02-8689E7B88605}"/>
    <cellStyle name="Comma 4 2 2 2 3 2 2 3" xfId="11376" xr:uid="{0A5FF460-D5B8-43A1-8E1D-50E056819E2C}"/>
    <cellStyle name="Comma 4 2 2 2 3 2 3" xfId="5020" xr:uid="{00000000-0005-0000-0000-0000D6070000}"/>
    <cellStyle name="Comma 4 2 2 2 3 2 3 2" xfId="13449" xr:uid="{99874013-B9E3-4507-80F2-918E317FFC7A}"/>
    <cellStyle name="Comma 4 2 2 2 3 2 4" xfId="9231" xr:uid="{94EA7721-1720-49C6-87AA-ADE76A7FC6B1}"/>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04933B36-4F35-4F4B-ABB0-6F8508F022CA}"/>
    <cellStyle name="Comma 4 2 2 2 3 3 2 3" xfId="11789" xr:uid="{EF3C1ABB-765A-44F6-A001-519118F3AB23}"/>
    <cellStyle name="Comma 4 2 2 2 3 3 3" xfId="5433" xr:uid="{00000000-0005-0000-0000-0000DA070000}"/>
    <cellStyle name="Comma 4 2 2 2 3 3 3 2" xfId="13862" xr:uid="{D84EBCD2-BA9D-49C3-A318-1F66B504D980}"/>
    <cellStyle name="Comma 4 2 2 2 3 3 4" xfId="9644" xr:uid="{955946BB-2DCB-42D3-AF36-7B7FF333CBD4}"/>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0E4D1863-F7CC-4965-BE12-CC6BDE9A64D7}"/>
    <cellStyle name="Comma 4 2 2 2 3 4 2 3" xfId="12202" xr:uid="{FD60B0F1-739F-4CDE-8A3F-4792BE7B3130}"/>
    <cellStyle name="Comma 4 2 2 2 3 4 3" xfId="5846" xr:uid="{00000000-0005-0000-0000-0000DE070000}"/>
    <cellStyle name="Comma 4 2 2 2 3 4 3 2" xfId="14275" xr:uid="{CD98BD69-1FD1-4B0E-A04C-74F9E579B666}"/>
    <cellStyle name="Comma 4 2 2 2 3 4 4" xfId="10057" xr:uid="{462D509E-98A3-45CC-AA44-7CE854CFEEE7}"/>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5B52038F-F9C8-4D9F-9177-0FC108971B2F}"/>
    <cellStyle name="Comma 4 2 2 2 3 5 2 3" xfId="12615" xr:uid="{8242C81F-88E4-498B-9E41-ED32722DC11C}"/>
    <cellStyle name="Comma 4 2 2 2 3 5 3" xfId="6259" xr:uid="{00000000-0005-0000-0000-0000E2070000}"/>
    <cellStyle name="Comma 4 2 2 2 3 5 3 2" xfId="14688" xr:uid="{43004938-88A7-4985-B071-FBC155F7B617}"/>
    <cellStyle name="Comma 4 2 2 2 3 5 4" xfId="10470" xr:uid="{9052B394-985D-4AA5-B50F-A561BE673E30}"/>
    <cellStyle name="Comma 4 2 2 2 3 6" xfId="2386" xr:uid="{00000000-0005-0000-0000-0000E3070000}"/>
    <cellStyle name="Comma 4 2 2 2 3 6 2" xfId="6672" xr:uid="{00000000-0005-0000-0000-0000E4070000}"/>
    <cellStyle name="Comma 4 2 2 2 3 6 2 2" xfId="15101" xr:uid="{0DFA067A-1824-4865-AD89-BEB587DC290F}"/>
    <cellStyle name="Comma 4 2 2 2 3 6 3" xfId="10883" xr:uid="{853A322E-0C1D-494C-AB9F-2B432C92BD2A}"/>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CA668C95-E7A8-46A3-9557-6A173C0F2345}"/>
    <cellStyle name="Comma 4 2 2 2 3 8 3" xfId="11200" xr:uid="{D40C686C-DC97-438E-A58E-A59F1D27BF25}"/>
    <cellStyle name="Comma 4 2 2 2 3 9" xfId="4606" xr:uid="{00000000-0005-0000-0000-0000E8070000}"/>
    <cellStyle name="Comma 4 2 2 2 3 9 2" xfId="13035" xr:uid="{ABE803EC-D400-45BA-B602-8C9094AC2CAB}"/>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93E06854-46C1-467F-940B-920FC9E11488}"/>
    <cellStyle name="Comma 4 2 2 2 4 2 3" xfId="11373" xr:uid="{C6BEDD66-15A1-4CC7-B774-D924A912AC50}"/>
    <cellStyle name="Comma 4 2 2 2 4 3" xfId="5017" xr:uid="{00000000-0005-0000-0000-0000EC070000}"/>
    <cellStyle name="Comma 4 2 2 2 4 3 2" xfId="13446" xr:uid="{FF95CF4E-6BEA-401E-B8B1-15D98C542950}"/>
    <cellStyle name="Comma 4 2 2 2 4 4" xfId="9228" xr:uid="{F92451EE-0E07-44C2-8FD0-A6CB20DEBAA1}"/>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C2EA9B50-D40E-45B5-B1FC-D714A35655F6}"/>
    <cellStyle name="Comma 4 2 2 2 5 2 3" xfId="11786" xr:uid="{C28D3EB4-D3A9-45AC-A3D1-68DEEA5D8D73}"/>
    <cellStyle name="Comma 4 2 2 2 5 3" xfId="5430" xr:uid="{00000000-0005-0000-0000-0000F0070000}"/>
    <cellStyle name="Comma 4 2 2 2 5 3 2" xfId="13859" xr:uid="{16D9CE30-E578-49A6-ACED-13CA85D5EFD5}"/>
    <cellStyle name="Comma 4 2 2 2 5 4" xfId="9641" xr:uid="{E35F15B3-1548-4F0E-A064-5AF2C74288CD}"/>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4324ED43-8431-472B-B530-6D1D5A2BC1B3}"/>
    <cellStyle name="Comma 4 2 2 2 6 2 3" xfId="12199" xr:uid="{EE658D28-30C1-4A13-8FB5-463A23DB3BCD}"/>
    <cellStyle name="Comma 4 2 2 2 6 3" xfId="5843" xr:uid="{00000000-0005-0000-0000-0000F4070000}"/>
    <cellStyle name="Comma 4 2 2 2 6 3 2" xfId="14272" xr:uid="{0565555C-1130-49D1-8438-5FA86FE3600D}"/>
    <cellStyle name="Comma 4 2 2 2 6 4" xfId="10054" xr:uid="{740C0EC3-AA5B-49C5-8AD6-03A583F3068E}"/>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43A15852-05CB-47EA-BE42-EC25C674FA2C}"/>
    <cellStyle name="Comma 4 2 2 2 7 2 3" xfId="12612" xr:uid="{1B9A7CF1-E759-4928-9114-2841268F495D}"/>
    <cellStyle name="Comma 4 2 2 2 7 3" xfId="6256" xr:uid="{00000000-0005-0000-0000-0000F8070000}"/>
    <cellStyle name="Comma 4 2 2 2 7 3 2" xfId="14685" xr:uid="{800C3B25-1C48-4AD2-8F37-4014954A5612}"/>
    <cellStyle name="Comma 4 2 2 2 7 4" xfId="10467" xr:uid="{D3787E59-E73C-45E3-9533-7EF925E35F6A}"/>
    <cellStyle name="Comma 4 2 2 2 8" xfId="2383" xr:uid="{00000000-0005-0000-0000-0000F9070000}"/>
    <cellStyle name="Comma 4 2 2 2 8 2" xfId="6669" xr:uid="{00000000-0005-0000-0000-0000FA070000}"/>
    <cellStyle name="Comma 4 2 2 2 8 2 2" xfId="15098" xr:uid="{47A3BBDA-ED42-4E3C-9BDE-75C88526EDBF}"/>
    <cellStyle name="Comma 4 2 2 2 8 3" xfId="10880" xr:uid="{DC2B2D85-FC3B-4DAF-8F9E-BB58500C44CE}"/>
    <cellStyle name="Comma 4 2 2 2 9" xfId="2382" xr:uid="{00000000-0005-0000-0000-0000FB070000}"/>
    <cellStyle name="Comma 4 2 2 3" xfId="132" xr:uid="{00000000-0005-0000-0000-0000FC070000}"/>
    <cellStyle name="Comma 4 2 2 3 10" xfId="4607" xr:uid="{00000000-0005-0000-0000-0000FD070000}"/>
    <cellStyle name="Comma 4 2 2 3 10 2" xfId="13036" xr:uid="{F3724CC3-2C6C-450A-9B7F-778F153B008B}"/>
    <cellStyle name="Comma 4 2 2 3 11" xfId="8818" xr:uid="{456B22A3-CC4E-4B51-B3B8-C06D7528ADAA}"/>
    <cellStyle name="Comma 4 2 2 3 2" xfId="133" xr:uid="{00000000-0005-0000-0000-0000FE070000}"/>
    <cellStyle name="Comma 4 2 2 3 2 10" xfId="8819" xr:uid="{18A39A1E-F8D4-4A9F-9108-F85A1B4BB9F1}"/>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DB5A3868-D75C-43A5-821D-67C7C24A5205}"/>
    <cellStyle name="Comma 4 2 2 3 2 2 2 3" xfId="11378" xr:uid="{5C7A55B5-EE23-4349-8475-50770800465E}"/>
    <cellStyle name="Comma 4 2 2 3 2 2 3" xfId="5022" xr:uid="{00000000-0005-0000-0000-000002080000}"/>
    <cellStyle name="Comma 4 2 2 3 2 2 3 2" xfId="13451" xr:uid="{E77B597E-D46F-4B26-B0B1-42C1909702A4}"/>
    <cellStyle name="Comma 4 2 2 3 2 2 4" xfId="9233" xr:uid="{6BB11CA2-6646-4B25-8EBD-9C5F46C79C60}"/>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73157F02-6324-42F7-916F-103AEC52EE22}"/>
    <cellStyle name="Comma 4 2 2 3 2 3 2 3" xfId="11791" xr:uid="{A532A8C9-5E8E-4E2B-859C-C9FDC4DDBA9D}"/>
    <cellStyle name="Comma 4 2 2 3 2 3 3" xfId="5435" xr:uid="{00000000-0005-0000-0000-000006080000}"/>
    <cellStyle name="Comma 4 2 2 3 2 3 3 2" xfId="13864" xr:uid="{1D700518-D180-4E3F-A614-244A0B11E23A}"/>
    <cellStyle name="Comma 4 2 2 3 2 3 4" xfId="9646" xr:uid="{ED6C4181-7DAB-4483-8106-2CE601F9FB26}"/>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5185EFD8-EDB8-40D5-830A-C5D5206C1C53}"/>
    <cellStyle name="Comma 4 2 2 3 2 4 2 3" xfId="12204" xr:uid="{0988268F-349B-4789-992D-1E21FEAB1528}"/>
    <cellStyle name="Comma 4 2 2 3 2 4 3" xfId="5848" xr:uid="{00000000-0005-0000-0000-00000A080000}"/>
    <cellStyle name="Comma 4 2 2 3 2 4 3 2" xfId="14277" xr:uid="{9DDA81C2-A1C1-4A72-9C54-A79995327CE0}"/>
    <cellStyle name="Comma 4 2 2 3 2 4 4" xfId="10059" xr:uid="{D18ABBE7-118E-4753-AB56-DD73ECE10406}"/>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BA256E5E-2C91-4670-86EF-873592B9690C}"/>
    <cellStyle name="Comma 4 2 2 3 2 5 2 3" xfId="12617" xr:uid="{73A3DE97-BC98-4120-8FD4-CA6706ED673C}"/>
    <cellStyle name="Comma 4 2 2 3 2 5 3" xfId="6261" xr:uid="{00000000-0005-0000-0000-00000E080000}"/>
    <cellStyle name="Comma 4 2 2 3 2 5 3 2" xfId="14690" xr:uid="{4120C1F5-3C9A-43EF-80D2-23F5D58CAE90}"/>
    <cellStyle name="Comma 4 2 2 3 2 5 4" xfId="10472" xr:uid="{799E30FC-DCF3-489D-B639-9FE3F90F6891}"/>
    <cellStyle name="Comma 4 2 2 3 2 6" xfId="2388" xr:uid="{00000000-0005-0000-0000-00000F080000}"/>
    <cellStyle name="Comma 4 2 2 3 2 6 2" xfId="6674" xr:uid="{00000000-0005-0000-0000-000010080000}"/>
    <cellStyle name="Comma 4 2 2 3 2 6 2 2" xfId="15103" xr:uid="{C250CA3F-D673-433E-BDF3-633B2A309DAE}"/>
    <cellStyle name="Comma 4 2 2 3 2 6 3" xfId="10885" xr:uid="{5360156D-6E7A-4DC9-B70A-E8D388D05128}"/>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782C6BA1-A25C-4BE2-B5C0-4DCD0DBAE5A7}"/>
    <cellStyle name="Comma 4 2 2 3 2 8 3" xfId="11202" xr:uid="{BA8358AF-1589-4BDD-923D-C7065907B57E}"/>
    <cellStyle name="Comma 4 2 2 3 2 9" xfId="4608" xr:uid="{00000000-0005-0000-0000-000014080000}"/>
    <cellStyle name="Comma 4 2 2 3 2 9 2" xfId="13037" xr:uid="{AC419EE7-4F33-44EC-A42A-CFBCE0E242B6}"/>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E6D29CD9-1397-4DEF-9A79-B23B1576D1AA}"/>
    <cellStyle name="Comma 4 2 2 3 3 2 3" xfId="11377" xr:uid="{79366151-B2B9-479F-AA2F-0CAA0C040C86}"/>
    <cellStyle name="Comma 4 2 2 3 3 3" xfId="5021" xr:uid="{00000000-0005-0000-0000-000018080000}"/>
    <cellStyle name="Comma 4 2 2 3 3 3 2" xfId="13450" xr:uid="{36C81591-2FD4-43D1-AA2F-D07E10041871}"/>
    <cellStyle name="Comma 4 2 2 3 3 4" xfId="9232" xr:uid="{63C36464-9349-42F6-9C59-39ADE2456DB7}"/>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0EC92605-1FE1-4E0C-93C9-3098DE2C4CE1}"/>
    <cellStyle name="Comma 4 2 2 3 4 2 3" xfId="11790" xr:uid="{B8C1CF57-3F0D-4F12-9499-62E92C1004A5}"/>
    <cellStyle name="Comma 4 2 2 3 4 3" xfId="5434" xr:uid="{00000000-0005-0000-0000-00001C080000}"/>
    <cellStyle name="Comma 4 2 2 3 4 3 2" xfId="13863" xr:uid="{B041A98E-0F18-488C-8D31-E200AD9955A6}"/>
    <cellStyle name="Comma 4 2 2 3 4 4" xfId="9645" xr:uid="{D9E732E2-CE11-45A8-98C1-44477C582B42}"/>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84DB0EBC-E04A-428C-AD37-D529D6A98F57}"/>
    <cellStyle name="Comma 4 2 2 3 5 2 3" xfId="12203" xr:uid="{E300D3C3-576C-4643-A393-A9DEB34E8238}"/>
    <cellStyle name="Comma 4 2 2 3 5 3" xfId="5847" xr:uid="{00000000-0005-0000-0000-000020080000}"/>
    <cellStyle name="Comma 4 2 2 3 5 3 2" xfId="14276" xr:uid="{0706007F-0595-497D-BCB0-CF3F5E3ACE7A}"/>
    <cellStyle name="Comma 4 2 2 3 5 4" xfId="10058" xr:uid="{F73A59D2-9CAB-4239-8FCB-017642EE347A}"/>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1BCD508B-5912-4C17-BF20-3542A5DB641F}"/>
    <cellStyle name="Comma 4 2 2 3 6 2 3" xfId="12616" xr:uid="{88A68373-FBD8-4B66-A2E0-B9B7399D5324}"/>
    <cellStyle name="Comma 4 2 2 3 6 3" xfId="6260" xr:uid="{00000000-0005-0000-0000-000024080000}"/>
    <cellStyle name="Comma 4 2 2 3 6 3 2" xfId="14689" xr:uid="{7E2178CD-5EFA-4597-98F2-7A21A591A6A1}"/>
    <cellStyle name="Comma 4 2 2 3 6 4" xfId="10471" xr:uid="{E4D1A9DC-6B45-4450-B63A-89BFD9E4CD54}"/>
    <cellStyle name="Comma 4 2 2 3 7" xfId="2387" xr:uid="{00000000-0005-0000-0000-000025080000}"/>
    <cellStyle name="Comma 4 2 2 3 7 2" xfId="6673" xr:uid="{00000000-0005-0000-0000-000026080000}"/>
    <cellStyle name="Comma 4 2 2 3 7 2 2" xfId="15102" xr:uid="{D2E40FE1-800E-4D79-A685-8BE20304FC2E}"/>
    <cellStyle name="Comma 4 2 2 3 7 3" xfId="10884" xr:uid="{323DB70B-6A4F-4696-BBF7-0B8B4BCCD0AF}"/>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79A3A871-A097-472C-8327-471F25ED0A31}"/>
    <cellStyle name="Comma 4 2 2 3 9 3" xfId="11201" xr:uid="{9DE13DD7-9F81-4C6E-90ED-AB4415AF4F55}"/>
    <cellStyle name="Comma 4 2 2 4" xfId="134" xr:uid="{00000000-0005-0000-0000-00002A080000}"/>
    <cellStyle name="Comma 4 2 2 4 10" xfId="8820" xr:uid="{63BA82E0-CA07-44B8-9CAA-E2D64BD2AB4B}"/>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BBA03BC4-AF99-4B10-A9B2-66278B09A049}"/>
    <cellStyle name="Comma 4 2 2 4 2 2 3" xfId="11379" xr:uid="{BB8E1714-8DC6-464F-BFA1-E41743AFB882}"/>
    <cellStyle name="Comma 4 2 2 4 2 3" xfId="5023" xr:uid="{00000000-0005-0000-0000-00002E080000}"/>
    <cellStyle name="Comma 4 2 2 4 2 3 2" xfId="13452" xr:uid="{5A26F93B-0196-44EA-9FCF-073982963536}"/>
    <cellStyle name="Comma 4 2 2 4 2 4" xfId="9234" xr:uid="{288D89CA-66B9-47BD-BA08-889C3550121F}"/>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F23B031E-F86D-453D-A5FA-9CFB836F80A1}"/>
    <cellStyle name="Comma 4 2 2 4 3 2 3" xfId="11792" xr:uid="{150F7963-005B-4E51-964C-B8A67B5E89FA}"/>
    <cellStyle name="Comma 4 2 2 4 3 3" xfId="5436" xr:uid="{00000000-0005-0000-0000-000032080000}"/>
    <cellStyle name="Comma 4 2 2 4 3 3 2" xfId="13865" xr:uid="{178AD514-7839-4C1E-95F5-0F6A47CD46D1}"/>
    <cellStyle name="Comma 4 2 2 4 3 4" xfId="9647" xr:uid="{AD489872-8FD7-49E1-81CC-C0C4D5E23677}"/>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5A027B46-131B-492F-BB4F-F32D9129A9CB}"/>
    <cellStyle name="Comma 4 2 2 4 4 2 3" xfId="12205" xr:uid="{517B3BB6-F584-45DC-818D-CCF562091B27}"/>
    <cellStyle name="Comma 4 2 2 4 4 3" xfId="5849" xr:uid="{00000000-0005-0000-0000-000036080000}"/>
    <cellStyle name="Comma 4 2 2 4 4 3 2" xfId="14278" xr:uid="{3BF91066-3514-478B-AFF6-44629C5FBED9}"/>
    <cellStyle name="Comma 4 2 2 4 4 4" xfId="10060" xr:uid="{D86597B6-FC8A-430C-A437-6DF0E516C1A6}"/>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2CCED2CC-F891-4915-8E77-8341431EC58B}"/>
    <cellStyle name="Comma 4 2 2 4 5 2 3" xfId="12618" xr:uid="{87219FBD-60B4-44C5-A480-5D323398B503}"/>
    <cellStyle name="Comma 4 2 2 4 5 3" xfId="6262" xr:uid="{00000000-0005-0000-0000-00003A080000}"/>
    <cellStyle name="Comma 4 2 2 4 5 3 2" xfId="14691" xr:uid="{CB5357FC-BC82-4F48-BD44-A157151E2175}"/>
    <cellStyle name="Comma 4 2 2 4 5 4" xfId="10473" xr:uid="{7480AE69-1199-4BEC-B50D-5A7AF970AA0E}"/>
    <cellStyle name="Comma 4 2 2 4 6" xfId="2389" xr:uid="{00000000-0005-0000-0000-00003B080000}"/>
    <cellStyle name="Comma 4 2 2 4 6 2" xfId="6675" xr:uid="{00000000-0005-0000-0000-00003C080000}"/>
    <cellStyle name="Comma 4 2 2 4 6 2 2" xfId="15104" xr:uid="{93DAF9CA-00A0-4E1F-9E57-882189D6E3F4}"/>
    <cellStyle name="Comma 4 2 2 4 6 3" xfId="10886" xr:uid="{E6AC1BC6-FACD-44B1-A5FF-59C0B29D67C7}"/>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25C94C7E-1E4C-4654-AE02-EBE86C95659D}"/>
    <cellStyle name="Comma 4 2 2 4 8 3" xfId="11203" xr:uid="{1AE8E3D1-56C9-46AC-9836-E2E64E5E68D5}"/>
    <cellStyle name="Comma 4 2 2 4 9" xfId="4609" xr:uid="{00000000-0005-0000-0000-000040080000}"/>
    <cellStyle name="Comma 4 2 2 4 9 2" xfId="13038" xr:uid="{994955C3-12C4-4A65-B4CD-F4C2F1F8EB3C}"/>
    <cellStyle name="Comma 4 2 2 5" xfId="135" xr:uid="{00000000-0005-0000-0000-000041080000}"/>
    <cellStyle name="Comma 4 2 2 5 10" xfId="8821" xr:uid="{5B1E20A5-D7C1-4C5E-8DFD-EA40F129EDC8}"/>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88D06D74-568C-4CFC-A78B-1696F34E4CE6}"/>
    <cellStyle name="Comma 4 2 2 5 2 2 3" xfId="11380" xr:uid="{6E8BE621-23D4-4B46-9C91-E8C38AF4EDC3}"/>
    <cellStyle name="Comma 4 2 2 5 2 3" xfId="5024" xr:uid="{00000000-0005-0000-0000-000045080000}"/>
    <cellStyle name="Comma 4 2 2 5 2 3 2" xfId="13453" xr:uid="{578EB802-E6B6-4A42-905E-4AD0422BF40A}"/>
    <cellStyle name="Comma 4 2 2 5 2 4" xfId="9235" xr:uid="{2A25AC21-A3CB-4CAB-9DDA-83D4BEF30088}"/>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89EC7C56-17A8-4539-B804-EE08DC9EF5EB}"/>
    <cellStyle name="Comma 4 2 2 5 3 2 3" xfId="11793" xr:uid="{9C7E253A-A02B-4E6C-A960-97C8313A60BC}"/>
    <cellStyle name="Comma 4 2 2 5 3 3" xfId="5437" xr:uid="{00000000-0005-0000-0000-000049080000}"/>
    <cellStyle name="Comma 4 2 2 5 3 3 2" xfId="13866" xr:uid="{44A2FE2F-879E-4DE5-A441-599B9258CCF9}"/>
    <cellStyle name="Comma 4 2 2 5 3 4" xfId="9648" xr:uid="{DDCF8CC2-EE0F-4D6D-BD02-D14E588BB536}"/>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97C0AC1A-8F5C-416C-B8EC-A02E02CBF7D8}"/>
    <cellStyle name="Comma 4 2 2 5 4 2 3" xfId="12206" xr:uid="{09CCD50D-E675-4553-B349-89DEE2C141E6}"/>
    <cellStyle name="Comma 4 2 2 5 4 3" xfId="5850" xr:uid="{00000000-0005-0000-0000-00004D080000}"/>
    <cellStyle name="Comma 4 2 2 5 4 3 2" xfId="14279" xr:uid="{E8672CD4-4417-4281-B516-D9923A93E5E2}"/>
    <cellStyle name="Comma 4 2 2 5 4 4" xfId="10061" xr:uid="{549F198C-149F-46E4-BBEE-D506C33EC857}"/>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1A757DEE-2CEF-4F32-8FC9-F836E03C663A}"/>
    <cellStyle name="Comma 4 2 2 5 5 2 3" xfId="12619" xr:uid="{5EA1FF21-07C2-42BA-BD6C-C4F0BDABA633}"/>
    <cellStyle name="Comma 4 2 2 5 5 3" xfId="6263" xr:uid="{00000000-0005-0000-0000-000051080000}"/>
    <cellStyle name="Comma 4 2 2 5 5 3 2" xfId="14692" xr:uid="{8C641211-FF56-4439-9E51-6BCD55E67707}"/>
    <cellStyle name="Comma 4 2 2 5 5 4" xfId="10474" xr:uid="{E73D9B8E-11AA-4C67-A467-9F82B39F146E}"/>
    <cellStyle name="Comma 4 2 2 5 6" xfId="2390" xr:uid="{00000000-0005-0000-0000-000052080000}"/>
    <cellStyle name="Comma 4 2 2 5 6 2" xfId="6676" xr:uid="{00000000-0005-0000-0000-000053080000}"/>
    <cellStyle name="Comma 4 2 2 5 6 2 2" xfId="15105" xr:uid="{FDB6AF77-5198-452B-A1F7-401607826300}"/>
    <cellStyle name="Comma 4 2 2 5 6 3" xfId="10887" xr:uid="{256E1B48-A9C3-4114-9CF6-9BCF0D03A616}"/>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08C1FB61-4B70-47FA-8DE2-E113E82D18A2}"/>
    <cellStyle name="Comma 4 2 2 5 8 3" xfId="11204" xr:uid="{5A32B47F-957C-4297-B9DD-BF1B0A0FB66B}"/>
    <cellStyle name="Comma 4 2 2 5 9" xfId="4610" xr:uid="{00000000-0005-0000-0000-000057080000}"/>
    <cellStyle name="Comma 4 2 2 5 9 2" xfId="13039" xr:uid="{039DABC7-1D02-4FC8-B809-69277DA3B8B2}"/>
    <cellStyle name="Comma 4 2 3" xfId="136" xr:uid="{00000000-0005-0000-0000-000058080000}"/>
    <cellStyle name="Comma 4 2 3 10" xfId="2769" xr:uid="{00000000-0005-0000-0000-000059080000}"/>
    <cellStyle name="Comma 4 2 3 10 2" xfId="6994" xr:uid="{00000000-0005-0000-0000-00005A080000}"/>
    <cellStyle name="Comma 4 2 3 10 2 2" xfId="15423" xr:uid="{CA9A4695-268B-4579-A8C7-8686AA89A315}"/>
    <cellStyle name="Comma 4 2 3 10 3" xfId="11205" xr:uid="{5F9D4065-6324-4D6B-A56A-B60FE01C8A49}"/>
    <cellStyle name="Comma 4 2 3 11" xfId="4611" xr:uid="{00000000-0005-0000-0000-00005B080000}"/>
    <cellStyle name="Comma 4 2 3 11 2" xfId="13040" xr:uid="{4612BD2F-C0CC-4F7E-ACC6-E3E6A633FD76}"/>
    <cellStyle name="Comma 4 2 3 12" xfId="8822" xr:uid="{1ACBD0F4-7C2A-468E-A278-EE31CBCD413A}"/>
    <cellStyle name="Comma 4 2 3 2" xfId="137" xr:uid="{00000000-0005-0000-0000-00005C080000}"/>
    <cellStyle name="Comma 4 2 3 2 10" xfId="4612" xr:uid="{00000000-0005-0000-0000-00005D080000}"/>
    <cellStyle name="Comma 4 2 3 2 10 2" xfId="13041" xr:uid="{19055147-7060-4AFA-9BC3-AACB7C949533}"/>
    <cellStyle name="Comma 4 2 3 2 11" xfId="8823" xr:uid="{1DEA8418-3335-40CD-82D1-9D8FCDCB0D72}"/>
    <cellStyle name="Comma 4 2 3 2 2" xfId="138" xr:uid="{00000000-0005-0000-0000-00005E080000}"/>
    <cellStyle name="Comma 4 2 3 2 2 10" xfId="8824" xr:uid="{18D36D09-15A9-43A5-A08E-1C0F38F717F2}"/>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29D28541-1729-42A7-BD62-D45F80DB0A39}"/>
    <cellStyle name="Comma 4 2 3 2 2 2 2 3" xfId="11383" xr:uid="{45C7383F-E1BE-4C44-AC61-EA0AC7EC265B}"/>
    <cellStyle name="Comma 4 2 3 2 2 2 3" xfId="5027" xr:uid="{00000000-0005-0000-0000-000062080000}"/>
    <cellStyle name="Comma 4 2 3 2 2 2 3 2" xfId="13456" xr:uid="{65A269EF-9194-4150-A429-A1BCAE4C7317}"/>
    <cellStyle name="Comma 4 2 3 2 2 2 4" xfId="9238" xr:uid="{3428B2B4-C371-4BF4-9832-75DC0F406CF3}"/>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3807E093-9926-4FC3-AC01-0E10C6537C22}"/>
    <cellStyle name="Comma 4 2 3 2 2 3 2 3" xfId="11796" xr:uid="{E345921A-4B86-4976-B10A-262E5815D285}"/>
    <cellStyle name="Comma 4 2 3 2 2 3 3" xfId="5440" xr:uid="{00000000-0005-0000-0000-000066080000}"/>
    <cellStyle name="Comma 4 2 3 2 2 3 3 2" xfId="13869" xr:uid="{28D2D614-871B-4C33-9890-72B30328ED00}"/>
    <cellStyle name="Comma 4 2 3 2 2 3 4" xfId="9651" xr:uid="{FBC93AA1-EE32-4B12-97A7-A11BBA36BF69}"/>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29C11604-9BFA-4A1E-890B-835AE3607BD3}"/>
    <cellStyle name="Comma 4 2 3 2 2 4 2 3" xfId="12209" xr:uid="{EE5DCADD-E44B-4018-88CB-4E2B56D8A2B2}"/>
    <cellStyle name="Comma 4 2 3 2 2 4 3" xfId="5853" xr:uid="{00000000-0005-0000-0000-00006A080000}"/>
    <cellStyle name="Comma 4 2 3 2 2 4 3 2" xfId="14282" xr:uid="{61247292-A1C0-4831-B71D-57D4D2037D5A}"/>
    <cellStyle name="Comma 4 2 3 2 2 4 4" xfId="10064" xr:uid="{E721389A-C73B-4DE2-B7B5-496818F726AF}"/>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6856965F-685E-4492-9AD3-A2D5D7C839F6}"/>
    <cellStyle name="Comma 4 2 3 2 2 5 2 3" xfId="12622" xr:uid="{2D933367-76EB-4096-B0F9-246945314C7A}"/>
    <cellStyle name="Comma 4 2 3 2 2 5 3" xfId="6266" xr:uid="{00000000-0005-0000-0000-00006E080000}"/>
    <cellStyle name="Comma 4 2 3 2 2 5 3 2" xfId="14695" xr:uid="{6DB558B5-9384-4FA1-9498-54105D766C81}"/>
    <cellStyle name="Comma 4 2 3 2 2 5 4" xfId="10477" xr:uid="{F9BE8C64-066A-48DE-9D7B-14589CDA53D2}"/>
    <cellStyle name="Comma 4 2 3 2 2 6" xfId="2393" xr:uid="{00000000-0005-0000-0000-00006F080000}"/>
    <cellStyle name="Comma 4 2 3 2 2 6 2" xfId="6679" xr:uid="{00000000-0005-0000-0000-000070080000}"/>
    <cellStyle name="Comma 4 2 3 2 2 6 2 2" xfId="15108" xr:uid="{4DBC2F3D-09F1-48B9-BB65-2750881021BD}"/>
    <cellStyle name="Comma 4 2 3 2 2 6 3" xfId="10890" xr:uid="{6777EA5C-DA4F-4654-8924-641DB0E025C1}"/>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47589A48-891E-4847-8344-5BD22745D06D}"/>
    <cellStyle name="Comma 4 2 3 2 2 8 3" xfId="11207" xr:uid="{B6C39173-10DE-416F-9CE5-E6BF857670F8}"/>
    <cellStyle name="Comma 4 2 3 2 2 9" xfId="4613" xr:uid="{00000000-0005-0000-0000-000074080000}"/>
    <cellStyle name="Comma 4 2 3 2 2 9 2" xfId="13042" xr:uid="{7EAAB805-4D2C-4E20-B20C-B5E0757A4FA0}"/>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207D009E-C0EC-4CA7-89A0-4D1B27002191}"/>
    <cellStyle name="Comma 4 2 3 2 3 2 3" xfId="11382" xr:uid="{FB9B8BA0-CBE2-4230-AFB0-D855533ABC2F}"/>
    <cellStyle name="Comma 4 2 3 2 3 3" xfId="5026" xr:uid="{00000000-0005-0000-0000-000078080000}"/>
    <cellStyle name="Comma 4 2 3 2 3 3 2" xfId="13455" xr:uid="{E55C3D13-1B89-45A8-BC3E-4334A8BC1A5F}"/>
    <cellStyle name="Comma 4 2 3 2 3 4" xfId="9237" xr:uid="{67468447-3C05-4BF9-9FF0-4B5C75C1DD21}"/>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C3B0EA4B-AE60-4DE7-B1EA-A34316B9E71E}"/>
    <cellStyle name="Comma 4 2 3 2 4 2 3" xfId="11795" xr:uid="{9D819F37-CF18-4667-ABCF-9B66B6743FEC}"/>
    <cellStyle name="Comma 4 2 3 2 4 3" xfId="5439" xr:uid="{00000000-0005-0000-0000-00007C080000}"/>
    <cellStyle name="Comma 4 2 3 2 4 3 2" xfId="13868" xr:uid="{10DEBF2F-B886-4FD9-AD5A-B063199974FF}"/>
    <cellStyle name="Comma 4 2 3 2 4 4" xfId="9650" xr:uid="{52665710-D7D0-4024-91CB-0247DF3E6DEB}"/>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5E55A641-3A13-4EFA-9E7E-1A65FA0E153D}"/>
    <cellStyle name="Comma 4 2 3 2 5 2 3" xfId="12208" xr:uid="{9DED1839-2E28-4720-8B73-EC1EE354FA78}"/>
    <cellStyle name="Comma 4 2 3 2 5 3" xfId="5852" xr:uid="{00000000-0005-0000-0000-000080080000}"/>
    <cellStyle name="Comma 4 2 3 2 5 3 2" xfId="14281" xr:uid="{0DBDAADE-3F3B-441D-887F-787AF16389FA}"/>
    <cellStyle name="Comma 4 2 3 2 5 4" xfId="10063" xr:uid="{88C0EDB9-C175-47EE-8273-132FEE233481}"/>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63DF0392-B7AB-4F07-8AC2-238E12474B2F}"/>
    <cellStyle name="Comma 4 2 3 2 6 2 3" xfId="12621" xr:uid="{E62B722C-E528-45CE-AC2B-7EAE9B970938}"/>
    <cellStyle name="Comma 4 2 3 2 6 3" xfId="6265" xr:uid="{00000000-0005-0000-0000-000084080000}"/>
    <cellStyle name="Comma 4 2 3 2 6 3 2" xfId="14694" xr:uid="{6170E169-A613-4D12-ADEE-A267D69FB50E}"/>
    <cellStyle name="Comma 4 2 3 2 6 4" xfId="10476" xr:uid="{DB2B4003-74AC-4070-ADC3-A50E1D5EC8AA}"/>
    <cellStyle name="Comma 4 2 3 2 7" xfId="2392" xr:uid="{00000000-0005-0000-0000-000085080000}"/>
    <cellStyle name="Comma 4 2 3 2 7 2" xfId="6678" xr:uid="{00000000-0005-0000-0000-000086080000}"/>
    <cellStyle name="Comma 4 2 3 2 7 2 2" xfId="15107" xr:uid="{7BE3118A-E5D5-43C8-AE49-BA26B2621E76}"/>
    <cellStyle name="Comma 4 2 3 2 7 3" xfId="10889" xr:uid="{64CFABBC-0CCD-44A7-82C0-80FFE72B1D13}"/>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6A0CAD86-F58F-4F96-A2C2-B4D4BCBC14C9}"/>
    <cellStyle name="Comma 4 2 3 2 9 3" xfId="11206" xr:uid="{6EAAA75B-FB80-44C1-B3A6-73084D780D34}"/>
    <cellStyle name="Comma 4 2 3 3" xfId="139" xr:uid="{00000000-0005-0000-0000-00008A080000}"/>
    <cellStyle name="Comma 4 2 3 3 10" xfId="8825" xr:uid="{85B7D761-33F7-4371-9522-43749323C73C}"/>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DA59824F-519E-4EE2-8EA2-F28C99CAD361}"/>
    <cellStyle name="Comma 4 2 3 3 2 2 3" xfId="11384" xr:uid="{0864FA99-AC45-4BC8-BC6E-3DA6B00D16E5}"/>
    <cellStyle name="Comma 4 2 3 3 2 3" xfId="5028" xr:uid="{00000000-0005-0000-0000-00008E080000}"/>
    <cellStyle name="Comma 4 2 3 3 2 3 2" xfId="13457" xr:uid="{BF00866C-525D-4595-B023-55BA78A6887F}"/>
    <cellStyle name="Comma 4 2 3 3 2 4" xfId="9239" xr:uid="{100B052B-F112-4654-9DCC-769D038F7ECE}"/>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6593FF94-235B-4079-BE1D-9214054B6B19}"/>
    <cellStyle name="Comma 4 2 3 3 3 2 3" xfId="11797" xr:uid="{66911901-3E1C-4525-84D2-9E57D80A84C0}"/>
    <cellStyle name="Comma 4 2 3 3 3 3" xfId="5441" xr:uid="{00000000-0005-0000-0000-000092080000}"/>
    <cellStyle name="Comma 4 2 3 3 3 3 2" xfId="13870" xr:uid="{4CFEB184-34BF-4521-8A7D-A8EEA985DB85}"/>
    <cellStyle name="Comma 4 2 3 3 3 4" xfId="9652" xr:uid="{BBC425CF-23B8-48E3-AA75-183C29F2AC64}"/>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9594805F-739D-490A-8978-F18B66B6ADA4}"/>
    <cellStyle name="Comma 4 2 3 3 4 2 3" xfId="12210" xr:uid="{EC58032C-AC55-4056-8AEF-00812B70A22F}"/>
    <cellStyle name="Comma 4 2 3 3 4 3" xfId="5854" xr:uid="{00000000-0005-0000-0000-000096080000}"/>
    <cellStyle name="Comma 4 2 3 3 4 3 2" xfId="14283" xr:uid="{6E41B9F2-DA93-4C5A-A02B-71F4E76377A3}"/>
    <cellStyle name="Comma 4 2 3 3 4 4" xfId="10065" xr:uid="{2E9DF40B-6FB8-43F2-B1E4-E4508D990C58}"/>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737B1FCC-C3B3-4D17-9DEE-3FD3224EAAC8}"/>
    <cellStyle name="Comma 4 2 3 3 5 2 3" xfId="12623" xr:uid="{211C67BE-6BAB-4641-911E-536775EB083C}"/>
    <cellStyle name="Comma 4 2 3 3 5 3" xfId="6267" xr:uid="{00000000-0005-0000-0000-00009A080000}"/>
    <cellStyle name="Comma 4 2 3 3 5 3 2" xfId="14696" xr:uid="{336D6E9B-8B60-43E1-ACC1-C78DCB2AA7D0}"/>
    <cellStyle name="Comma 4 2 3 3 5 4" xfId="10478" xr:uid="{20524AB4-0A96-4D06-9D35-045B828E4651}"/>
    <cellStyle name="Comma 4 2 3 3 6" xfId="2394" xr:uid="{00000000-0005-0000-0000-00009B080000}"/>
    <cellStyle name="Comma 4 2 3 3 6 2" xfId="6680" xr:uid="{00000000-0005-0000-0000-00009C080000}"/>
    <cellStyle name="Comma 4 2 3 3 6 2 2" xfId="15109" xr:uid="{37C5EBF8-0F33-434E-B1EF-105DD09FAC73}"/>
    <cellStyle name="Comma 4 2 3 3 6 3" xfId="10891" xr:uid="{19A09937-89C4-418D-B874-72BD90CB9A17}"/>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123D1D64-5805-44EF-B1E5-728FA21FFAD3}"/>
    <cellStyle name="Comma 4 2 3 3 8 3" xfId="11208" xr:uid="{0898DE9A-2CF3-42E0-89E7-BD1D5AEF8B4C}"/>
    <cellStyle name="Comma 4 2 3 3 9" xfId="4614" xr:uid="{00000000-0005-0000-0000-0000A0080000}"/>
    <cellStyle name="Comma 4 2 3 3 9 2" xfId="13043" xr:uid="{A08E52F3-1BB5-4684-94FA-189481DEF9DB}"/>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C25A715B-5B29-4E8C-AC6C-2DF510CFB151}"/>
    <cellStyle name="Comma 4 2 3 4 2 3" xfId="11381" xr:uid="{57736833-B3EF-4D53-ACC2-EB9880751FC7}"/>
    <cellStyle name="Comma 4 2 3 4 3" xfId="5025" xr:uid="{00000000-0005-0000-0000-0000A4080000}"/>
    <cellStyle name="Comma 4 2 3 4 3 2" xfId="13454" xr:uid="{A42B5BC0-C4AB-4747-BC88-0D2608752C2D}"/>
    <cellStyle name="Comma 4 2 3 4 4" xfId="9236" xr:uid="{4CB41C07-5953-408E-A37B-FC9AA044E46A}"/>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CF505039-4A59-4901-A7A6-1C26E7A6ED11}"/>
    <cellStyle name="Comma 4 2 3 5 2 3" xfId="11794" xr:uid="{D10561D4-6AEB-495F-A7C8-576D659FDB04}"/>
    <cellStyle name="Comma 4 2 3 5 3" xfId="5438" xr:uid="{00000000-0005-0000-0000-0000A8080000}"/>
    <cellStyle name="Comma 4 2 3 5 3 2" xfId="13867" xr:uid="{61B8A3C1-2025-4FFB-A54B-98AACB35AC46}"/>
    <cellStyle name="Comma 4 2 3 5 4" xfId="9649" xr:uid="{51429122-798A-494F-A66F-2E8050E9B8F2}"/>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60BB4BA8-7BFD-4098-8C2D-A8282DEAAC6B}"/>
    <cellStyle name="Comma 4 2 3 6 2 3" xfId="12207" xr:uid="{9C111050-45DF-4EDB-AF79-C67E4653A383}"/>
    <cellStyle name="Comma 4 2 3 6 3" xfId="5851" xr:uid="{00000000-0005-0000-0000-0000AC080000}"/>
    <cellStyle name="Comma 4 2 3 6 3 2" xfId="14280" xr:uid="{75136F80-313F-4EE9-8EFF-7648703C263A}"/>
    <cellStyle name="Comma 4 2 3 6 4" xfId="10062" xr:uid="{42DC7E67-1D65-49EC-9163-7A0C7DCC8874}"/>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A8BB4FE1-D38B-4956-A423-58B9A257B25E}"/>
    <cellStyle name="Comma 4 2 3 7 2 3" xfId="12620" xr:uid="{AF8D8C1D-7B98-4DF6-97A0-9F0EE18F1F88}"/>
    <cellStyle name="Comma 4 2 3 7 3" xfId="6264" xr:uid="{00000000-0005-0000-0000-0000B0080000}"/>
    <cellStyle name="Comma 4 2 3 7 3 2" xfId="14693" xr:uid="{660E7D22-A403-40FE-8368-3EF1EDB1A5DC}"/>
    <cellStyle name="Comma 4 2 3 7 4" xfId="10475" xr:uid="{68EE5ED5-0E46-4440-8FE3-0E2FACDF6C79}"/>
    <cellStyle name="Comma 4 2 3 8" xfId="2391" xr:uid="{00000000-0005-0000-0000-0000B1080000}"/>
    <cellStyle name="Comma 4 2 3 8 2" xfId="6677" xr:uid="{00000000-0005-0000-0000-0000B2080000}"/>
    <cellStyle name="Comma 4 2 3 8 2 2" xfId="15106" xr:uid="{B3F09173-45F1-4D9A-81EE-4EF992556288}"/>
    <cellStyle name="Comma 4 2 3 8 3" xfId="10888" xr:uid="{F8195372-4EE1-4A05-96FE-BB6B10BF6617}"/>
    <cellStyle name="Comma 4 2 3 9" xfId="2374" xr:uid="{00000000-0005-0000-0000-0000B3080000}"/>
    <cellStyle name="Comma 4 2 4" xfId="140" xr:uid="{00000000-0005-0000-0000-0000B4080000}"/>
    <cellStyle name="Comma 4 2 4 10" xfId="4615" xr:uid="{00000000-0005-0000-0000-0000B5080000}"/>
    <cellStyle name="Comma 4 2 4 10 2" xfId="13044" xr:uid="{5EFF23C7-43FD-4CBD-B9D2-5CC1F15AF203}"/>
    <cellStyle name="Comma 4 2 4 11" xfId="8826" xr:uid="{EB770A26-F388-40DB-94D5-DC3F7AB4973E}"/>
    <cellStyle name="Comma 4 2 4 2" xfId="141" xr:uid="{00000000-0005-0000-0000-0000B6080000}"/>
    <cellStyle name="Comma 4 2 4 2 10" xfId="8827" xr:uid="{A886AF2F-3010-4E36-AD91-E9A635A6B7BE}"/>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7C2C2EA3-159C-4883-9A56-F9B21660551D}"/>
    <cellStyle name="Comma 4 2 4 2 2 2 3" xfId="11386" xr:uid="{49BA6736-4937-4311-9A64-92E0CFDD7E8F}"/>
    <cellStyle name="Comma 4 2 4 2 2 3" xfId="5030" xr:uid="{00000000-0005-0000-0000-0000BA080000}"/>
    <cellStyle name="Comma 4 2 4 2 2 3 2" xfId="13459" xr:uid="{8BF0A8AC-5617-4586-A226-59AB3621383E}"/>
    <cellStyle name="Comma 4 2 4 2 2 4" xfId="9241" xr:uid="{FF0E5E38-E4AB-410F-8AD1-F3E845E4478B}"/>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7706FEB4-6FC1-4F49-91BB-EE7039AF8207}"/>
    <cellStyle name="Comma 4 2 4 2 3 2 3" xfId="11799" xr:uid="{99E42EFF-0C05-44BA-9778-D3BE4307E798}"/>
    <cellStyle name="Comma 4 2 4 2 3 3" xfId="5443" xr:uid="{00000000-0005-0000-0000-0000BE080000}"/>
    <cellStyle name="Comma 4 2 4 2 3 3 2" xfId="13872" xr:uid="{11155C43-1F62-49E0-81AB-29A250417368}"/>
    <cellStyle name="Comma 4 2 4 2 3 4" xfId="9654" xr:uid="{0AECAC12-9593-4930-A5D3-2FFF29AABD12}"/>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29A756A9-9592-4B2A-9E98-F47501A74D70}"/>
    <cellStyle name="Comma 4 2 4 2 4 2 3" xfId="12212" xr:uid="{D3FF30BE-823F-49F9-9F2E-1E976A69BFE2}"/>
    <cellStyle name="Comma 4 2 4 2 4 3" xfId="5856" xr:uid="{00000000-0005-0000-0000-0000C2080000}"/>
    <cellStyle name="Comma 4 2 4 2 4 3 2" xfId="14285" xr:uid="{17F2F3D7-60BC-4D68-B175-8806948BF057}"/>
    <cellStyle name="Comma 4 2 4 2 4 4" xfId="10067" xr:uid="{E090A944-F6BF-4FE3-8141-4BB755E8CB0F}"/>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B4F816C9-42F8-41F6-BE46-CCB1E76EB4C1}"/>
    <cellStyle name="Comma 4 2 4 2 5 2 3" xfId="12625" xr:uid="{7E993692-34EC-47A7-8D8E-1E567A9367BE}"/>
    <cellStyle name="Comma 4 2 4 2 5 3" xfId="6269" xr:uid="{00000000-0005-0000-0000-0000C6080000}"/>
    <cellStyle name="Comma 4 2 4 2 5 3 2" xfId="14698" xr:uid="{E5D7FF59-FF79-4AA6-BD7B-B4D656B9FC13}"/>
    <cellStyle name="Comma 4 2 4 2 5 4" xfId="10480" xr:uid="{9F4AFDEE-F52B-4844-BB93-17BEC7F11898}"/>
    <cellStyle name="Comma 4 2 4 2 6" xfId="2396" xr:uid="{00000000-0005-0000-0000-0000C7080000}"/>
    <cellStyle name="Comma 4 2 4 2 6 2" xfId="6682" xr:uid="{00000000-0005-0000-0000-0000C8080000}"/>
    <cellStyle name="Comma 4 2 4 2 6 2 2" xfId="15111" xr:uid="{2C3F5A72-EB35-41E7-AEB3-E522C19EC1E0}"/>
    <cellStyle name="Comma 4 2 4 2 6 3" xfId="10893" xr:uid="{8F242A6C-5404-45E3-9D72-B62284122788}"/>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CF1AF99F-AAB4-49CE-8659-985929DEE568}"/>
    <cellStyle name="Comma 4 2 4 2 8 3" xfId="11210" xr:uid="{2B1920BA-A98B-4EEF-AF60-3DAA9A97BDF3}"/>
    <cellStyle name="Comma 4 2 4 2 9" xfId="4616" xr:uid="{00000000-0005-0000-0000-0000CC080000}"/>
    <cellStyle name="Comma 4 2 4 2 9 2" xfId="13045" xr:uid="{B91DF42F-5377-4217-B9ED-C8037D4DBDEC}"/>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F10E0EF9-32AF-4C72-A901-A09735CC95D2}"/>
    <cellStyle name="Comma 4 2 4 3 2 3" xfId="11385" xr:uid="{9AF50168-B263-4E79-AF79-C25D4F35B822}"/>
    <cellStyle name="Comma 4 2 4 3 3" xfId="5029" xr:uid="{00000000-0005-0000-0000-0000D0080000}"/>
    <cellStyle name="Comma 4 2 4 3 3 2" xfId="13458" xr:uid="{3B647B38-9129-4669-9311-865A4DD5D5AE}"/>
    <cellStyle name="Comma 4 2 4 3 4" xfId="9240" xr:uid="{DA562B8B-6A02-4E42-869C-E959C1F3BA50}"/>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09872A3A-7098-4205-9749-952E839D44FD}"/>
    <cellStyle name="Comma 4 2 4 4 2 3" xfId="11798" xr:uid="{328E87BB-959C-4817-9D70-CB6DAB5FFB37}"/>
    <cellStyle name="Comma 4 2 4 4 3" xfId="5442" xr:uid="{00000000-0005-0000-0000-0000D4080000}"/>
    <cellStyle name="Comma 4 2 4 4 3 2" xfId="13871" xr:uid="{F5ED4D39-5EF1-4D1F-A4AD-ACED0FA5C621}"/>
    <cellStyle name="Comma 4 2 4 4 4" xfId="9653" xr:uid="{1B739F2D-8F61-4C6A-9CD5-C2EEA3400DBB}"/>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3AADE340-C6E2-47A0-BFF0-263075D45CB2}"/>
    <cellStyle name="Comma 4 2 4 5 2 3" xfId="12211" xr:uid="{1FC28E17-A505-4F4C-9AE7-E6DC08279A0F}"/>
    <cellStyle name="Comma 4 2 4 5 3" xfId="5855" xr:uid="{00000000-0005-0000-0000-0000D8080000}"/>
    <cellStyle name="Comma 4 2 4 5 3 2" xfId="14284" xr:uid="{0E9C1A7C-C4E0-49D8-ADDF-71B0522E79C4}"/>
    <cellStyle name="Comma 4 2 4 5 4" xfId="10066" xr:uid="{53882065-122B-4ADE-BE47-E40EFD35F4B8}"/>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8BB372E8-534E-468D-BBD1-01FA24DC432A}"/>
    <cellStyle name="Comma 4 2 4 6 2 3" xfId="12624" xr:uid="{BFABA293-5529-46E9-A3B2-9629EB1138AE}"/>
    <cellStyle name="Comma 4 2 4 6 3" xfId="6268" xr:uid="{00000000-0005-0000-0000-0000DC080000}"/>
    <cellStyle name="Comma 4 2 4 6 3 2" xfId="14697" xr:uid="{6F2D88F0-E933-4738-AA5B-84B66B7AEE2A}"/>
    <cellStyle name="Comma 4 2 4 6 4" xfId="10479" xr:uid="{7ECEE5BC-4460-4167-8304-0549935C0077}"/>
    <cellStyle name="Comma 4 2 4 7" xfId="2395" xr:uid="{00000000-0005-0000-0000-0000DD080000}"/>
    <cellStyle name="Comma 4 2 4 7 2" xfId="6681" xr:uid="{00000000-0005-0000-0000-0000DE080000}"/>
    <cellStyle name="Comma 4 2 4 7 2 2" xfId="15110" xr:uid="{2D2435F1-B77F-43A7-A696-3BDCB6B74549}"/>
    <cellStyle name="Comma 4 2 4 7 3" xfId="10892" xr:uid="{24A60F11-0A1F-4625-945A-4BC73B6CA952}"/>
    <cellStyle name="Comma 4 2 4 8" xfId="2370" xr:uid="{00000000-0005-0000-0000-0000DF080000}"/>
    <cellStyle name="Comma 4 2 4 9" xfId="2773" xr:uid="{00000000-0005-0000-0000-0000E0080000}"/>
    <cellStyle name="Comma 4 2 4 9 2" xfId="6998" xr:uid="{00000000-0005-0000-0000-0000E1080000}"/>
    <cellStyle name="Comma 4 2 4 9 2 2" xfId="15427" xr:uid="{48951D4B-61EE-4EB2-9453-AEA9097138B1}"/>
    <cellStyle name="Comma 4 2 4 9 3" xfId="11209" xr:uid="{D5C17656-A33C-469C-833D-0C9C83FCB937}"/>
    <cellStyle name="Comma 4 2 5" xfId="142" xr:uid="{00000000-0005-0000-0000-0000E2080000}"/>
    <cellStyle name="Comma 4 2 5 10" xfId="8828" xr:uid="{0814F23B-F57E-4A73-9DFC-59BFFC37F28C}"/>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6284E8D2-DEBF-4BAC-A412-9C328D1F35F2}"/>
    <cellStyle name="Comma 4 2 5 2 2 3" xfId="11387" xr:uid="{2AABBE4A-9A0C-45AF-A934-165F987BD24B}"/>
    <cellStyle name="Comma 4 2 5 2 3" xfId="5031" xr:uid="{00000000-0005-0000-0000-0000E6080000}"/>
    <cellStyle name="Comma 4 2 5 2 3 2" xfId="13460" xr:uid="{E3678ACD-3877-4AD2-9BCC-5EA38E126E2C}"/>
    <cellStyle name="Comma 4 2 5 2 4" xfId="9242" xr:uid="{48B9B84C-7A48-4A4B-A3A1-DC7AFD4425D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EE36DCAA-31E6-4982-A88C-431F4F98F919}"/>
    <cellStyle name="Comma 4 2 5 3 2 3" xfId="11800" xr:uid="{859ACAA0-34E1-4339-AD65-D4C81B02489A}"/>
    <cellStyle name="Comma 4 2 5 3 3" xfId="5444" xr:uid="{00000000-0005-0000-0000-0000EA080000}"/>
    <cellStyle name="Comma 4 2 5 3 3 2" xfId="13873" xr:uid="{26DE83B9-E1FF-4915-83BC-D1D6B698C152}"/>
    <cellStyle name="Comma 4 2 5 3 4" xfId="9655" xr:uid="{78A70995-991F-4766-BD5B-C6552A008519}"/>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4A92E669-FADC-4C47-9307-25263F18E90C}"/>
    <cellStyle name="Comma 4 2 5 4 2 3" xfId="12213" xr:uid="{DE61DC89-7967-4875-ACAD-D5BE8DB0674F}"/>
    <cellStyle name="Comma 4 2 5 4 3" xfId="5857" xr:uid="{00000000-0005-0000-0000-0000EE080000}"/>
    <cellStyle name="Comma 4 2 5 4 3 2" xfId="14286" xr:uid="{7C09D31D-5CCA-4E56-9F03-82199538FAAA}"/>
    <cellStyle name="Comma 4 2 5 4 4" xfId="10068" xr:uid="{D6BFD0EA-4D95-4C30-B301-AF5093C6CDD1}"/>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E07C62B5-4265-4B45-821A-8AFC9A0427C4}"/>
    <cellStyle name="Comma 4 2 5 5 2 3" xfId="12626" xr:uid="{DD560DCA-6989-47A4-A909-8E6F9D6AA2C6}"/>
    <cellStyle name="Comma 4 2 5 5 3" xfId="6270" xr:uid="{00000000-0005-0000-0000-0000F2080000}"/>
    <cellStyle name="Comma 4 2 5 5 3 2" xfId="14699" xr:uid="{C28BA4C6-4E18-448E-B77E-C25042A3E286}"/>
    <cellStyle name="Comma 4 2 5 5 4" xfId="10481" xr:uid="{05FBC227-C0FD-44F4-97E9-0A2E7C3907B7}"/>
    <cellStyle name="Comma 4 2 5 6" xfId="2397" xr:uid="{00000000-0005-0000-0000-0000F3080000}"/>
    <cellStyle name="Comma 4 2 5 6 2" xfId="6683" xr:uid="{00000000-0005-0000-0000-0000F4080000}"/>
    <cellStyle name="Comma 4 2 5 6 2 2" xfId="15112" xr:uid="{C2CF1760-A9CB-458F-AEAA-F8E253C9F77B}"/>
    <cellStyle name="Comma 4 2 5 6 3" xfId="10894" xr:uid="{B725C14A-D6BD-4386-AA14-3630FBED4AF1}"/>
    <cellStyle name="Comma 4 2 5 7" xfId="2368" xr:uid="{00000000-0005-0000-0000-0000F5080000}"/>
    <cellStyle name="Comma 4 2 5 8" xfId="2775" xr:uid="{00000000-0005-0000-0000-0000F6080000}"/>
    <cellStyle name="Comma 4 2 5 8 2" xfId="7000" xr:uid="{00000000-0005-0000-0000-0000F7080000}"/>
    <cellStyle name="Comma 4 2 5 8 2 2" xfId="15429" xr:uid="{0B29EEBF-7547-469A-9B63-11770A28B2F6}"/>
    <cellStyle name="Comma 4 2 5 8 3" xfId="11211" xr:uid="{6D2C0003-99D7-4369-8599-13BB26ACBAA9}"/>
    <cellStyle name="Comma 4 2 5 9" xfId="4617" xr:uid="{00000000-0005-0000-0000-0000F8080000}"/>
    <cellStyle name="Comma 4 2 5 9 2" xfId="13046" xr:uid="{5455000C-CECD-40DD-8273-2C962FCFB45B}"/>
    <cellStyle name="Comma 4 2 6" xfId="143" xr:uid="{00000000-0005-0000-0000-0000F9080000}"/>
    <cellStyle name="Comma 4 2 6 10" xfId="8829" xr:uid="{9694F405-1716-4BB2-9CBC-517EE61DA588}"/>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BBBBF3AC-8C47-4900-B77E-CEADC3AF1B36}"/>
    <cellStyle name="Comma 4 2 6 2 2 3" xfId="11388" xr:uid="{74B50B3D-AA9F-4258-B62F-3896982070E0}"/>
    <cellStyle name="Comma 4 2 6 2 3" xfId="5032" xr:uid="{00000000-0005-0000-0000-0000FD080000}"/>
    <cellStyle name="Comma 4 2 6 2 3 2" xfId="13461" xr:uid="{EA70AD1D-DCC5-4CA3-8EB6-B350D9010C62}"/>
    <cellStyle name="Comma 4 2 6 2 4" xfId="9243" xr:uid="{2E05F568-E895-4E0F-BC0E-2AC27579FB31}"/>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258C6698-82E1-4EE2-AB3E-30E29F29C9F4}"/>
    <cellStyle name="Comma 4 2 6 3 2 3" xfId="11801" xr:uid="{710F0AD6-8466-40D3-A7F6-7653B3CE5668}"/>
    <cellStyle name="Comma 4 2 6 3 3" xfId="5445" xr:uid="{00000000-0005-0000-0000-000001090000}"/>
    <cellStyle name="Comma 4 2 6 3 3 2" xfId="13874" xr:uid="{4A3B5581-A05E-497D-BFAF-A39FE54C1DBD}"/>
    <cellStyle name="Comma 4 2 6 3 4" xfId="9656" xr:uid="{C679B58C-E19E-431D-950D-08EB55FCA18E}"/>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B7398F6C-2DBE-4383-828B-B41D6D27EB65}"/>
    <cellStyle name="Comma 4 2 6 4 2 3" xfId="12214" xr:uid="{42124214-12BD-490A-89FF-FEC9D71E2021}"/>
    <cellStyle name="Comma 4 2 6 4 3" xfId="5858" xr:uid="{00000000-0005-0000-0000-000005090000}"/>
    <cellStyle name="Comma 4 2 6 4 3 2" xfId="14287" xr:uid="{805D9A3B-B50A-4F7E-972D-B568967DDAAB}"/>
    <cellStyle name="Comma 4 2 6 4 4" xfId="10069" xr:uid="{6CEDEF6F-57BE-47E7-9468-DDFC4BB1F624}"/>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38DCEF3A-8CB6-48B4-B40D-8ADE329C082B}"/>
    <cellStyle name="Comma 4 2 6 5 2 3" xfId="12627" xr:uid="{6378E89B-0CCB-4C31-9536-85F103C19E6E}"/>
    <cellStyle name="Comma 4 2 6 5 3" xfId="6271" xr:uid="{00000000-0005-0000-0000-000009090000}"/>
    <cellStyle name="Comma 4 2 6 5 3 2" xfId="14700" xr:uid="{FCE74D1A-4C0C-458A-AE21-CBB270F0686B}"/>
    <cellStyle name="Comma 4 2 6 5 4" xfId="10482" xr:uid="{A6C7EBD4-3CB3-4D7E-A02A-1F50CAB05FC1}"/>
    <cellStyle name="Comma 4 2 6 6" xfId="2398" xr:uid="{00000000-0005-0000-0000-00000A090000}"/>
    <cellStyle name="Comma 4 2 6 6 2" xfId="6684" xr:uid="{00000000-0005-0000-0000-00000B090000}"/>
    <cellStyle name="Comma 4 2 6 6 2 2" xfId="15113" xr:uid="{574B8E5A-1A4F-4272-8664-B455F64A8DAB}"/>
    <cellStyle name="Comma 4 2 6 6 3" xfId="10895" xr:uid="{203D1C44-95B9-43BA-9C49-B94DEEE76EAD}"/>
    <cellStyle name="Comma 4 2 6 7" xfId="2367" xr:uid="{00000000-0005-0000-0000-00000C090000}"/>
    <cellStyle name="Comma 4 2 6 8" xfId="2776" xr:uid="{00000000-0005-0000-0000-00000D090000}"/>
    <cellStyle name="Comma 4 2 6 8 2" xfId="7001" xr:uid="{00000000-0005-0000-0000-00000E090000}"/>
    <cellStyle name="Comma 4 2 6 8 2 2" xfId="15430" xr:uid="{D17EFB4A-3784-4994-8F03-FCC7E3B68DA7}"/>
    <cellStyle name="Comma 4 2 6 8 3" xfId="11212" xr:uid="{7D4DC311-6FBB-4A5A-A7AD-9FA83E9B6010}"/>
    <cellStyle name="Comma 4 2 6 9" xfId="4618" xr:uid="{00000000-0005-0000-0000-00000F090000}"/>
    <cellStyle name="Comma 4 2 6 9 2" xfId="13047" xr:uid="{C91E3091-D1A0-49F4-8268-F32FE228F7EC}"/>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067C9E0B-EA64-4215-BA18-3080802421EC}"/>
    <cellStyle name="Comma 4 3 2 10 3" xfId="11213" xr:uid="{E5A21364-3106-4B1D-AA85-3D8AFC86C5C0}"/>
    <cellStyle name="Comma 4 3 2 11" xfId="4619" xr:uid="{00000000-0005-0000-0000-000014090000}"/>
    <cellStyle name="Comma 4 3 2 11 2" xfId="13048" xr:uid="{79B27935-C338-471D-BDA0-4EB45AFFB554}"/>
    <cellStyle name="Comma 4 3 2 12" xfId="8830" xr:uid="{49484E75-5E66-4BAF-8F57-068AF95F262E}"/>
    <cellStyle name="Comma 4 3 2 2" xfId="146" xr:uid="{00000000-0005-0000-0000-000015090000}"/>
    <cellStyle name="Comma 4 3 2 2 10" xfId="4620" xr:uid="{00000000-0005-0000-0000-000016090000}"/>
    <cellStyle name="Comma 4 3 2 2 10 2" xfId="13049" xr:uid="{8FC5751B-8E55-4A7F-9195-13D53C7D5A18}"/>
    <cellStyle name="Comma 4 3 2 2 11" xfId="8831" xr:uid="{FA31B828-9A94-4FB5-BCBA-735A79C02530}"/>
    <cellStyle name="Comma 4 3 2 2 2" xfId="147" xr:uid="{00000000-0005-0000-0000-000017090000}"/>
    <cellStyle name="Comma 4 3 2 2 2 10" xfId="8832" xr:uid="{361A67AB-7BCB-4487-8E7C-77F15218423E}"/>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B610567C-30A4-49E2-A5CD-59C1306446D7}"/>
    <cellStyle name="Comma 4 3 2 2 2 2 2 3" xfId="11391" xr:uid="{A71DED21-7F40-4B17-A4AC-6BB221537863}"/>
    <cellStyle name="Comma 4 3 2 2 2 2 3" xfId="5035" xr:uid="{00000000-0005-0000-0000-00001B090000}"/>
    <cellStyle name="Comma 4 3 2 2 2 2 3 2" xfId="13464" xr:uid="{D5402994-2B17-42DE-9874-72072CEA5B60}"/>
    <cellStyle name="Comma 4 3 2 2 2 2 4" xfId="9246" xr:uid="{D3688EA0-444F-403A-95FE-CAEFD7889B2D}"/>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A6BF606D-D594-4A00-8C83-9677D5338520}"/>
    <cellStyle name="Comma 4 3 2 2 2 3 2 3" xfId="11804" xr:uid="{E53DB6D0-DA42-4E5F-8B0D-3D79BD9487D6}"/>
    <cellStyle name="Comma 4 3 2 2 2 3 3" xfId="5448" xr:uid="{00000000-0005-0000-0000-00001F090000}"/>
    <cellStyle name="Comma 4 3 2 2 2 3 3 2" xfId="13877" xr:uid="{6A31C673-E319-4023-8F4C-11A6028137A3}"/>
    <cellStyle name="Comma 4 3 2 2 2 3 4" xfId="9659" xr:uid="{7273B446-B457-41E1-A81A-7165DC4A5B4A}"/>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C3D7C9A7-8376-43E4-9673-0B2DE9D9EF9C}"/>
    <cellStyle name="Comma 4 3 2 2 2 4 2 3" xfId="12217" xr:uid="{22FFF0CA-3DE9-4C83-9C12-AB09CB99FF47}"/>
    <cellStyle name="Comma 4 3 2 2 2 4 3" xfId="5861" xr:uid="{00000000-0005-0000-0000-000023090000}"/>
    <cellStyle name="Comma 4 3 2 2 2 4 3 2" xfId="14290" xr:uid="{BBFA910E-6976-44B3-AAD6-8553756C5EB3}"/>
    <cellStyle name="Comma 4 3 2 2 2 4 4" xfId="10072" xr:uid="{579DC809-D048-4C65-B5CD-82E8E4A6FDB7}"/>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9FA3B6C8-F882-4295-B050-CE173C7FA89E}"/>
    <cellStyle name="Comma 4 3 2 2 2 5 2 3" xfId="12630" xr:uid="{2229DFC3-5B18-402C-80BC-87BAF325CE22}"/>
    <cellStyle name="Comma 4 3 2 2 2 5 3" xfId="6274" xr:uid="{00000000-0005-0000-0000-000027090000}"/>
    <cellStyle name="Comma 4 3 2 2 2 5 3 2" xfId="14703" xr:uid="{6B04DCA6-4ECE-4999-BE35-5CE7E37309F5}"/>
    <cellStyle name="Comma 4 3 2 2 2 5 4" xfId="10485" xr:uid="{6AAC7538-480A-44F1-A3BB-3CAD9C2ADBE7}"/>
    <cellStyle name="Comma 4 3 2 2 2 6" xfId="2401" xr:uid="{00000000-0005-0000-0000-000028090000}"/>
    <cellStyle name="Comma 4 3 2 2 2 6 2" xfId="6687" xr:uid="{00000000-0005-0000-0000-000029090000}"/>
    <cellStyle name="Comma 4 3 2 2 2 6 2 2" xfId="15116" xr:uid="{0D8BD7E2-CD64-48F3-A682-4DD90938EE15}"/>
    <cellStyle name="Comma 4 3 2 2 2 6 3" xfId="10898" xr:uid="{848D2797-FD3C-41F7-B9B5-9D95A71C7AE0}"/>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771E8D40-92DC-4D9E-BEDB-04F845D11B49}"/>
    <cellStyle name="Comma 4 3 2 2 2 8 3" xfId="11215" xr:uid="{FAB15679-8474-4378-8A3E-223783C1EBE2}"/>
    <cellStyle name="Comma 4 3 2 2 2 9" xfId="4621" xr:uid="{00000000-0005-0000-0000-00002D090000}"/>
    <cellStyle name="Comma 4 3 2 2 2 9 2" xfId="13050" xr:uid="{7D418053-B5F3-4549-916C-3BA409CD8F9C}"/>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4995757B-886A-4A46-9FDB-376AA3728CC9}"/>
    <cellStyle name="Comma 4 3 2 2 3 2 3" xfId="11390" xr:uid="{F4B220DA-97DF-4994-9376-9F11EF5AFAD8}"/>
    <cellStyle name="Comma 4 3 2 2 3 3" xfId="5034" xr:uid="{00000000-0005-0000-0000-000031090000}"/>
    <cellStyle name="Comma 4 3 2 2 3 3 2" xfId="13463" xr:uid="{ABBA5BB7-770E-45A8-BD37-E775F8ED2900}"/>
    <cellStyle name="Comma 4 3 2 2 3 4" xfId="9245" xr:uid="{81D7079B-F65E-4DD1-9AA9-889826D0326F}"/>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B5672734-A234-4F57-BACA-3C5473E750DC}"/>
    <cellStyle name="Comma 4 3 2 2 4 2 3" xfId="11803" xr:uid="{403EA9EE-4B57-4E69-8933-D5D7DFE775E7}"/>
    <cellStyle name="Comma 4 3 2 2 4 3" xfId="5447" xr:uid="{00000000-0005-0000-0000-000035090000}"/>
    <cellStyle name="Comma 4 3 2 2 4 3 2" xfId="13876" xr:uid="{FCC83753-62AF-48E4-AD39-FA1037BC0869}"/>
    <cellStyle name="Comma 4 3 2 2 4 4" xfId="9658" xr:uid="{304EB69F-A4FC-485C-9DF3-9B9627DA7F10}"/>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8E5676B8-C784-49E5-9E46-5E09C0402AFD}"/>
    <cellStyle name="Comma 4 3 2 2 5 2 3" xfId="12216" xr:uid="{18D72D92-DAD6-4ECF-A0C2-15A2F34D1923}"/>
    <cellStyle name="Comma 4 3 2 2 5 3" xfId="5860" xr:uid="{00000000-0005-0000-0000-000039090000}"/>
    <cellStyle name="Comma 4 3 2 2 5 3 2" xfId="14289" xr:uid="{233A53E6-1918-4CB4-827C-CE2B20F8BD96}"/>
    <cellStyle name="Comma 4 3 2 2 5 4" xfId="10071" xr:uid="{12ECD70A-2C2D-4C84-99E9-F99020CC0987}"/>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EE8EAE24-09B1-491A-A30C-67531D044957}"/>
    <cellStyle name="Comma 4 3 2 2 6 2 3" xfId="12629" xr:uid="{AC71F045-8150-4193-9B82-97E333BDCDA2}"/>
    <cellStyle name="Comma 4 3 2 2 6 3" xfId="6273" xr:uid="{00000000-0005-0000-0000-00003D090000}"/>
    <cellStyle name="Comma 4 3 2 2 6 3 2" xfId="14702" xr:uid="{ED2BA360-D0A3-465D-9377-0323920312D9}"/>
    <cellStyle name="Comma 4 3 2 2 6 4" xfId="10484" xr:uid="{AD9167AD-8937-46E9-9CC4-47C9733D08A6}"/>
    <cellStyle name="Comma 4 3 2 2 7" xfId="2400" xr:uid="{00000000-0005-0000-0000-00003E090000}"/>
    <cellStyle name="Comma 4 3 2 2 7 2" xfId="6686" xr:uid="{00000000-0005-0000-0000-00003F090000}"/>
    <cellStyle name="Comma 4 3 2 2 7 2 2" xfId="15115" xr:uid="{1CC3863F-9702-479A-BD83-F9461C064F50}"/>
    <cellStyle name="Comma 4 3 2 2 7 3" xfId="10897" xr:uid="{1CC945E2-9B50-4D78-8572-00535294E10F}"/>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2C1E4658-D7FA-4CA8-9E95-5723ABC43355}"/>
    <cellStyle name="Comma 4 3 2 2 9 3" xfId="11214" xr:uid="{2861E3CB-9610-47CA-A94B-5A8499168808}"/>
    <cellStyle name="Comma 4 3 2 3" xfId="148" xr:uid="{00000000-0005-0000-0000-000043090000}"/>
    <cellStyle name="Comma 4 3 2 3 10" xfId="8833" xr:uid="{1521C322-28B7-407C-B5C4-B9A6C509176A}"/>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C742FC96-6205-45A3-9412-ACBFB61D0782}"/>
    <cellStyle name="Comma 4 3 2 3 2 2 3" xfId="11392" xr:uid="{C06F0124-4456-426A-A53F-D0500A24B89D}"/>
    <cellStyle name="Comma 4 3 2 3 2 3" xfId="5036" xr:uid="{00000000-0005-0000-0000-000047090000}"/>
    <cellStyle name="Comma 4 3 2 3 2 3 2" xfId="13465" xr:uid="{78EB7E1B-6848-4C4F-8A7E-657AB86012E4}"/>
    <cellStyle name="Comma 4 3 2 3 2 4" xfId="9247" xr:uid="{739BB27E-47D0-485E-9855-1B4C2F5F1CA5}"/>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7681CA2D-3C8E-495C-84F5-F341C6FFCBB8}"/>
    <cellStyle name="Comma 4 3 2 3 3 2 3" xfId="11805" xr:uid="{82A3A009-2171-4BA2-B659-44069B1BB525}"/>
    <cellStyle name="Comma 4 3 2 3 3 3" xfId="5449" xr:uid="{00000000-0005-0000-0000-00004B090000}"/>
    <cellStyle name="Comma 4 3 2 3 3 3 2" xfId="13878" xr:uid="{113278ED-B152-4A6A-8E4E-C549D06CEAFF}"/>
    <cellStyle name="Comma 4 3 2 3 3 4" xfId="9660" xr:uid="{42E735AD-3D95-4666-8DFB-0B5D21FC9EFB}"/>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6E62F590-61AE-4570-833E-FF706B26D54A}"/>
    <cellStyle name="Comma 4 3 2 3 4 2 3" xfId="12218" xr:uid="{B19F5A7C-DA99-44C0-AD2B-42D244E68ABA}"/>
    <cellStyle name="Comma 4 3 2 3 4 3" xfId="5862" xr:uid="{00000000-0005-0000-0000-00004F090000}"/>
    <cellStyle name="Comma 4 3 2 3 4 3 2" xfId="14291" xr:uid="{46D62244-54C6-465F-A2B8-80A15A55684A}"/>
    <cellStyle name="Comma 4 3 2 3 4 4" xfId="10073" xr:uid="{806B2F0E-3C44-4464-9EE8-2F6AD7FE50C0}"/>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B648A101-A79B-4AA2-A427-61498D7FF852}"/>
    <cellStyle name="Comma 4 3 2 3 5 2 3" xfId="12631" xr:uid="{6FDD39F0-AD72-4E4B-AD56-C3377A243728}"/>
    <cellStyle name="Comma 4 3 2 3 5 3" xfId="6275" xr:uid="{00000000-0005-0000-0000-000053090000}"/>
    <cellStyle name="Comma 4 3 2 3 5 3 2" xfId="14704" xr:uid="{FDC0FFC5-C016-4877-921C-12A6F38130FA}"/>
    <cellStyle name="Comma 4 3 2 3 5 4" xfId="10486" xr:uid="{A112C2A1-27BE-4E6D-ABA0-2F10DA32EA8E}"/>
    <cellStyle name="Comma 4 3 2 3 6" xfId="2402" xr:uid="{00000000-0005-0000-0000-000054090000}"/>
    <cellStyle name="Comma 4 3 2 3 6 2" xfId="6688" xr:uid="{00000000-0005-0000-0000-000055090000}"/>
    <cellStyle name="Comma 4 3 2 3 6 2 2" xfId="15117" xr:uid="{2F634C4F-CA62-4943-96BE-0D172DF25350}"/>
    <cellStyle name="Comma 4 3 2 3 6 3" xfId="10899" xr:uid="{CD37DBC0-3D11-4820-9167-BB2D55A4F6BD}"/>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67F20433-FE2E-4AE4-BF0B-ACA14C2CD84E}"/>
    <cellStyle name="Comma 4 3 2 3 8 3" xfId="11216" xr:uid="{6B84FB6B-63B9-464F-B101-EC705A703AA9}"/>
    <cellStyle name="Comma 4 3 2 3 9" xfId="4622" xr:uid="{00000000-0005-0000-0000-000059090000}"/>
    <cellStyle name="Comma 4 3 2 3 9 2" xfId="13051" xr:uid="{6A66D12D-A2D7-4E7A-A51E-08168C085D8F}"/>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060F6593-F935-4073-841F-96AEA2EDE0EF}"/>
    <cellStyle name="Comma 4 3 2 4 2 3" xfId="11389" xr:uid="{86AEEFEF-9565-4B4A-BD09-6D79BC55C90B}"/>
    <cellStyle name="Comma 4 3 2 4 3" xfId="5033" xr:uid="{00000000-0005-0000-0000-00005D090000}"/>
    <cellStyle name="Comma 4 3 2 4 3 2" xfId="13462" xr:uid="{0846C12F-4D20-4AD2-98EF-C12B5ED14813}"/>
    <cellStyle name="Comma 4 3 2 4 4" xfId="9244" xr:uid="{63F87F5F-B85A-4176-9B36-F5ABD285A3B2}"/>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BC19FA04-83A3-46CE-9AD2-56C68483472D}"/>
    <cellStyle name="Comma 4 3 2 5 2 3" xfId="11802" xr:uid="{EFCF7B4C-3E8C-401B-8204-30AB4D692DB2}"/>
    <cellStyle name="Comma 4 3 2 5 3" xfId="5446" xr:uid="{00000000-0005-0000-0000-000061090000}"/>
    <cellStyle name="Comma 4 3 2 5 3 2" xfId="13875" xr:uid="{22852568-EF75-4374-AE38-FCD5576B6AB8}"/>
    <cellStyle name="Comma 4 3 2 5 4" xfId="9657" xr:uid="{5791D33F-70D6-46E0-95C5-504EC00E2ABE}"/>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946011B4-37BB-4ABA-9E87-268B6D1EE728}"/>
    <cellStyle name="Comma 4 3 2 6 2 3" xfId="12215" xr:uid="{FA92C0EE-61A4-4493-9C1F-20CAEC5DDFF1}"/>
    <cellStyle name="Comma 4 3 2 6 3" xfId="5859" xr:uid="{00000000-0005-0000-0000-000065090000}"/>
    <cellStyle name="Comma 4 3 2 6 3 2" xfId="14288" xr:uid="{8496CE5E-C005-4D59-BFF6-16D515A031A3}"/>
    <cellStyle name="Comma 4 3 2 6 4" xfId="10070" xr:uid="{901FCD2E-D36C-4251-B3F0-CCB1E6D59C11}"/>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7F905019-D0A9-4759-ABB0-8882586C5ADA}"/>
    <cellStyle name="Comma 4 3 2 7 2 3" xfId="12628" xr:uid="{88213C62-156B-43E5-966B-964449D43FCD}"/>
    <cellStyle name="Comma 4 3 2 7 3" xfId="6272" xr:uid="{00000000-0005-0000-0000-000069090000}"/>
    <cellStyle name="Comma 4 3 2 7 3 2" xfId="14701" xr:uid="{87F94EC4-A38C-4005-A636-5E2088581C6C}"/>
    <cellStyle name="Comma 4 3 2 7 4" xfId="10483" xr:uid="{581E5B14-C3A8-42A1-B687-3053375885A2}"/>
    <cellStyle name="Comma 4 3 2 8" xfId="2399" xr:uid="{00000000-0005-0000-0000-00006A090000}"/>
    <cellStyle name="Comma 4 3 2 8 2" xfId="6685" xr:uid="{00000000-0005-0000-0000-00006B090000}"/>
    <cellStyle name="Comma 4 3 2 8 2 2" xfId="15114" xr:uid="{16ED4428-6A03-4FE8-9F50-7D13B9FAEADD}"/>
    <cellStyle name="Comma 4 3 2 8 3" xfId="10896" xr:uid="{17D82E96-AB3D-429A-960C-D4CDF1BC25DA}"/>
    <cellStyle name="Comma 4 3 2 9" xfId="2366" xr:uid="{00000000-0005-0000-0000-00006C090000}"/>
    <cellStyle name="Comma 4 3 3" xfId="149" xr:uid="{00000000-0005-0000-0000-00006D090000}"/>
    <cellStyle name="Comma 4 3 3 10" xfId="4623" xr:uid="{00000000-0005-0000-0000-00006E090000}"/>
    <cellStyle name="Comma 4 3 3 10 2" xfId="13052" xr:uid="{C285594B-451F-4277-8F32-C2935A78888D}"/>
    <cellStyle name="Comma 4 3 3 11" xfId="8834" xr:uid="{21992DBC-BE63-4F38-95EA-337FD5095975}"/>
    <cellStyle name="Comma 4 3 3 2" xfId="150" xr:uid="{00000000-0005-0000-0000-00006F090000}"/>
    <cellStyle name="Comma 4 3 3 2 10" xfId="8835" xr:uid="{A53D464B-C938-4E31-BE41-7D1709B79C58}"/>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4E11D704-BBAF-4277-A473-71565D295A5C}"/>
    <cellStyle name="Comma 4 3 3 2 2 2 3" xfId="11394" xr:uid="{DE900C49-1098-4712-9FBC-14C5543A351E}"/>
    <cellStyle name="Comma 4 3 3 2 2 3" xfId="5038" xr:uid="{00000000-0005-0000-0000-000073090000}"/>
    <cellStyle name="Comma 4 3 3 2 2 3 2" xfId="13467" xr:uid="{25CA15ED-C80B-495F-B8C2-E8FF97C3DEB7}"/>
    <cellStyle name="Comma 4 3 3 2 2 4" xfId="9249" xr:uid="{3A1E45A5-64D3-495C-838E-CCCB2495B070}"/>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8FE89F8B-C4CC-4AE9-A0F9-1C0DB1FAA3AB}"/>
    <cellStyle name="Comma 4 3 3 2 3 2 3" xfId="11807" xr:uid="{139F4305-CBAB-4C0D-8EE7-75559292592D}"/>
    <cellStyle name="Comma 4 3 3 2 3 3" xfId="5451" xr:uid="{00000000-0005-0000-0000-000077090000}"/>
    <cellStyle name="Comma 4 3 3 2 3 3 2" xfId="13880" xr:uid="{698FBA13-3969-4B58-AC84-D4D0B1731297}"/>
    <cellStyle name="Comma 4 3 3 2 3 4" xfId="9662" xr:uid="{B8010641-E1D5-4F86-8C7C-3C368494A990}"/>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33C2AE1B-08E6-413E-9CCC-816679B444F6}"/>
    <cellStyle name="Comma 4 3 3 2 4 2 3" xfId="12220" xr:uid="{3545FEEB-EF7D-4A13-97D9-E675211EDFB7}"/>
    <cellStyle name="Comma 4 3 3 2 4 3" xfId="5864" xr:uid="{00000000-0005-0000-0000-00007B090000}"/>
    <cellStyle name="Comma 4 3 3 2 4 3 2" xfId="14293" xr:uid="{5FB78A3D-1A85-4937-AACC-0D093CE2DDBD}"/>
    <cellStyle name="Comma 4 3 3 2 4 4" xfId="10075" xr:uid="{6D20976A-80D9-4F4D-A2AE-81D92E01DEAA}"/>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8F713B8A-1CCB-46FD-957B-1010F9852603}"/>
    <cellStyle name="Comma 4 3 3 2 5 2 3" xfId="12633" xr:uid="{38D6C192-2B52-435E-BFA3-C086FE349C78}"/>
    <cellStyle name="Comma 4 3 3 2 5 3" xfId="6277" xr:uid="{00000000-0005-0000-0000-00007F090000}"/>
    <cellStyle name="Comma 4 3 3 2 5 3 2" xfId="14706" xr:uid="{6958C1E1-57B0-4F5A-A99E-817C934012A6}"/>
    <cellStyle name="Comma 4 3 3 2 5 4" xfId="10488" xr:uid="{05F40412-A0F4-4EAF-83EF-6C31311AC3C5}"/>
    <cellStyle name="Comma 4 3 3 2 6" xfId="2404" xr:uid="{00000000-0005-0000-0000-000080090000}"/>
    <cellStyle name="Comma 4 3 3 2 6 2" xfId="6690" xr:uid="{00000000-0005-0000-0000-000081090000}"/>
    <cellStyle name="Comma 4 3 3 2 6 2 2" xfId="15119" xr:uid="{E38AB7CE-AD51-4A05-BD5C-F168279F77F3}"/>
    <cellStyle name="Comma 4 3 3 2 6 3" xfId="10901" xr:uid="{D72D1BA3-DA0A-4870-BF45-65D69FA3CB35}"/>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E6C7256F-7485-4576-A2F2-C00464D4BB89}"/>
    <cellStyle name="Comma 4 3 3 2 8 3" xfId="11218" xr:uid="{3C26AA36-89A1-4E37-A7F6-571F3D90106C}"/>
    <cellStyle name="Comma 4 3 3 2 9" xfId="4624" xr:uid="{00000000-0005-0000-0000-000085090000}"/>
    <cellStyle name="Comma 4 3 3 2 9 2" xfId="13053" xr:uid="{13DB0A02-EC43-4F88-A6E1-8D5DD017B10C}"/>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B9A960DD-6111-47F1-B945-C604E919A732}"/>
    <cellStyle name="Comma 4 3 3 3 2 3" xfId="11393" xr:uid="{04F92942-B312-43D0-BC54-4CEEF8D157DB}"/>
    <cellStyle name="Comma 4 3 3 3 3" xfId="5037" xr:uid="{00000000-0005-0000-0000-000089090000}"/>
    <cellStyle name="Comma 4 3 3 3 3 2" xfId="13466" xr:uid="{D7E8EFAB-EA12-499B-BF60-4AEF826BE7EB}"/>
    <cellStyle name="Comma 4 3 3 3 4" xfId="9248" xr:uid="{110A2D6C-71CF-4EC9-AA39-B89C3F142B84}"/>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6E5A8DED-12B9-4D1A-811F-DDFE40AD70FC}"/>
    <cellStyle name="Comma 4 3 3 4 2 3" xfId="11806" xr:uid="{52DBC5C8-5CD4-42DA-8C77-C452F994833C}"/>
    <cellStyle name="Comma 4 3 3 4 3" xfId="5450" xr:uid="{00000000-0005-0000-0000-00008D090000}"/>
    <cellStyle name="Comma 4 3 3 4 3 2" xfId="13879" xr:uid="{DD3F0293-C89A-47B5-993D-6DA2ECC7B545}"/>
    <cellStyle name="Comma 4 3 3 4 4" xfId="9661" xr:uid="{7FF18FB6-0559-4391-9664-0D3AF846BC2D}"/>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D20CCF2B-D9A4-42EC-A069-545C15BF58F6}"/>
    <cellStyle name="Comma 4 3 3 5 2 3" xfId="12219" xr:uid="{D50F04A1-403B-4E84-99E1-DB6C1FE5FF32}"/>
    <cellStyle name="Comma 4 3 3 5 3" xfId="5863" xr:uid="{00000000-0005-0000-0000-000091090000}"/>
    <cellStyle name="Comma 4 3 3 5 3 2" xfId="14292" xr:uid="{0E092B8B-8C13-4999-8EF2-45B4991B81A8}"/>
    <cellStyle name="Comma 4 3 3 5 4" xfId="10074" xr:uid="{1078500D-C417-461A-BAC6-4EEEB19D7654}"/>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934AA367-D846-4C7E-9253-4B2D12A102B5}"/>
    <cellStyle name="Comma 4 3 3 6 2 3" xfId="12632" xr:uid="{F120D119-3BF9-418F-90B6-6AE14DEA766C}"/>
    <cellStyle name="Comma 4 3 3 6 3" xfId="6276" xr:uid="{00000000-0005-0000-0000-000095090000}"/>
    <cellStyle name="Comma 4 3 3 6 3 2" xfId="14705" xr:uid="{C80CD7CB-6FE8-4D3C-A0AC-F445644F9B3A}"/>
    <cellStyle name="Comma 4 3 3 6 4" xfId="10487" xr:uid="{34F8F2FB-ABEB-4E4C-BE4B-3787A2F336C5}"/>
    <cellStyle name="Comma 4 3 3 7" xfId="2403" xr:uid="{00000000-0005-0000-0000-000096090000}"/>
    <cellStyle name="Comma 4 3 3 7 2" xfId="6689" xr:uid="{00000000-0005-0000-0000-000097090000}"/>
    <cellStyle name="Comma 4 3 3 7 2 2" xfId="15118" xr:uid="{44042317-55B6-4F15-B945-433A3F08D981}"/>
    <cellStyle name="Comma 4 3 3 7 3" xfId="10900" xr:uid="{8D3BAE0E-8280-4A0A-9123-46CB3E629999}"/>
    <cellStyle name="Comma 4 3 3 8" xfId="2362" xr:uid="{00000000-0005-0000-0000-000098090000}"/>
    <cellStyle name="Comma 4 3 3 9" xfId="2781" xr:uid="{00000000-0005-0000-0000-000099090000}"/>
    <cellStyle name="Comma 4 3 3 9 2" xfId="7006" xr:uid="{00000000-0005-0000-0000-00009A090000}"/>
    <cellStyle name="Comma 4 3 3 9 2 2" xfId="15435" xr:uid="{79738912-12EE-4769-BDD2-748133348FCD}"/>
    <cellStyle name="Comma 4 3 3 9 3" xfId="11217" xr:uid="{EEC4E806-4253-4C97-A65C-97DC60904D66}"/>
    <cellStyle name="Comma 4 3 4" xfId="151" xr:uid="{00000000-0005-0000-0000-00009B090000}"/>
    <cellStyle name="Comma 4 3 4 10" xfId="8836" xr:uid="{BB895EB7-F0EC-4776-81D6-E2D51FD8BC24}"/>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FD1CFC25-70DF-4850-ACE1-CB29AB36D04B}"/>
    <cellStyle name="Comma 4 3 4 2 2 3" xfId="11395" xr:uid="{F3B573B1-420B-441E-A2B4-FBFA51DC5652}"/>
    <cellStyle name="Comma 4 3 4 2 3" xfId="5039" xr:uid="{00000000-0005-0000-0000-00009F090000}"/>
    <cellStyle name="Comma 4 3 4 2 3 2" xfId="13468" xr:uid="{42F15E83-F4F5-48D3-8CFD-7C324C4668A1}"/>
    <cellStyle name="Comma 4 3 4 2 4" xfId="9250" xr:uid="{EFC741EF-9973-452A-8130-FA338ABA28F3}"/>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AF3A3CC9-2175-44A3-85A3-8CB84D60D4A9}"/>
    <cellStyle name="Comma 4 3 4 3 2 3" xfId="11808" xr:uid="{9F82D3AB-EA18-4859-9DCB-5D47C294A26C}"/>
    <cellStyle name="Comma 4 3 4 3 3" xfId="5452" xr:uid="{00000000-0005-0000-0000-0000A3090000}"/>
    <cellStyle name="Comma 4 3 4 3 3 2" xfId="13881" xr:uid="{C6A133BF-F930-4B66-AA3C-AFA5DBE5BDF2}"/>
    <cellStyle name="Comma 4 3 4 3 4" xfId="9663" xr:uid="{50A330AF-412A-405B-A31F-CCEAE9952431}"/>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2D479822-0E77-4DF8-BA83-9FE7C8EF4154}"/>
    <cellStyle name="Comma 4 3 4 4 2 3" xfId="12221" xr:uid="{4E7C79D0-65B4-4927-A4DA-6E9E17D56740}"/>
    <cellStyle name="Comma 4 3 4 4 3" xfId="5865" xr:uid="{00000000-0005-0000-0000-0000A7090000}"/>
    <cellStyle name="Comma 4 3 4 4 3 2" xfId="14294" xr:uid="{06B7BE2B-B8C7-4F21-83F7-D0E1572E5639}"/>
    <cellStyle name="Comma 4 3 4 4 4" xfId="10076" xr:uid="{3F56C6CF-65EC-446D-8C35-2288103BD5FC}"/>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035B5630-658F-4584-9CFB-382243DEB9A7}"/>
    <cellStyle name="Comma 4 3 4 5 2 3" xfId="12634" xr:uid="{4000D0E3-09B4-43F6-BDF3-44F67E11DC55}"/>
    <cellStyle name="Comma 4 3 4 5 3" xfId="6278" xr:uid="{00000000-0005-0000-0000-0000AB090000}"/>
    <cellStyle name="Comma 4 3 4 5 3 2" xfId="14707" xr:uid="{98075432-52EC-4F5C-899A-18819110CCEB}"/>
    <cellStyle name="Comma 4 3 4 5 4" xfId="10489" xr:uid="{BD7BC2B7-A872-420F-A7A8-8777445A6E69}"/>
    <cellStyle name="Comma 4 3 4 6" xfId="2405" xr:uid="{00000000-0005-0000-0000-0000AC090000}"/>
    <cellStyle name="Comma 4 3 4 6 2" xfId="6691" xr:uid="{00000000-0005-0000-0000-0000AD090000}"/>
    <cellStyle name="Comma 4 3 4 6 2 2" xfId="15120" xr:uid="{FBD615F2-5355-4BD2-A940-0B993A529B4B}"/>
    <cellStyle name="Comma 4 3 4 6 3" xfId="10902" xr:uid="{DACCC7C6-0989-4811-A87E-46CCA67239A5}"/>
    <cellStyle name="Comma 4 3 4 7" xfId="2701" xr:uid="{00000000-0005-0000-0000-0000AE090000}"/>
    <cellStyle name="Comma 4 3 4 8" xfId="2783" xr:uid="{00000000-0005-0000-0000-0000AF090000}"/>
    <cellStyle name="Comma 4 3 4 8 2" xfId="7008" xr:uid="{00000000-0005-0000-0000-0000B0090000}"/>
    <cellStyle name="Comma 4 3 4 8 2 2" xfId="15437" xr:uid="{B237EA90-6BC5-471E-86C9-D70388E73050}"/>
    <cellStyle name="Comma 4 3 4 8 3" xfId="11219" xr:uid="{E8D25283-B5E9-42F4-8EB3-A1ECDC6215B5}"/>
    <cellStyle name="Comma 4 3 4 9" xfId="4625" xr:uid="{00000000-0005-0000-0000-0000B1090000}"/>
    <cellStyle name="Comma 4 3 4 9 2" xfId="13054" xr:uid="{C9E42FD5-6561-4BC7-A0B7-C2B9D6444EE0}"/>
    <cellStyle name="Comma 4 3 5" xfId="152" xr:uid="{00000000-0005-0000-0000-0000B2090000}"/>
    <cellStyle name="Comma 4 3 5 10" xfId="8837" xr:uid="{E4F2285F-1C23-4750-BB42-A6F1F8A276A7}"/>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9B73A699-7258-46F5-9EB9-3C3BE645ACF9}"/>
    <cellStyle name="Comma 4 3 5 2 2 3" xfId="11396" xr:uid="{0FFBB343-A1BF-4220-A3C6-E52DDA680F5E}"/>
    <cellStyle name="Comma 4 3 5 2 3" xfId="5040" xr:uid="{00000000-0005-0000-0000-0000B6090000}"/>
    <cellStyle name="Comma 4 3 5 2 3 2" xfId="13469" xr:uid="{84D5B994-4CB4-4779-B448-F25313C67A12}"/>
    <cellStyle name="Comma 4 3 5 2 4" xfId="9251" xr:uid="{D855F260-E640-4512-BF4F-BDF4AADC58AD}"/>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688009C0-283F-4523-9A55-EA8565477482}"/>
    <cellStyle name="Comma 4 3 5 3 2 3" xfId="11809" xr:uid="{05A353AE-7902-41C7-ACAC-0827EC5B630B}"/>
    <cellStyle name="Comma 4 3 5 3 3" xfId="5453" xr:uid="{00000000-0005-0000-0000-0000BA090000}"/>
    <cellStyle name="Comma 4 3 5 3 3 2" xfId="13882" xr:uid="{BC883F79-F28C-440E-9E3B-97349A50C3B2}"/>
    <cellStyle name="Comma 4 3 5 3 4" xfId="9664" xr:uid="{92B1B6EC-2F1B-4876-9291-C1FCD8E9195B}"/>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B8BE47EE-87BD-4511-B632-010D482A43CC}"/>
    <cellStyle name="Comma 4 3 5 4 2 3" xfId="12222" xr:uid="{A46AD027-15CF-43B6-A5D7-E3D64A1EB051}"/>
    <cellStyle name="Comma 4 3 5 4 3" xfId="5866" xr:uid="{00000000-0005-0000-0000-0000BE090000}"/>
    <cellStyle name="Comma 4 3 5 4 3 2" xfId="14295" xr:uid="{7D3CD8DE-A699-4BB1-8CBD-C3E18628A3E3}"/>
    <cellStyle name="Comma 4 3 5 4 4" xfId="10077" xr:uid="{68877F46-C49E-4B32-B695-08DEE6E4E943}"/>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67198E30-FFA1-4C52-B4F4-D08DF7BB50A4}"/>
    <cellStyle name="Comma 4 3 5 5 2 3" xfId="12635" xr:uid="{99740E8C-F2BC-4959-811D-ADD30518C04E}"/>
    <cellStyle name="Comma 4 3 5 5 3" xfId="6279" xr:uid="{00000000-0005-0000-0000-0000C2090000}"/>
    <cellStyle name="Comma 4 3 5 5 3 2" xfId="14708" xr:uid="{4313C04F-5A38-46CE-B6CF-7164CF28964C}"/>
    <cellStyle name="Comma 4 3 5 5 4" xfId="10490" xr:uid="{4464921F-EFC8-4938-B578-F27960D6BD4C}"/>
    <cellStyle name="Comma 4 3 5 6" xfId="2406" xr:uid="{00000000-0005-0000-0000-0000C3090000}"/>
    <cellStyle name="Comma 4 3 5 6 2" xfId="6692" xr:uid="{00000000-0005-0000-0000-0000C4090000}"/>
    <cellStyle name="Comma 4 3 5 6 2 2" xfId="15121" xr:uid="{E3866F4A-A5E5-4DCC-B3E0-0D44D953C6F4}"/>
    <cellStyle name="Comma 4 3 5 6 3" xfId="10903" xr:uid="{AA932C42-DAA8-49D8-83E3-0D02C5FC2189}"/>
    <cellStyle name="Comma 4 3 5 7" xfId="2702" xr:uid="{00000000-0005-0000-0000-0000C5090000}"/>
    <cellStyle name="Comma 4 3 5 8" xfId="2784" xr:uid="{00000000-0005-0000-0000-0000C6090000}"/>
    <cellStyle name="Comma 4 3 5 8 2" xfId="7009" xr:uid="{00000000-0005-0000-0000-0000C7090000}"/>
    <cellStyle name="Comma 4 3 5 8 2 2" xfId="15438" xr:uid="{62017279-9EBA-4B95-8C70-43C884EAD64A}"/>
    <cellStyle name="Comma 4 3 5 8 3" xfId="11220" xr:uid="{E7BC465C-0B00-48BE-990D-B87B8EF33EC3}"/>
    <cellStyle name="Comma 4 3 5 9" xfId="4626" xr:uid="{00000000-0005-0000-0000-0000C8090000}"/>
    <cellStyle name="Comma 4 3 5 9 2" xfId="13055" xr:uid="{A1B89C19-37FF-4892-80E5-9F5BCCA942BC}"/>
    <cellStyle name="Comma 4 4" xfId="153" xr:uid="{00000000-0005-0000-0000-0000C9090000}"/>
    <cellStyle name="Comma 4 4 10" xfId="2785" xr:uid="{00000000-0005-0000-0000-0000CA090000}"/>
    <cellStyle name="Comma 4 4 10 2" xfId="7010" xr:uid="{00000000-0005-0000-0000-0000CB090000}"/>
    <cellStyle name="Comma 4 4 10 2 2" xfId="15439" xr:uid="{E289F03E-2376-4547-983F-FAA17C3E1B90}"/>
    <cellStyle name="Comma 4 4 10 3" xfId="11221" xr:uid="{12BD3881-7E07-418B-856D-61BC44DADB53}"/>
    <cellStyle name="Comma 4 4 11" xfId="4627" xr:uid="{00000000-0005-0000-0000-0000CC090000}"/>
    <cellStyle name="Comma 4 4 11 2" xfId="13056" xr:uid="{B87D349A-CE36-461D-A1C6-63263C2AA510}"/>
    <cellStyle name="Comma 4 4 12" xfId="8838" xr:uid="{145B3FD7-8DFF-415C-966E-4748C2BAAB7B}"/>
    <cellStyle name="Comma 4 4 2" xfId="154" xr:uid="{00000000-0005-0000-0000-0000CD090000}"/>
    <cellStyle name="Comma 4 4 2 10" xfId="4628" xr:uid="{00000000-0005-0000-0000-0000CE090000}"/>
    <cellStyle name="Comma 4 4 2 10 2" xfId="13057" xr:uid="{A5EF57F6-C8CB-4DD4-AF7F-911F7667EE5C}"/>
    <cellStyle name="Comma 4 4 2 11" xfId="8839" xr:uid="{F8F976F6-7205-4F51-BDA3-E7DD932E08C2}"/>
    <cellStyle name="Comma 4 4 2 2" xfId="155" xr:uid="{00000000-0005-0000-0000-0000CF090000}"/>
    <cellStyle name="Comma 4 4 2 2 10" xfId="8840" xr:uid="{6C19E10C-593C-4D84-8F24-97B19144E4F0}"/>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8B4A5EBB-C60C-4526-9833-AA62C5E96DF6}"/>
    <cellStyle name="Comma 4 4 2 2 2 2 3" xfId="11399" xr:uid="{0C987BD9-FEB4-4B9E-B371-6AF277C7634B}"/>
    <cellStyle name="Comma 4 4 2 2 2 3" xfId="5043" xr:uid="{00000000-0005-0000-0000-0000D3090000}"/>
    <cellStyle name="Comma 4 4 2 2 2 3 2" xfId="13472" xr:uid="{D61DE4FD-87DA-4C0E-BC93-F15DE3DEA9F6}"/>
    <cellStyle name="Comma 4 4 2 2 2 4" xfId="9254" xr:uid="{7CFD761D-B8E2-402B-BD51-F2875174C0C1}"/>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7AAB4DA6-97DB-4855-B94C-1DEBE7408CD0}"/>
    <cellStyle name="Comma 4 4 2 2 3 2 3" xfId="11812" xr:uid="{86D4571F-C970-4601-8463-872EAA536AD0}"/>
    <cellStyle name="Comma 4 4 2 2 3 3" xfId="5456" xr:uid="{00000000-0005-0000-0000-0000D7090000}"/>
    <cellStyle name="Comma 4 4 2 2 3 3 2" xfId="13885" xr:uid="{42DB7EDC-49F7-4864-A46E-D7C2502CB811}"/>
    <cellStyle name="Comma 4 4 2 2 3 4" xfId="9667" xr:uid="{8DBD3310-C5A2-4736-A5F6-E872FB997F75}"/>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BCB68C44-7128-4155-BFA3-C3C36DD25E79}"/>
    <cellStyle name="Comma 4 4 2 2 4 2 3" xfId="12225" xr:uid="{2CB1C50B-F846-4885-B39D-93A25108B306}"/>
    <cellStyle name="Comma 4 4 2 2 4 3" xfId="5869" xr:uid="{00000000-0005-0000-0000-0000DB090000}"/>
    <cellStyle name="Comma 4 4 2 2 4 3 2" xfId="14298" xr:uid="{91CFD6CB-E282-4AA1-81C1-40A4E38E968C}"/>
    <cellStyle name="Comma 4 4 2 2 4 4" xfId="10080" xr:uid="{28A429BE-1FAE-412E-A5D1-5920BDFE3858}"/>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0BDCA0D3-D323-484C-8EC8-FC009364E6AC}"/>
    <cellStyle name="Comma 4 4 2 2 5 2 3" xfId="12638" xr:uid="{7B8E7A5D-2A2B-4ECB-AD3A-E2C7FCE6EDD2}"/>
    <cellStyle name="Comma 4 4 2 2 5 3" xfId="6282" xr:uid="{00000000-0005-0000-0000-0000DF090000}"/>
    <cellStyle name="Comma 4 4 2 2 5 3 2" xfId="14711" xr:uid="{55A88585-C46C-40CD-8F73-FC639286610D}"/>
    <cellStyle name="Comma 4 4 2 2 5 4" xfId="10493" xr:uid="{AFB8A431-AC4F-4681-BF28-9437E5D3B080}"/>
    <cellStyle name="Comma 4 4 2 2 6" xfId="2409" xr:uid="{00000000-0005-0000-0000-0000E0090000}"/>
    <cellStyle name="Comma 4 4 2 2 6 2" xfId="6695" xr:uid="{00000000-0005-0000-0000-0000E1090000}"/>
    <cellStyle name="Comma 4 4 2 2 6 2 2" xfId="15124" xr:uid="{37DF9615-A125-44C0-A5F0-25FCA9AB3D4B}"/>
    <cellStyle name="Comma 4 4 2 2 6 3" xfId="10906" xr:uid="{00B48B09-C8CD-45AE-AEE6-AC0F1B26A4EC}"/>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C3CF4A31-E8BC-46CD-B60E-F30309EE4BC7}"/>
    <cellStyle name="Comma 4 4 2 2 8 3" xfId="11223" xr:uid="{0A4C9D71-8697-4D46-9BA2-BF600B4CF16A}"/>
    <cellStyle name="Comma 4 4 2 2 9" xfId="4629" xr:uid="{00000000-0005-0000-0000-0000E5090000}"/>
    <cellStyle name="Comma 4 4 2 2 9 2" xfId="13058" xr:uid="{3B42FF37-74C8-45E6-8A02-563F6D34DB9E}"/>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203B72FC-099A-4E33-B45C-5D5F8357E003}"/>
    <cellStyle name="Comma 4 4 2 3 2 3" xfId="11398" xr:uid="{5F13A6E0-8DF6-4C9A-BD30-B872DF883E8F}"/>
    <cellStyle name="Comma 4 4 2 3 3" xfId="5042" xr:uid="{00000000-0005-0000-0000-0000E9090000}"/>
    <cellStyle name="Comma 4 4 2 3 3 2" xfId="13471" xr:uid="{2CB5D339-C951-4D96-85E2-0F1C3C052979}"/>
    <cellStyle name="Comma 4 4 2 3 4" xfId="9253" xr:uid="{AF8E015F-E055-4703-AB14-60E45CB9743A}"/>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9AA7C441-ABD0-4448-B0E0-C99AD07397C0}"/>
    <cellStyle name="Comma 4 4 2 4 2 3" xfId="11811" xr:uid="{1194FB20-79A1-4573-86AB-E2EC4131B148}"/>
    <cellStyle name="Comma 4 4 2 4 3" xfId="5455" xr:uid="{00000000-0005-0000-0000-0000ED090000}"/>
    <cellStyle name="Comma 4 4 2 4 3 2" xfId="13884" xr:uid="{9FB6ACC2-12CB-4AB7-B146-8058F884A45A}"/>
    <cellStyle name="Comma 4 4 2 4 4" xfId="9666" xr:uid="{3455DAC2-483D-46D2-BED9-076944E47345}"/>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AD30CF6A-6059-4BAB-9A7B-074965644B2C}"/>
    <cellStyle name="Comma 4 4 2 5 2 3" xfId="12224" xr:uid="{8C922A11-3DAE-434A-B0D9-2C8E818676B0}"/>
    <cellStyle name="Comma 4 4 2 5 3" xfId="5868" xr:uid="{00000000-0005-0000-0000-0000F1090000}"/>
    <cellStyle name="Comma 4 4 2 5 3 2" xfId="14297" xr:uid="{3ACC9846-7C23-4657-ADF3-6DB6C43063CA}"/>
    <cellStyle name="Comma 4 4 2 5 4" xfId="10079" xr:uid="{11C5BC9C-E91A-477D-B053-3C9232C54253}"/>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3706392A-315C-43E1-A339-A2F96DA8C45B}"/>
    <cellStyle name="Comma 4 4 2 6 2 3" xfId="12637" xr:uid="{6365C976-FE55-4B31-913A-EF968B137281}"/>
    <cellStyle name="Comma 4 4 2 6 3" xfId="6281" xr:uid="{00000000-0005-0000-0000-0000F5090000}"/>
    <cellStyle name="Comma 4 4 2 6 3 2" xfId="14710" xr:uid="{8318A71D-3B8E-40EB-9573-46C57E28EFDE}"/>
    <cellStyle name="Comma 4 4 2 6 4" xfId="10492" xr:uid="{A7B63DF5-BEFD-4D4A-8432-F0BD99B2BFC2}"/>
    <cellStyle name="Comma 4 4 2 7" xfId="2408" xr:uid="{00000000-0005-0000-0000-0000F6090000}"/>
    <cellStyle name="Comma 4 4 2 7 2" xfId="6694" xr:uid="{00000000-0005-0000-0000-0000F7090000}"/>
    <cellStyle name="Comma 4 4 2 7 2 2" xfId="15123" xr:uid="{90FE195D-20C4-40A5-B6EA-FAEE7727D267}"/>
    <cellStyle name="Comma 4 4 2 7 3" xfId="10905" xr:uid="{197BD51B-6A1C-4EE1-9D0A-BED12E9B7439}"/>
    <cellStyle name="Comma 4 4 2 8" xfId="2704" xr:uid="{00000000-0005-0000-0000-0000F8090000}"/>
    <cellStyle name="Comma 4 4 2 9" xfId="2786" xr:uid="{00000000-0005-0000-0000-0000F9090000}"/>
    <cellStyle name="Comma 4 4 2 9 2" xfId="7011" xr:uid="{00000000-0005-0000-0000-0000FA090000}"/>
    <cellStyle name="Comma 4 4 2 9 2 2" xfId="15440" xr:uid="{AC023048-3929-4D8A-B00B-7555CC8BA1B4}"/>
    <cellStyle name="Comma 4 4 2 9 3" xfId="11222" xr:uid="{7BCF7580-27C4-4A39-A071-649CCE434072}"/>
    <cellStyle name="Comma 4 4 3" xfId="156" xr:uid="{00000000-0005-0000-0000-0000FB090000}"/>
    <cellStyle name="Comma 4 4 3 10" xfId="8841" xr:uid="{4386E9FE-FD6D-4EB3-BC43-59F70AFC542F}"/>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5892D57A-B0E6-44A6-B244-7E9C18536803}"/>
    <cellStyle name="Comma 4 4 3 2 2 3" xfId="11400" xr:uid="{15C56B3B-D1D4-4464-B133-04F0D3AB8781}"/>
    <cellStyle name="Comma 4 4 3 2 3" xfId="5044" xr:uid="{00000000-0005-0000-0000-0000FF090000}"/>
    <cellStyle name="Comma 4 4 3 2 3 2" xfId="13473" xr:uid="{0BF12FD1-607C-4A66-BC55-6C00DCF7EE27}"/>
    <cellStyle name="Comma 4 4 3 2 4" xfId="9255" xr:uid="{BCA2601F-BE0C-45E1-A304-C489E262FF1D}"/>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AEF277C1-FAB9-4640-970E-17630CA36465}"/>
    <cellStyle name="Comma 4 4 3 3 2 3" xfId="11813" xr:uid="{602E0087-66CF-429E-8241-C2F597EB6B9E}"/>
    <cellStyle name="Comma 4 4 3 3 3" xfId="5457" xr:uid="{00000000-0005-0000-0000-0000030A0000}"/>
    <cellStyle name="Comma 4 4 3 3 3 2" xfId="13886" xr:uid="{AD90090B-B046-45AF-86CF-2D7C93CEEBBC}"/>
    <cellStyle name="Comma 4 4 3 3 4" xfId="9668" xr:uid="{9F918CB4-AA34-40FC-9765-95370570232E}"/>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EA0EE645-D761-48A4-8F7A-575C81B5D689}"/>
    <cellStyle name="Comma 4 4 3 4 2 3" xfId="12226" xr:uid="{851CA6F4-D964-48ED-8B85-655C1770B316}"/>
    <cellStyle name="Comma 4 4 3 4 3" xfId="5870" xr:uid="{00000000-0005-0000-0000-0000070A0000}"/>
    <cellStyle name="Comma 4 4 3 4 3 2" xfId="14299" xr:uid="{7024A976-A7A8-47FC-9F79-F823A92AB88A}"/>
    <cellStyle name="Comma 4 4 3 4 4" xfId="10081" xr:uid="{3D205896-AD91-45FA-BE56-2766906753D0}"/>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53F9D4F0-7009-4339-AAC5-9F7051353AF4}"/>
    <cellStyle name="Comma 4 4 3 5 2 3" xfId="12639" xr:uid="{63DED1FF-9986-453B-BD62-611C4EFC787F}"/>
    <cellStyle name="Comma 4 4 3 5 3" xfId="6283" xr:uid="{00000000-0005-0000-0000-00000B0A0000}"/>
    <cellStyle name="Comma 4 4 3 5 3 2" xfId="14712" xr:uid="{975DE5CE-2298-4C32-9EBB-C29BB5DC824B}"/>
    <cellStyle name="Comma 4 4 3 5 4" xfId="10494" xr:uid="{E0E4CF47-4AD9-43D8-9D34-B955107A794F}"/>
    <cellStyle name="Comma 4 4 3 6" xfId="2410" xr:uid="{00000000-0005-0000-0000-00000C0A0000}"/>
    <cellStyle name="Comma 4 4 3 6 2" xfId="6696" xr:uid="{00000000-0005-0000-0000-00000D0A0000}"/>
    <cellStyle name="Comma 4 4 3 6 2 2" xfId="15125" xr:uid="{29E9B171-86B8-4B2B-81D5-B069AA4ABF78}"/>
    <cellStyle name="Comma 4 4 3 6 3" xfId="10907" xr:uid="{49197127-2ABE-483D-B3D8-BDC1979CBAA0}"/>
    <cellStyle name="Comma 4 4 3 7" xfId="2706" xr:uid="{00000000-0005-0000-0000-00000E0A0000}"/>
    <cellStyle name="Comma 4 4 3 8" xfId="2788" xr:uid="{00000000-0005-0000-0000-00000F0A0000}"/>
    <cellStyle name="Comma 4 4 3 8 2" xfId="7013" xr:uid="{00000000-0005-0000-0000-0000100A0000}"/>
    <cellStyle name="Comma 4 4 3 8 2 2" xfId="15442" xr:uid="{C18F52AB-FA46-4799-8B6C-DEA545079848}"/>
    <cellStyle name="Comma 4 4 3 8 3" xfId="11224" xr:uid="{4D19C2EA-F505-4841-91C4-8552EBD41183}"/>
    <cellStyle name="Comma 4 4 3 9" xfId="4630" xr:uid="{00000000-0005-0000-0000-0000110A0000}"/>
    <cellStyle name="Comma 4 4 3 9 2" xfId="13059" xr:uid="{07247764-376D-446E-936B-CEB756C31844}"/>
    <cellStyle name="Comma 4 4 4" xfId="691" xr:uid="{00000000-0005-0000-0000-0000120A0000}"/>
    <cellStyle name="Comma 4 4 4 2" xfId="2962" xr:uid="{00000000-0005-0000-0000-0000130A0000}"/>
    <cellStyle name="Comma 4 4 4 2 2" xfId="7186" xr:uid="{00000000-0005-0000-0000-0000140A0000}"/>
    <cellStyle name="Comma 4 4 4 2 2 2" xfId="15615" xr:uid="{655DED21-D2A0-46CE-A161-0588FC75502B}"/>
    <cellStyle name="Comma 4 4 4 2 3" xfId="11397" xr:uid="{1CFBE588-1DE5-47C6-8635-5FBA0E876938}"/>
    <cellStyle name="Comma 4 4 4 3" xfId="5041" xr:uid="{00000000-0005-0000-0000-0000150A0000}"/>
    <cellStyle name="Comma 4 4 4 3 2" xfId="13470" xr:uid="{E347C479-A46E-48A8-A54C-3BB65E990C4B}"/>
    <cellStyle name="Comma 4 4 4 4" xfId="9252" xr:uid="{24E758F4-8B0C-4781-AAEC-17E83EB82341}"/>
    <cellStyle name="Comma 4 4 5" xfId="1144" xr:uid="{00000000-0005-0000-0000-0000160A0000}"/>
    <cellStyle name="Comma 4 4 5 2" xfId="3375" xr:uid="{00000000-0005-0000-0000-0000170A0000}"/>
    <cellStyle name="Comma 4 4 5 2 2" xfId="7599" xr:uid="{00000000-0005-0000-0000-0000180A0000}"/>
    <cellStyle name="Comma 4 4 5 2 2 2" xfId="16028" xr:uid="{388C3F6A-E3CE-46E7-991C-6B2B1541C9E8}"/>
    <cellStyle name="Comma 4 4 5 2 3" xfId="11810" xr:uid="{D06DE928-DD10-46D8-A8B6-5ACBF240BE04}"/>
    <cellStyle name="Comma 4 4 5 3" xfId="5454" xr:uid="{00000000-0005-0000-0000-0000190A0000}"/>
    <cellStyle name="Comma 4 4 5 3 2" xfId="13883" xr:uid="{B07FF597-255F-4DFB-824E-E784A0671C59}"/>
    <cellStyle name="Comma 4 4 5 4" xfId="9665" xr:uid="{50246A19-FE4E-4EA2-A817-CC6E78E1C8E7}"/>
    <cellStyle name="Comma 4 4 6" xfId="1558" xr:uid="{00000000-0005-0000-0000-00001A0A0000}"/>
    <cellStyle name="Comma 4 4 6 2" xfId="3788" xr:uid="{00000000-0005-0000-0000-00001B0A0000}"/>
    <cellStyle name="Comma 4 4 6 2 2" xfId="8012" xr:uid="{00000000-0005-0000-0000-00001C0A0000}"/>
    <cellStyle name="Comma 4 4 6 2 2 2" xfId="16441" xr:uid="{963C5F4B-81FF-48AF-A2AB-A62DA70228F6}"/>
    <cellStyle name="Comma 4 4 6 2 3" xfId="12223" xr:uid="{6C37A60E-4361-45AE-AA16-0D00018A1B89}"/>
    <cellStyle name="Comma 4 4 6 3" xfId="5867" xr:uid="{00000000-0005-0000-0000-00001D0A0000}"/>
    <cellStyle name="Comma 4 4 6 3 2" xfId="14296" xr:uid="{A3EFC82E-CC38-45E9-BD1B-9DB74BBD330F}"/>
    <cellStyle name="Comma 4 4 6 4" xfId="10078" xr:uid="{C518203B-C198-4E64-B7AC-6E7CD881D577}"/>
    <cellStyle name="Comma 4 4 7" xfId="1972" xr:uid="{00000000-0005-0000-0000-00001E0A0000}"/>
    <cellStyle name="Comma 4 4 7 2" xfId="4201" xr:uid="{00000000-0005-0000-0000-00001F0A0000}"/>
    <cellStyle name="Comma 4 4 7 2 2" xfId="8425" xr:uid="{00000000-0005-0000-0000-0000200A0000}"/>
    <cellStyle name="Comma 4 4 7 2 2 2" xfId="16854" xr:uid="{FD154C56-3E38-4223-A445-551CA6D9E092}"/>
    <cellStyle name="Comma 4 4 7 2 3" xfId="12636" xr:uid="{ECDFC574-345F-46EC-B096-7C186EE640A2}"/>
    <cellStyle name="Comma 4 4 7 3" xfId="6280" xr:uid="{00000000-0005-0000-0000-0000210A0000}"/>
    <cellStyle name="Comma 4 4 7 3 2" xfId="14709" xr:uid="{BD68A90F-0AE8-4008-AC99-0C9DE725421C}"/>
    <cellStyle name="Comma 4 4 7 4" xfId="10491" xr:uid="{F9560B5B-77AF-4A8B-9B43-5C3C53AF6A34}"/>
    <cellStyle name="Comma 4 4 8" xfId="2407" xr:uid="{00000000-0005-0000-0000-0000220A0000}"/>
    <cellStyle name="Comma 4 4 8 2" xfId="6693" xr:uid="{00000000-0005-0000-0000-0000230A0000}"/>
    <cellStyle name="Comma 4 4 8 2 2" xfId="15122" xr:uid="{2B6927F3-78BD-45AB-8086-AF09174DEC0E}"/>
    <cellStyle name="Comma 4 4 8 3" xfId="10904" xr:uid="{94EAD63B-83EB-428B-9B8C-057C62EBDD90}"/>
    <cellStyle name="Comma 4 4 9" xfId="2703" xr:uid="{00000000-0005-0000-0000-0000240A0000}"/>
    <cellStyle name="Comma 4 5" xfId="157" xr:uid="{00000000-0005-0000-0000-0000250A0000}"/>
    <cellStyle name="Comma 4 5 10" xfId="4631" xr:uid="{00000000-0005-0000-0000-0000260A0000}"/>
    <cellStyle name="Comma 4 5 10 2" xfId="13060" xr:uid="{A52AFF81-FEC9-4A6F-8AE2-ACBBFB23D83C}"/>
    <cellStyle name="Comma 4 5 11" xfId="8842" xr:uid="{BF7866D4-41E8-4B95-BFD8-A3830E9014CC}"/>
    <cellStyle name="Comma 4 5 2" xfId="158" xr:uid="{00000000-0005-0000-0000-0000270A0000}"/>
    <cellStyle name="Comma 4 5 2 10" xfId="8843" xr:uid="{0E10E53C-460E-4635-AE2B-C09D44DE556F}"/>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3344B9F3-D41B-41B3-9B23-B7B255C67455}"/>
    <cellStyle name="Comma 4 5 2 2 2 3" xfId="11402" xr:uid="{AC5ABF36-02A5-41FD-AE44-F84848977C82}"/>
    <cellStyle name="Comma 4 5 2 2 3" xfId="5046" xr:uid="{00000000-0005-0000-0000-00002B0A0000}"/>
    <cellStyle name="Comma 4 5 2 2 3 2" xfId="13475" xr:uid="{F02CAB88-72D3-4A29-8D81-D1BB65C3E401}"/>
    <cellStyle name="Comma 4 5 2 2 4" xfId="9257" xr:uid="{3D6AFF67-7D2F-4B48-A6F9-2CB2293FB08F}"/>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C620D969-87A0-40B0-A8B1-96A3006B2A82}"/>
    <cellStyle name="Comma 4 5 2 3 2 3" xfId="11815" xr:uid="{62F65F72-98A1-4B0D-A872-D0F5B4F64688}"/>
    <cellStyle name="Comma 4 5 2 3 3" xfId="5459" xr:uid="{00000000-0005-0000-0000-00002F0A0000}"/>
    <cellStyle name="Comma 4 5 2 3 3 2" xfId="13888" xr:uid="{E6E11261-1A18-4013-9469-6C81FF4F64D9}"/>
    <cellStyle name="Comma 4 5 2 3 4" xfId="9670" xr:uid="{C8CB1244-E0DB-459D-8148-D770D2303F04}"/>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02D4E594-03CE-4AEB-8B48-9820FAA63F6F}"/>
    <cellStyle name="Comma 4 5 2 4 2 3" xfId="12228" xr:uid="{FD07B47A-644E-4F95-86AC-6990D5557BB2}"/>
    <cellStyle name="Comma 4 5 2 4 3" xfId="5872" xr:uid="{00000000-0005-0000-0000-0000330A0000}"/>
    <cellStyle name="Comma 4 5 2 4 3 2" xfId="14301" xr:uid="{96D57915-2809-46B0-9553-E8562F1DB0FB}"/>
    <cellStyle name="Comma 4 5 2 4 4" xfId="10083" xr:uid="{41652FDC-199D-47C9-A0C5-48839385F438}"/>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5EE640EE-02A3-46C3-AEBD-A0BDA987463A}"/>
    <cellStyle name="Comma 4 5 2 5 2 3" xfId="12641" xr:uid="{4B8B2CD3-2481-49F4-965C-B38D727EC22D}"/>
    <cellStyle name="Comma 4 5 2 5 3" xfId="6285" xr:uid="{00000000-0005-0000-0000-0000370A0000}"/>
    <cellStyle name="Comma 4 5 2 5 3 2" xfId="14714" xr:uid="{96A8092E-CF83-4E97-939F-25A69CD917E8}"/>
    <cellStyle name="Comma 4 5 2 5 4" xfId="10496" xr:uid="{98B26988-25A6-49D4-9299-42609D390C24}"/>
    <cellStyle name="Comma 4 5 2 6" xfId="2412" xr:uid="{00000000-0005-0000-0000-0000380A0000}"/>
    <cellStyle name="Comma 4 5 2 6 2" xfId="6698" xr:uid="{00000000-0005-0000-0000-0000390A0000}"/>
    <cellStyle name="Comma 4 5 2 6 2 2" xfId="15127" xr:uid="{1FD8B242-811D-4EDC-9BCF-E1CCFDE95BB6}"/>
    <cellStyle name="Comma 4 5 2 6 3" xfId="10909" xr:uid="{B30DA553-04B2-4A57-8B08-ABE6351BA272}"/>
    <cellStyle name="Comma 4 5 2 7" xfId="2708" xr:uid="{00000000-0005-0000-0000-00003A0A0000}"/>
    <cellStyle name="Comma 4 5 2 8" xfId="2790" xr:uid="{00000000-0005-0000-0000-00003B0A0000}"/>
    <cellStyle name="Comma 4 5 2 8 2" xfId="7015" xr:uid="{00000000-0005-0000-0000-00003C0A0000}"/>
    <cellStyle name="Comma 4 5 2 8 2 2" xfId="15444" xr:uid="{2B252D41-D5DE-47B5-B852-BB6446BE2359}"/>
    <cellStyle name="Comma 4 5 2 8 3" xfId="11226" xr:uid="{EC899100-CC6B-4285-B82B-C6D88C64C382}"/>
    <cellStyle name="Comma 4 5 2 9" xfId="4632" xr:uid="{00000000-0005-0000-0000-00003D0A0000}"/>
    <cellStyle name="Comma 4 5 2 9 2" xfId="13061" xr:uid="{0AA42281-4064-4003-A0E1-C6FC3A575380}"/>
    <cellStyle name="Comma 4 5 3" xfId="695" xr:uid="{00000000-0005-0000-0000-00003E0A0000}"/>
    <cellStyle name="Comma 4 5 3 2" xfId="2966" xr:uid="{00000000-0005-0000-0000-00003F0A0000}"/>
    <cellStyle name="Comma 4 5 3 2 2" xfId="7190" xr:uid="{00000000-0005-0000-0000-0000400A0000}"/>
    <cellStyle name="Comma 4 5 3 2 2 2" xfId="15619" xr:uid="{7286FE41-15A2-4E14-B20E-3FC149936FC3}"/>
    <cellStyle name="Comma 4 5 3 2 3" xfId="11401" xr:uid="{5B52B611-4E65-4569-9B31-19006665DFD2}"/>
    <cellStyle name="Comma 4 5 3 3" xfId="5045" xr:uid="{00000000-0005-0000-0000-0000410A0000}"/>
    <cellStyle name="Comma 4 5 3 3 2" xfId="13474" xr:uid="{A51C0366-8BE7-4AD3-83B5-B7E343DE9A63}"/>
    <cellStyle name="Comma 4 5 3 4" xfId="9256" xr:uid="{08353D89-46B7-4461-AE88-998B4A78833E}"/>
    <cellStyle name="Comma 4 5 4" xfId="1148" xr:uid="{00000000-0005-0000-0000-0000420A0000}"/>
    <cellStyle name="Comma 4 5 4 2" xfId="3379" xr:uid="{00000000-0005-0000-0000-0000430A0000}"/>
    <cellStyle name="Comma 4 5 4 2 2" xfId="7603" xr:uid="{00000000-0005-0000-0000-0000440A0000}"/>
    <cellStyle name="Comma 4 5 4 2 2 2" xfId="16032" xr:uid="{CF488EF9-AB03-4BF7-A473-2D037E09B0E9}"/>
    <cellStyle name="Comma 4 5 4 2 3" xfId="11814" xr:uid="{04AB3DC4-7C6E-4FBC-88DA-898F99910511}"/>
    <cellStyle name="Comma 4 5 4 3" xfId="5458" xr:uid="{00000000-0005-0000-0000-0000450A0000}"/>
    <cellStyle name="Comma 4 5 4 3 2" xfId="13887" xr:uid="{80227400-C0A7-4DD8-B340-71086CF7CCBB}"/>
    <cellStyle name="Comma 4 5 4 4" xfId="9669" xr:uid="{DC6310C0-CE62-4051-A333-89AB052F2EE5}"/>
    <cellStyle name="Comma 4 5 5" xfId="1562" xr:uid="{00000000-0005-0000-0000-0000460A0000}"/>
    <cellStyle name="Comma 4 5 5 2" xfId="3792" xr:uid="{00000000-0005-0000-0000-0000470A0000}"/>
    <cellStyle name="Comma 4 5 5 2 2" xfId="8016" xr:uid="{00000000-0005-0000-0000-0000480A0000}"/>
    <cellStyle name="Comma 4 5 5 2 2 2" xfId="16445" xr:uid="{240F7283-0A66-43E5-A63B-9F2DAEF41D11}"/>
    <cellStyle name="Comma 4 5 5 2 3" xfId="12227" xr:uid="{6908A9EA-EEF9-4BCA-9EEB-5D2DF99A3666}"/>
    <cellStyle name="Comma 4 5 5 3" xfId="5871" xr:uid="{00000000-0005-0000-0000-0000490A0000}"/>
    <cellStyle name="Comma 4 5 5 3 2" xfId="14300" xr:uid="{537537E3-4997-4977-A039-3D50C3FCD4AD}"/>
    <cellStyle name="Comma 4 5 5 4" xfId="10082" xr:uid="{9D9892C3-E27E-445C-945B-3CB2C6CAE344}"/>
    <cellStyle name="Comma 4 5 6" xfId="1976" xr:uid="{00000000-0005-0000-0000-00004A0A0000}"/>
    <cellStyle name="Comma 4 5 6 2" xfId="4205" xr:uid="{00000000-0005-0000-0000-00004B0A0000}"/>
    <cellStyle name="Comma 4 5 6 2 2" xfId="8429" xr:uid="{00000000-0005-0000-0000-00004C0A0000}"/>
    <cellStyle name="Comma 4 5 6 2 2 2" xfId="16858" xr:uid="{B378B26B-E7D1-45EE-9BB8-41B9EEF97FF0}"/>
    <cellStyle name="Comma 4 5 6 2 3" xfId="12640" xr:uid="{0E2C8E64-D07C-4976-8024-E084E9C81171}"/>
    <cellStyle name="Comma 4 5 6 3" xfId="6284" xr:uid="{00000000-0005-0000-0000-00004D0A0000}"/>
    <cellStyle name="Comma 4 5 6 3 2" xfId="14713" xr:uid="{0AA86786-87A8-44A6-A623-E9AD7742CE8C}"/>
    <cellStyle name="Comma 4 5 6 4" xfId="10495" xr:uid="{E526FCD1-A987-49D8-A742-C23C08528A47}"/>
    <cellStyle name="Comma 4 5 7" xfId="2411" xr:uid="{00000000-0005-0000-0000-00004E0A0000}"/>
    <cellStyle name="Comma 4 5 7 2" xfId="6697" xr:uid="{00000000-0005-0000-0000-00004F0A0000}"/>
    <cellStyle name="Comma 4 5 7 2 2" xfId="15126" xr:uid="{2D046028-200C-41C5-9328-DF095C152416}"/>
    <cellStyle name="Comma 4 5 7 3" xfId="10908" xr:uid="{BF7B9182-1AAF-44D0-97D8-F7F31E57E9EB}"/>
    <cellStyle name="Comma 4 5 8" xfId="2707" xr:uid="{00000000-0005-0000-0000-0000500A0000}"/>
    <cellStyle name="Comma 4 5 9" xfId="2789" xr:uid="{00000000-0005-0000-0000-0000510A0000}"/>
    <cellStyle name="Comma 4 5 9 2" xfId="7014" xr:uid="{00000000-0005-0000-0000-0000520A0000}"/>
    <cellStyle name="Comma 4 5 9 2 2" xfId="15443" xr:uid="{0B2C0244-CEAB-48B9-821C-1FD9C2350D5E}"/>
    <cellStyle name="Comma 4 5 9 3" xfId="11225" xr:uid="{B48F435F-D4A5-4D9B-9CDC-A37F61D40F9B}"/>
    <cellStyle name="Comma 4 6" xfId="159" xr:uid="{00000000-0005-0000-0000-0000530A0000}"/>
    <cellStyle name="Comma 4 6 10" xfId="8844" xr:uid="{6BEFA7D9-8806-4166-ACE3-A63867F9DA3C}"/>
    <cellStyle name="Comma 4 6 2" xfId="697" xr:uid="{00000000-0005-0000-0000-0000540A0000}"/>
    <cellStyle name="Comma 4 6 2 2" xfId="2968" xr:uid="{00000000-0005-0000-0000-0000550A0000}"/>
    <cellStyle name="Comma 4 6 2 2 2" xfId="7192" xr:uid="{00000000-0005-0000-0000-0000560A0000}"/>
    <cellStyle name="Comma 4 6 2 2 2 2" xfId="15621" xr:uid="{9570C0BE-689B-4EEA-9B19-99AB262B692F}"/>
    <cellStyle name="Comma 4 6 2 2 3" xfId="11403" xr:uid="{0B22EB5B-F4AC-4375-B91B-6A9E31236CF1}"/>
    <cellStyle name="Comma 4 6 2 3" xfId="5047" xr:uid="{00000000-0005-0000-0000-0000570A0000}"/>
    <cellStyle name="Comma 4 6 2 3 2" xfId="13476" xr:uid="{56EC43B3-7DA2-4E4F-AD0A-5E4DF1BF8A16}"/>
    <cellStyle name="Comma 4 6 2 4" xfId="9258" xr:uid="{F0B677AB-B62B-49C8-ADF0-CF8F259C52D0}"/>
    <cellStyle name="Comma 4 6 3" xfId="1150" xr:uid="{00000000-0005-0000-0000-0000580A0000}"/>
    <cellStyle name="Comma 4 6 3 2" xfId="3381" xr:uid="{00000000-0005-0000-0000-0000590A0000}"/>
    <cellStyle name="Comma 4 6 3 2 2" xfId="7605" xr:uid="{00000000-0005-0000-0000-00005A0A0000}"/>
    <cellStyle name="Comma 4 6 3 2 2 2" xfId="16034" xr:uid="{9A73C9C1-7BA0-4581-975B-21C3481CA08A}"/>
    <cellStyle name="Comma 4 6 3 2 3" xfId="11816" xr:uid="{D6E6794E-F70D-4641-8FFA-1793BFEF68E5}"/>
    <cellStyle name="Comma 4 6 3 3" xfId="5460" xr:uid="{00000000-0005-0000-0000-00005B0A0000}"/>
    <cellStyle name="Comma 4 6 3 3 2" xfId="13889" xr:uid="{D44CE470-4FE3-4594-9D00-DADEDA421CAF}"/>
    <cellStyle name="Comma 4 6 3 4" xfId="9671" xr:uid="{6A4E5827-C01F-4A96-A68D-CEB0614C27AD}"/>
    <cellStyle name="Comma 4 6 4" xfId="1564" xr:uid="{00000000-0005-0000-0000-00005C0A0000}"/>
    <cellStyle name="Comma 4 6 4 2" xfId="3794" xr:uid="{00000000-0005-0000-0000-00005D0A0000}"/>
    <cellStyle name="Comma 4 6 4 2 2" xfId="8018" xr:uid="{00000000-0005-0000-0000-00005E0A0000}"/>
    <cellStyle name="Comma 4 6 4 2 2 2" xfId="16447" xr:uid="{1B36CA18-F2C1-4615-866F-EC84E16295A9}"/>
    <cellStyle name="Comma 4 6 4 2 3" xfId="12229" xr:uid="{4739AF51-D8C0-4A3E-8C5F-91EC1E18EFDE}"/>
    <cellStyle name="Comma 4 6 4 3" xfId="5873" xr:uid="{00000000-0005-0000-0000-00005F0A0000}"/>
    <cellStyle name="Comma 4 6 4 3 2" xfId="14302" xr:uid="{AD5FF7CB-27CD-403D-A3E0-20AFC118C5B9}"/>
    <cellStyle name="Comma 4 6 4 4" xfId="10084" xr:uid="{5C338ABE-D42E-4D09-B99F-3B5E95989EAB}"/>
    <cellStyle name="Comma 4 6 5" xfId="1978" xr:uid="{00000000-0005-0000-0000-0000600A0000}"/>
    <cellStyle name="Comma 4 6 5 2" xfId="4207" xr:uid="{00000000-0005-0000-0000-0000610A0000}"/>
    <cellStyle name="Comma 4 6 5 2 2" xfId="8431" xr:uid="{00000000-0005-0000-0000-0000620A0000}"/>
    <cellStyle name="Comma 4 6 5 2 2 2" xfId="16860" xr:uid="{E1208411-3301-480E-8DFB-DDF70403E375}"/>
    <cellStyle name="Comma 4 6 5 2 3" xfId="12642" xr:uid="{7417F349-D126-4BA3-B4B8-6888158CE9F5}"/>
    <cellStyle name="Comma 4 6 5 3" xfId="6286" xr:uid="{00000000-0005-0000-0000-0000630A0000}"/>
    <cellStyle name="Comma 4 6 5 3 2" xfId="14715" xr:uid="{04BCDCBB-E11A-4F05-A359-DABC76E8DF82}"/>
    <cellStyle name="Comma 4 6 5 4" xfId="10497" xr:uid="{464AD221-82C0-416E-8868-42012BAFC1E1}"/>
    <cellStyle name="Comma 4 6 6" xfId="2413" xr:uid="{00000000-0005-0000-0000-0000640A0000}"/>
    <cellStyle name="Comma 4 6 6 2" xfId="6699" xr:uid="{00000000-0005-0000-0000-0000650A0000}"/>
    <cellStyle name="Comma 4 6 6 2 2" xfId="15128" xr:uid="{F6AEABA3-463E-48B3-B505-4C6907229681}"/>
    <cellStyle name="Comma 4 6 6 3" xfId="10910" xr:uid="{01A87289-86EF-4E4C-BD2E-18F9272A21DF}"/>
    <cellStyle name="Comma 4 6 7" xfId="2709" xr:uid="{00000000-0005-0000-0000-0000660A0000}"/>
    <cellStyle name="Comma 4 6 8" xfId="2791" xr:uid="{00000000-0005-0000-0000-0000670A0000}"/>
    <cellStyle name="Comma 4 6 8 2" xfId="7016" xr:uid="{00000000-0005-0000-0000-0000680A0000}"/>
    <cellStyle name="Comma 4 6 8 2 2" xfId="15445" xr:uid="{EF11E507-0DB8-46FD-A325-DAEF1E1C9379}"/>
    <cellStyle name="Comma 4 6 8 3" xfId="11227" xr:uid="{81F2EA9D-CF31-49EA-AB45-0D7AD42A66D7}"/>
    <cellStyle name="Comma 4 6 9" xfId="4633" xr:uid="{00000000-0005-0000-0000-0000690A0000}"/>
    <cellStyle name="Comma 4 6 9 2" xfId="13062" xr:uid="{E47287A8-876B-44EE-8873-6BADC3F3BF44}"/>
    <cellStyle name="Comma 4 7" xfId="160" xr:uid="{00000000-0005-0000-0000-00006A0A0000}"/>
    <cellStyle name="Comma 4 7 10" xfId="8845" xr:uid="{607B41D8-CD5A-447C-BCD0-9CC8D6A3D33F}"/>
    <cellStyle name="Comma 4 7 2" xfId="698" xr:uid="{00000000-0005-0000-0000-00006B0A0000}"/>
    <cellStyle name="Comma 4 7 2 2" xfId="2969" xr:uid="{00000000-0005-0000-0000-00006C0A0000}"/>
    <cellStyle name="Comma 4 7 2 2 2" xfId="7193" xr:uid="{00000000-0005-0000-0000-00006D0A0000}"/>
    <cellStyle name="Comma 4 7 2 2 2 2" xfId="15622" xr:uid="{7C532A86-AA6B-4E38-B808-6190720E991A}"/>
    <cellStyle name="Comma 4 7 2 2 3" xfId="11404" xr:uid="{E8CAC79E-BF80-4723-AB04-E4F8C82B917F}"/>
    <cellStyle name="Comma 4 7 2 3" xfId="5048" xr:uid="{00000000-0005-0000-0000-00006E0A0000}"/>
    <cellStyle name="Comma 4 7 2 3 2" xfId="13477" xr:uid="{12FDDC81-B71F-4ED6-B3EB-603EA1AF0100}"/>
    <cellStyle name="Comma 4 7 2 4" xfId="9259" xr:uid="{AA4B230D-CAEE-4225-B5AC-6B93F7143A0E}"/>
    <cellStyle name="Comma 4 7 3" xfId="1151" xr:uid="{00000000-0005-0000-0000-00006F0A0000}"/>
    <cellStyle name="Comma 4 7 3 2" xfId="3382" xr:uid="{00000000-0005-0000-0000-0000700A0000}"/>
    <cellStyle name="Comma 4 7 3 2 2" xfId="7606" xr:uid="{00000000-0005-0000-0000-0000710A0000}"/>
    <cellStyle name="Comma 4 7 3 2 2 2" xfId="16035" xr:uid="{C9976EB7-9263-429E-8F02-2808E1A09920}"/>
    <cellStyle name="Comma 4 7 3 2 3" xfId="11817" xr:uid="{93D95267-94D1-4CF9-ABC5-3795C0142946}"/>
    <cellStyle name="Comma 4 7 3 3" xfId="5461" xr:uid="{00000000-0005-0000-0000-0000720A0000}"/>
    <cellStyle name="Comma 4 7 3 3 2" xfId="13890" xr:uid="{FED5C037-D59A-4F90-9E89-CD1920F6A8BE}"/>
    <cellStyle name="Comma 4 7 3 4" xfId="9672" xr:uid="{2BFC7729-793E-4F9E-BCA1-EA24E004CB15}"/>
    <cellStyle name="Comma 4 7 4" xfId="1565" xr:uid="{00000000-0005-0000-0000-0000730A0000}"/>
    <cellStyle name="Comma 4 7 4 2" xfId="3795" xr:uid="{00000000-0005-0000-0000-0000740A0000}"/>
    <cellStyle name="Comma 4 7 4 2 2" xfId="8019" xr:uid="{00000000-0005-0000-0000-0000750A0000}"/>
    <cellStyle name="Comma 4 7 4 2 2 2" xfId="16448" xr:uid="{1BD292C6-2C6F-4139-9914-3A0EE1C0D15E}"/>
    <cellStyle name="Comma 4 7 4 2 3" xfId="12230" xr:uid="{FC4CFB26-3687-40A7-AE21-F42C249EE15E}"/>
    <cellStyle name="Comma 4 7 4 3" xfId="5874" xr:uid="{00000000-0005-0000-0000-0000760A0000}"/>
    <cellStyle name="Comma 4 7 4 3 2" xfId="14303" xr:uid="{2EB59685-501F-4B2C-A89C-D19D6743F015}"/>
    <cellStyle name="Comma 4 7 4 4" xfId="10085" xr:uid="{5B17E569-8639-492A-BB32-8572A11B25CE}"/>
    <cellStyle name="Comma 4 7 5" xfId="1979" xr:uid="{00000000-0005-0000-0000-0000770A0000}"/>
    <cellStyle name="Comma 4 7 5 2" xfId="4208" xr:uid="{00000000-0005-0000-0000-0000780A0000}"/>
    <cellStyle name="Comma 4 7 5 2 2" xfId="8432" xr:uid="{00000000-0005-0000-0000-0000790A0000}"/>
    <cellStyle name="Comma 4 7 5 2 2 2" xfId="16861" xr:uid="{01D432E0-9B63-4BAA-8AF7-34EAFC78156E}"/>
    <cellStyle name="Comma 4 7 5 2 3" xfId="12643" xr:uid="{AA391B3D-53DE-4366-BB5E-0E5F721C9366}"/>
    <cellStyle name="Comma 4 7 5 3" xfId="6287" xr:uid="{00000000-0005-0000-0000-00007A0A0000}"/>
    <cellStyle name="Comma 4 7 5 3 2" xfId="14716" xr:uid="{E54B6531-AF07-4D43-B113-CDBA2AFDF357}"/>
    <cellStyle name="Comma 4 7 5 4" xfId="10498" xr:uid="{F3EA677B-020D-43F5-AAA7-8D6F87449885}"/>
    <cellStyle name="Comma 4 7 6" xfId="2414" xr:uid="{00000000-0005-0000-0000-00007B0A0000}"/>
    <cellStyle name="Comma 4 7 6 2" xfId="6700" xr:uid="{00000000-0005-0000-0000-00007C0A0000}"/>
    <cellStyle name="Comma 4 7 6 2 2" xfId="15129" xr:uid="{E25EEB95-E875-4EFC-B93F-FE8848E3AE6B}"/>
    <cellStyle name="Comma 4 7 6 3" xfId="10911" xr:uid="{3F466DDD-7DCE-46DD-BE42-AB6D1A4D9855}"/>
    <cellStyle name="Comma 4 7 7" xfId="2710" xr:uid="{00000000-0005-0000-0000-00007D0A0000}"/>
    <cellStyle name="Comma 4 7 8" xfId="2792" xr:uid="{00000000-0005-0000-0000-00007E0A0000}"/>
    <cellStyle name="Comma 4 7 8 2" xfId="7017" xr:uid="{00000000-0005-0000-0000-00007F0A0000}"/>
    <cellStyle name="Comma 4 7 8 2 2" xfId="15446" xr:uid="{E120F311-EC7E-44F5-9A1C-32A5BE5DB42F}"/>
    <cellStyle name="Comma 4 7 8 3" xfId="11228" xr:uid="{D4489342-0945-4B04-A784-4CA40B04DA2A}"/>
    <cellStyle name="Comma 4 7 9" xfId="4634" xr:uid="{00000000-0005-0000-0000-0000800A0000}"/>
    <cellStyle name="Comma 4 7 9 2" xfId="13063" xr:uid="{C622ED68-4F48-4871-9D83-9892009473DD}"/>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5E43030C-0ACA-44F3-8633-8024813D238F}"/>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A646EAB6-223E-4F1D-A17B-80C2834336DD}"/>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7586C6C4-DEEA-4DA3-977C-943DA2E65EC9}"/>
    <cellStyle name="Currency 3 2 2 10 3" xfId="11229" xr:uid="{ED828D4C-198F-4BB4-A9F4-F52F846AD6F2}"/>
    <cellStyle name="Currency 3 2 2 11" xfId="4635" xr:uid="{00000000-0005-0000-0000-0000A50A0000}"/>
    <cellStyle name="Currency 3 2 2 11 2" xfId="13064" xr:uid="{CA704245-78D6-4186-A1E9-F0394D6423B1}"/>
    <cellStyle name="Currency 3 2 2 12" xfId="8846" xr:uid="{F76D61AD-560A-43DF-B84C-F6DCEEC91FBA}"/>
    <cellStyle name="Currency 3 2 2 2" xfId="179" xr:uid="{00000000-0005-0000-0000-0000A60A0000}"/>
    <cellStyle name="Currency 3 2 2 2 10" xfId="4636" xr:uid="{00000000-0005-0000-0000-0000A70A0000}"/>
    <cellStyle name="Currency 3 2 2 2 10 2" xfId="13065" xr:uid="{378A65ED-477D-489F-91DC-87967AB13E88}"/>
    <cellStyle name="Currency 3 2 2 2 11" xfId="8847" xr:uid="{65CB08D8-EB5F-471B-B00C-DB8F424CAF68}"/>
    <cellStyle name="Currency 3 2 2 2 2" xfId="180" xr:uid="{00000000-0005-0000-0000-0000A80A0000}"/>
    <cellStyle name="Currency 3 2 2 2 2 10" xfId="8848" xr:uid="{20EF5991-DFEE-4CF8-9CE9-B8A2B02E640B}"/>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451C3C16-AB78-49E6-8D3D-B5ADD3337ED5}"/>
    <cellStyle name="Currency 3 2 2 2 2 2 2 3" xfId="11407" xr:uid="{3F3A2934-C0A8-4641-93B7-39B3BE2FE746}"/>
    <cellStyle name="Currency 3 2 2 2 2 2 3" xfId="5051" xr:uid="{00000000-0005-0000-0000-0000AC0A0000}"/>
    <cellStyle name="Currency 3 2 2 2 2 2 3 2" xfId="13480" xr:uid="{7E71A123-BEA6-4FD7-82C3-CD94938294CA}"/>
    <cellStyle name="Currency 3 2 2 2 2 2 4" xfId="9262" xr:uid="{A3730B66-A502-49C8-87ED-04A14B3060B1}"/>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EFA1D745-61D3-4F31-9601-2FB28C34300B}"/>
    <cellStyle name="Currency 3 2 2 2 2 3 2 3" xfId="11820" xr:uid="{1817976C-8883-4BE8-8884-BDB4E029AEE6}"/>
    <cellStyle name="Currency 3 2 2 2 2 3 3" xfId="5464" xr:uid="{00000000-0005-0000-0000-0000B00A0000}"/>
    <cellStyle name="Currency 3 2 2 2 2 3 3 2" xfId="13893" xr:uid="{8E1A17AD-5A23-40A4-9E17-2958C26552A1}"/>
    <cellStyle name="Currency 3 2 2 2 2 3 4" xfId="9675" xr:uid="{5CFEDF2A-0094-4CC5-A7C6-CF3B4F10A326}"/>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C4998F24-4271-47CD-8311-4E10B7FEBC9D}"/>
    <cellStyle name="Currency 3 2 2 2 2 4 2 3" xfId="12233" xr:uid="{EF1D5E5F-70C1-40A6-83B0-AF7642227641}"/>
    <cellStyle name="Currency 3 2 2 2 2 4 3" xfId="5877" xr:uid="{00000000-0005-0000-0000-0000B40A0000}"/>
    <cellStyle name="Currency 3 2 2 2 2 4 3 2" xfId="14306" xr:uid="{D3780CFF-8200-4ECC-B160-8FA361FFE1F2}"/>
    <cellStyle name="Currency 3 2 2 2 2 4 4" xfId="10088" xr:uid="{9BC62C90-F83F-4DA8-AEE1-45FD1E70C64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D1B01871-CF37-449F-A155-17D4027EAB6E}"/>
    <cellStyle name="Currency 3 2 2 2 2 5 2 3" xfId="12646" xr:uid="{4F6A0993-8CE0-4282-B4CE-34B2EAB02B52}"/>
    <cellStyle name="Currency 3 2 2 2 2 5 3" xfId="6290" xr:uid="{00000000-0005-0000-0000-0000B80A0000}"/>
    <cellStyle name="Currency 3 2 2 2 2 5 3 2" xfId="14719" xr:uid="{449EADB3-595B-4326-847F-EB57C9B2F49C}"/>
    <cellStyle name="Currency 3 2 2 2 2 5 4" xfId="10501" xr:uid="{94B54A6C-CE00-4430-AA56-6CFE123F3502}"/>
    <cellStyle name="Currency 3 2 2 2 2 6" xfId="2417" xr:uid="{00000000-0005-0000-0000-0000B90A0000}"/>
    <cellStyle name="Currency 3 2 2 2 2 6 2" xfId="6703" xr:uid="{00000000-0005-0000-0000-0000BA0A0000}"/>
    <cellStyle name="Currency 3 2 2 2 2 6 2 2" xfId="15132" xr:uid="{955A4E03-D487-4DE0-9E5C-F121594FD7F8}"/>
    <cellStyle name="Currency 3 2 2 2 2 6 3" xfId="10914" xr:uid="{B83433A0-F8F8-4C80-B511-89C6D7B5B154}"/>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99AE246D-FE84-443C-8F92-48E871B094DF}"/>
    <cellStyle name="Currency 3 2 2 2 2 8 3" xfId="11231" xr:uid="{03AA9828-3FDB-4DFD-8723-11A0BEC6FA00}"/>
    <cellStyle name="Currency 3 2 2 2 2 9" xfId="4637" xr:uid="{00000000-0005-0000-0000-0000BE0A0000}"/>
    <cellStyle name="Currency 3 2 2 2 2 9 2" xfId="13066" xr:uid="{0997F335-2AAF-43D4-B045-F858C224872C}"/>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89910877-ABA3-4292-A027-BA091B4995CD}"/>
    <cellStyle name="Currency 3 2 2 2 3 2 3" xfId="11406" xr:uid="{5E33B5FD-3F27-4A38-BB88-AA6C373688C7}"/>
    <cellStyle name="Currency 3 2 2 2 3 3" xfId="5050" xr:uid="{00000000-0005-0000-0000-0000C20A0000}"/>
    <cellStyle name="Currency 3 2 2 2 3 3 2" xfId="13479" xr:uid="{60740319-B3EA-4002-AB68-592AAB9053EA}"/>
    <cellStyle name="Currency 3 2 2 2 3 4" xfId="9261" xr:uid="{8D567E99-533B-402C-A19F-BC53F5CAC4EF}"/>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C77E7089-CFCD-4781-8B56-7352B5EFC30E}"/>
    <cellStyle name="Currency 3 2 2 2 4 2 3" xfId="11819" xr:uid="{86D4032F-8D2F-4F0B-A8B6-FEAEDAB5B500}"/>
    <cellStyle name="Currency 3 2 2 2 4 3" xfId="5463" xr:uid="{00000000-0005-0000-0000-0000C60A0000}"/>
    <cellStyle name="Currency 3 2 2 2 4 3 2" xfId="13892" xr:uid="{FB13932A-8643-47BB-BF95-19779C324426}"/>
    <cellStyle name="Currency 3 2 2 2 4 4" xfId="9674" xr:uid="{AB292D31-847D-4338-9BAC-B88B9A65A395}"/>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33269645-8584-44B8-B3E3-D04C851326F2}"/>
    <cellStyle name="Currency 3 2 2 2 5 2 3" xfId="12232" xr:uid="{6A72F1B4-D91A-4217-B906-A035666C9881}"/>
    <cellStyle name="Currency 3 2 2 2 5 3" xfId="5876" xr:uid="{00000000-0005-0000-0000-0000CA0A0000}"/>
    <cellStyle name="Currency 3 2 2 2 5 3 2" xfId="14305" xr:uid="{D49884C0-6AE6-480D-BE22-3AC32452AB5E}"/>
    <cellStyle name="Currency 3 2 2 2 5 4" xfId="10087" xr:uid="{A9EF16EE-7EA8-417F-A231-E0CFA3FD715F}"/>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F18CFB6F-4956-4FDD-A2ED-73CC5F83768A}"/>
    <cellStyle name="Currency 3 2 2 2 6 2 3" xfId="12645" xr:uid="{14D1B64F-DEB8-4C0B-AF6A-5299BAC1D175}"/>
    <cellStyle name="Currency 3 2 2 2 6 3" xfId="6289" xr:uid="{00000000-0005-0000-0000-0000CE0A0000}"/>
    <cellStyle name="Currency 3 2 2 2 6 3 2" xfId="14718" xr:uid="{6C745BAB-4BDA-45F6-BED0-5294B3DAFB11}"/>
    <cellStyle name="Currency 3 2 2 2 6 4" xfId="10500" xr:uid="{E1F4D643-D010-4465-9B8B-E55471800EDD}"/>
    <cellStyle name="Currency 3 2 2 2 7" xfId="2416" xr:uid="{00000000-0005-0000-0000-0000CF0A0000}"/>
    <cellStyle name="Currency 3 2 2 2 7 2" xfId="6702" xr:uid="{00000000-0005-0000-0000-0000D00A0000}"/>
    <cellStyle name="Currency 3 2 2 2 7 2 2" xfId="15131" xr:uid="{6F8BF1C3-A321-4CDE-BF2D-3F8CAAF10721}"/>
    <cellStyle name="Currency 3 2 2 2 7 3" xfId="10913" xr:uid="{EEA7ABD9-23DB-4691-B6A6-F5619C6D5F1D}"/>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FABEBDBE-BBF0-4DAE-B7CF-E257D6DB1811}"/>
    <cellStyle name="Currency 3 2 2 2 9 3" xfId="11230" xr:uid="{9604FE36-073D-4599-9337-E28D85881579}"/>
    <cellStyle name="Currency 3 2 2 3" xfId="181" xr:uid="{00000000-0005-0000-0000-0000D40A0000}"/>
    <cellStyle name="Currency 3 2 2 3 10" xfId="8849" xr:uid="{D9025311-A74A-419F-8808-31F555717D1F}"/>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73C3343B-BF2F-48BA-8041-FC9593BD52B9}"/>
    <cellStyle name="Currency 3 2 2 3 2 2 3" xfId="11408" xr:uid="{227F89D0-3853-4D53-A4A7-CFBD85757A04}"/>
    <cellStyle name="Currency 3 2 2 3 2 3" xfId="5052" xr:uid="{00000000-0005-0000-0000-0000D80A0000}"/>
    <cellStyle name="Currency 3 2 2 3 2 3 2" xfId="13481" xr:uid="{056D2DDF-F183-4146-9214-703778CFC03D}"/>
    <cellStyle name="Currency 3 2 2 3 2 4" xfId="9263" xr:uid="{C2D34E73-4882-4945-AFE9-BFD39C074779}"/>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6107B19B-DD23-4E94-845B-02399BBCE9FC}"/>
    <cellStyle name="Currency 3 2 2 3 3 2 3" xfId="11821" xr:uid="{5A0F1258-99F3-4BED-B53C-2CBE26E23686}"/>
    <cellStyle name="Currency 3 2 2 3 3 3" xfId="5465" xr:uid="{00000000-0005-0000-0000-0000DC0A0000}"/>
    <cellStyle name="Currency 3 2 2 3 3 3 2" xfId="13894" xr:uid="{372BFC07-0BA2-46E0-96B6-55E99A8DF78D}"/>
    <cellStyle name="Currency 3 2 2 3 3 4" xfId="9676" xr:uid="{5B04C9E1-1DE2-496F-B06B-1903039EFD22}"/>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E886A6A9-BB38-401F-B597-27E5DFBA6C6D}"/>
    <cellStyle name="Currency 3 2 2 3 4 2 3" xfId="12234" xr:uid="{6EEFA7CA-AEAD-4EDC-8067-58F46C4409FE}"/>
    <cellStyle name="Currency 3 2 2 3 4 3" xfId="5878" xr:uid="{00000000-0005-0000-0000-0000E00A0000}"/>
    <cellStyle name="Currency 3 2 2 3 4 3 2" xfId="14307" xr:uid="{EAA86912-2775-4C1C-B60A-BA4480A937EA}"/>
    <cellStyle name="Currency 3 2 2 3 4 4" xfId="10089" xr:uid="{62783A18-6690-44B5-9FB0-918E033C82BF}"/>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81E2DD6C-B779-4A86-8672-EEFB20AB2211}"/>
    <cellStyle name="Currency 3 2 2 3 5 2 3" xfId="12647" xr:uid="{639E20B9-F6A8-40BE-A10C-C7B80506840C}"/>
    <cellStyle name="Currency 3 2 2 3 5 3" xfId="6291" xr:uid="{00000000-0005-0000-0000-0000E40A0000}"/>
    <cellStyle name="Currency 3 2 2 3 5 3 2" xfId="14720" xr:uid="{0006A0C6-792E-4E6D-A875-6E078A59D94B}"/>
    <cellStyle name="Currency 3 2 2 3 5 4" xfId="10502" xr:uid="{C65BD2D1-44AA-4D5A-B4B6-2492E7BE70EE}"/>
    <cellStyle name="Currency 3 2 2 3 6" xfId="2418" xr:uid="{00000000-0005-0000-0000-0000E50A0000}"/>
    <cellStyle name="Currency 3 2 2 3 6 2" xfId="6704" xr:uid="{00000000-0005-0000-0000-0000E60A0000}"/>
    <cellStyle name="Currency 3 2 2 3 6 2 2" xfId="15133" xr:uid="{47D16D10-BFA2-41C9-B2A2-194C3F166A2C}"/>
    <cellStyle name="Currency 3 2 2 3 6 3" xfId="10915" xr:uid="{B8653C36-EA82-4CA9-BDAB-FF22CEBEDB29}"/>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0B58D661-D665-4512-8D6E-955B6A968160}"/>
    <cellStyle name="Currency 3 2 2 3 8 3" xfId="11232" xr:uid="{B004C0BD-30AC-4B81-ABAD-EFC21EB84028}"/>
    <cellStyle name="Currency 3 2 2 3 9" xfId="4638" xr:uid="{00000000-0005-0000-0000-0000EA0A0000}"/>
    <cellStyle name="Currency 3 2 2 3 9 2" xfId="13067" xr:uid="{E093F8F0-BE5B-477E-9E82-1EA6FBDDC8EF}"/>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E6426EF8-5CF9-4AB5-A9F9-110CC83F096B}"/>
    <cellStyle name="Currency 3 2 2 4 2 3" xfId="11405" xr:uid="{0010E096-437C-4854-8187-3BC7856A5676}"/>
    <cellStyle name="Currency 3 2 2 4 3" xfId="5049" xr:uid="{00000000-0005-0000-0000-0000EE0A0000}"/>
    <cellStyle name="Currency 3 2 2 4 3 2" xfId="13478" xr:uid="{C457EAFA-67A6-4E83-9C4B-4B0CE06191D5}"/>
    <cellStyle name="Currency 3 2 2 4 4" xfId="9260" xr:uid="{65F76BAB-049A-45D8-A2C5-4AF487D7C462}"/>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6AEB550F-73EB-4E49-A53A-4AB5EF422D67}"/>
    <cellStyle name="Currency 3 2 2 5 2 3" xfId="11818" xr:uid="{AD8741BF-574D-40E5-B927-8DA57F1D9E5B}"/>
    <cellStyle name="Currency 3 2 2 5 3" xfId="5462" xr:uid="{00000000-0005-0000-0000-0000F20A0000}"/>
    <cellStyle name="Currency 3 2 2 5 3 2" xfId="13891" xr:uid="{5D070E8B-4C67-495E-91B8-5F75A252AD3C}"/>
    <cellStyle name="Currency 3 2 2 5 4" xfId="9673" xr:uid="{CB499FD6-A196-4DA5-B6A7-544CE9200216}"/>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501CD431-E3D7-4FB3-A429-DCF2592A8ED0}"/>
    <cellStyle name="Currency 3 2 2 6 2 3" xfId="12231" xr:uid="{FEB2AEED-3B8B-4ED1-9397-318CE7DD0365}"/>
    <cellStyle name="Currency 3 2 2 6 3" xfId="5875" xr:uid="{00000000-0005-0000-0000-0000F60A0000}"/>
    <cellStyle name="Currency 3 2 2 6 3 2" xfId="14304" xr:uid="{18502661-8C55-4B2A-968A-3703E3AB0EA5}"/>
    <cellStyle name="Currency 3 2 2 6 4" xfId="10086" xr:uid="{212D7451-79E4-47FA-8F1E-FA7575A29C84}"/>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30199465-3A8B-462E-AE3A-FFA88F7080D9}"/>
    <cellStyle name="Currency 3 2 2 7 2 3" xfId="12644" xr:uid="{036642D4-AE3F-4119-858C-759E11488E40}"/>
    <cellStyle name="Currency 3 2 2 7 3" xfId="6288" xr:uid="{00000000-0005-0000-0000-0000FA0A0000}"/>
    <cellStyle name="Currency 3 2 2 7 3 2" xfId="14717" xr:uid="{33E9E9F6-AC49-4CAE-AD78-E560292ED8BC}"/>
    <cellStyle name="Currency 3 2 2 7 4" xfId="10499" xr:uid="{4F1912AC-000D-4E11-9E2E-897672689785}"/>
    <cellStyle name="Currency 3 2 2 8" xfId="2415" xr:uid="{00000000-0005-0000-0000-0000FB0A0000}"/>
    <cellStyle name="Currency 3 2 2 8 2" xfId="6701" xr:uid="{00000000-0005-0000-0000-0000FC0A0000}"/>
    <cellStyle name="Currency 3 2 2 8 2 2" xfId="15130" xr:uid="{A562A240-AA21-4451-8286-31F23461154F}"/>
    <cellStyle name="Currency 3 2 2 8 3" xfId="10912" xr:uid="{C629F54E-FA98-48B1-95D3-DCAE14192AC4}"/>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6C1EC1B9-2764-4876-841C-B480F4EC7BFD}"/>
    <cellStyle name="Currency 3 2 3 11" xfId="8850" xr:uid="{B69E7D79-E6CE-4D0B-8C34-F852204A5FD9}"/>
    <cellStyle name="Currency 3 2 3 2" xfId="183" xr:uid="{00000000-0005-0000-0000-0000000B0000}"/>
    <cellStyle name="Currency 3 2 3 2 10" xfId="8851" xr:uid="{BD2655D6-BAA0-49CA-9D4A-DAE93B7F0D35}"/>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B2D9EA0C-C609-4C1E-B27B-1BFC3CCCB024}"/>
    <cellStyle name="Currency 3 2 3 2 2 2 3" xfId="11410" xr:uid="{F44B7E25-B9E3-4A5C-9F2F-1CFBAB389741}"/>
    <cellStyle name="Currency 3 2 3 2 2 3" xfId="5054" xr:uid="{00000000-0005-0000-0000-0000040B0000}"/>
    <cellStyle name="Currency 3 2 3 2 2 3 2" xfId="13483" xr:uid="{9FA0866D-5FAF-47A3-9CD4-E251E71DBD90}"/>
    <cellStyle name="Currency 3 2 3 2 2 4" xfId="9265" xr:uid="{8BEC9B99-8F45-45F2-9648-6B0714AA5C06}"/>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5D8C9BED-1231-4607-AB53-B92DFEB01CE1}"/>
    <cellStyle name="Currency 3 2 3 2 3 2 3" xfId="11823" xr:uid="{3A106049-BA79-4B50-9BC8-06B5591B1ACB}"/>
    <cellStyle name="Currency 3 2 3 2 3 3" xfId="5467" xr:uid="{00000000-0005-0000-0000-0000080B0000}"/>
    <cellStyle name="Currency 3 2 3 2 3 3 2" xfId="13896" xr:uid="{88F34EE9-AEAA-4305-9622-129DC0F01E31}"/>
    <cellStyle name="Currency 3 2 3 2 3 4" xfId="9678" xr:uid="{5D72E6AB-9CC4-4887-92DC-22F2CA28F7FF}"/>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A71564F1-E0BA-41CC-8DF4-6638983D5C77}"/>
    <cellStyle name="Currency 3 2 3 2 4 2 3" xfId="12236" xr:uid="{1A575CB4-C87B-4146-A8BC-454411F96609}"/>
    <cellStyle name="Currency 3 2 3 2 4 3" xfId="5880" xr:uid="{00000000-0005-0000-0000-00000C0B0000}"/>
    <cellStyle name="Currency 3 2 3 2 4 3 2" xfId="14309" xr:uid="{2A32FCDB-FDC9-4A15-B5E0-1F8413C1753B}"/>
    <cellStyle name="Currency 3 2 3 2 4 4" xfId="10091" xr:uid="{339B2460-D8DC-4141-8A31-547D0BFAEC3C}"/>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60E7687F-1CBF-45E1-8A60-308242B15D0E}"/>
    <cellStyle name="Currency 3 2 3 2 5 2 3" xfId="12649" xr:uid="{F33F6FC6-75D4-4A45-B31F-7681B9791EFE}"/>
    <cellStyle name="Currency 3 2 3 2 5 3" xfId="6293" xr:uid="{00000000-0005-0000-0000-0000100B0000}"/>
    <cellStyle name="Currency 3 2 3 2 5 3 2" xfId="14722" xr:uid="{1254FD5B-3CDB-4E20-94D0-C4A88172A327}"/>
    <cellStyle name="Currency 3 2 3 2 5 4" xfId="10504" xr:uid="{535507B8-ACB1-4EA2-B454-006357CF44E5}"/>
    <cellStyle name="Currency 3 2 3 2 6" xfId="2420" xr:uid="{00000000-0005-0000-0000-0000110B0000}"/>
    <cellStyle name="Currency 3 2 3 2 6 2" xfId="6706" xr:uid="{00000000-0005-0000-0000-0000120B0000}"/>
    <cellStyle name="Currency 3 2 3 2 6 2 2" xfId="15135" xr:uid="{E01C03B0-BA4D-4FC2-B721-D49E5E614811}"/>
    <cellStyle name="Currency 3 2 3 2 6 3" xfId="10917" xr:uid="{E64E031A-F6EC-428A-83DE-9D2748A8B868}"/>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EEE3FEC0-9518-4D9C-B5DC-9F07C43C5866}"/>
    <cellStyle name="Currency 3 2 3 2 8 3" xfId="11234" xr:uid="{1971C499-5F03-4705-89B8-922243D2A21B}"/>
    <cellStyle name="Currency 3 2 3 2 9" xfId="4640" xr:uid="{00000000-0005-0000-0000-0000160B0000}"/>
    <cellStyle name="Currency 3 2 3 2 9 2" xfId="13069" xr:uid="{0C109792-6F74-4852-AA63-97B1D4BFC673}"/>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E2440BC9-C6F2-4BD3-A308-E88BF2EF1879}"/>
    <cellStyle name="Currency 3 2 3 3 2 3" xfId="11409" xr:uid="{5F6A4E66-1432-4AE1-AF12-D581EDDE0A61}"/>
    <cellStyle name="Currency 3 2 3 3 3" xfId="5053" xr:uid="{00000000-0005-0000-0000-00001A0B0000}"/>
    <cellStyle name="Currency 3 2 3 3 3 2" xfId="13482" xr:uid="{CFB20089-D7D6-452B-93F7-73B7282B6788}"/>
    <cellStyle name="Currency 3 2 3 3 4" xfId="9264" xr:uid="{3E5C7571-6DC8-4829-8412-4B8BC0A23F79}"/>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7803FF8D-3E78-4982-90B6-78668CED5097}"/>
    <cellStyle name="Currency 3 2 3 4 2 3" xfId="11822" xr:uid="{35238304-17EE-43CD-BD07-B724F273FA80}"/>
    <cellStyle name="Currency 3 2 3 4 3" xfId="5466" xr:uid="{00000000-0005-0000-0000-00001E0B0000}"/>
    <cellStyle name="Currency 3 2 3 4 3 2" xfId="13895" xr:uid="{D9B12F69-FDFA-4E9E-B219-D71F1222877D}"/>
    <cellStyle name="Currency 3 2 3 4 4" xfId="9677" xr:uid="{4EAA0092-3121-40E0-B3EB-D91C13875B49}"/>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03CC5FD6-8A60-4C56-A37A-1AEA03528138}"/>
    <cellStyle name="Currency 3 2 3 5 2 3" xfId="12235" xr:uid="{288835F2-EDEC-4FFF-9A8B-AB996E46D211}"/>
    <cellStyle name="Currency 3 2 3 5 3" xfId="5879" xr:uid="{00000000-0005-0000-0000-0000220B0000}"/>
    <cellStyle name="Currency 3 2 3 5 3 2" xfId="14308" xr:uid="{8707A87D-2991-4879-851F-982C2ECF4BC9}"/>
    <cellStyle name="Currency 3 2 3 5 4" xfId="10090" xr:uid="{98482641-73DA-43AD-BB79-3E60CD1B58A5}"/>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886D5134-6EEB-429B-BBA4-B0772CAE950D}"/>
    <cellStyle name="Currency 3 2 3 6 2 3" xfId="12648" xr:uid="{E9EC7F26-804A-4367-9577-697410B802BF}"/>
    <cellStyle name="Currency 3 2 3 6 3" xfId="6292" xr:uid="{00000000-0005-0000-0000-0000260B0000}"/>
    <cellStyle name="Currency 3 2 3 6 3 2" xfId="14721" xr:uid="{4FA3C0B4-7413-4F49-9B0B-2BD25ED5C2AF}"/>
    <cellStyle name="Currency 3 2 3 6 4" xfId="10503" xr:uid="{B5178453-EFD7-4E8F-B09F-E108A040E860}"/>
    <cellStyle name="Currency 3 2 3 7" xfId="2419" xr:uid="{00000000-0005-0000-0000-0000270B0000}"/>
    <cellStyle name="Currency 3 2 3 7 2" xfId="6705" xr:uid="{00000000-0005-0000-0000-0000280B0000}"/>
    <cellStyle name="Currency 3 2 3 7 2 2" xfId="15134" xr:uid="{3908B706-61CF-4D3A-9FE0-C75AA8B67F1E}"/>
    <cellStyle name="Currency 3 2 3 7 3" xfId="10916" xr:uid="{BA352349-5890-4DA9-98FB-F0347BC7485E}"/>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3F1017C6-DBFB-4E4C-91C0-6A48CDBD409F}"/>
    <cellStyle name="Currency 3 2 3 9 3" xfId="11233" xr:uid="{EE90AF70-0796-466E-B9A5-693B09A05D87}"/>
    <cellStyle name="Currency 3 2 4" xfId="184" xr:uid="{00000000-0005-0000-0000-00002C0B0000}"/>
    <cellStyle name="Currency 3 2 4 10" xfId="8852" xr:uid="{B09C4938-ED67-41E7-8619-38EBBF1D8CA9}"/>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DE161646-9564-4317-89A1-409F68C0B18D}"/>
    <cellStyle name="Currency 3 2 4 2 2 3" xfId="11411" xr:uid="{FDAF7663-3C2D-4281-8BA8-664BAE4111B1}"/>
    <cellStyle name="Currency 3 2 4 2 3" xfId="5055" xr:uid="{00000000-0005-0000-0000-0000300B0000}"/>
    <cellStyle name="Currency 3 2 4 2 3 2" xfId="13484" xr:uid="{51E0CDCE-B727-4DB4-A17F-608F2E0BBC76}"/>
    <cellStyle name="Currency 3 2 4 2 4" xfId="9266" xr:uid="{85A2AAD8-003C-4B03-92D2-0CEC895E3648}"/>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65095C63-9F8B-4C5F-A914-80F27E2387EC}"/>
    <cellStyle name="Currency 3 2 4 3 2 3" xfId="11824" xr:uid="{526433F4-8E76-49DD-AD21-1B68F17431FC}"/>
    <cellStyle name="Currency 3 2 4 3 3" xfId="5468" xr:uid="{00000000-0005-0000-0000-0000340B0000}"/>
    <cellStyle name="Currency 3 2 4 3 3 2" xfId="13897" xr:uid="{640A13DB-1A0C-46CC-9C9C-1EE832F5F6A6}"/>
    <cellStyle name="Currency 3 2 4 3 4" xfId="9679" xr:uid="{3A9169E4-ADCB-49BF-B7F7-56E4CB6AA685}"/>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BFEC16F4-09A2-4875-B001-41BE99011A0D}"/>
    <cellStyle name="Currency 3 2 4 4 2 3" xfId="12237" xr:uid="{31625250-8319-4C44-8F95-3694B0E5EEEF}"/>
    <cellStyle name="Currency 3 2 4 4 3" xfId="5881" xr:uid="{00000000-0005-0000-0000-0000380B0000}"/>
    <cellStyle name="Currency 3 2 4 4 3 2" xfId="14310" xr:uid="{9D5F14CC-9DF7-4980-96A1-00669DAAC987}"/>
    <cellStyle name="Currency 3 2 4 4 4" xfId="10092" xr:uid="{0E6EFBEB-BB32-470A-BF23-AF987488C2D6}"/>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681AC54F-5FF0-4208-82FD-1174FAA939F4}"/>
    <cellStyle name="Currency 3 2 4 5 2 3" xfId="12650" xr:uid="{F36C70F7-AC85-404A-BAFC-011D722524D0}"/>
    <cellStyle name="Currency 3 2 4 5 3" xfId="6294" xr:uid="{00000000-0005-0000-0000-00003C0B0000}"/>
    <cellStyle name="Currency 3 2 4 5 3 2" xfId="14723" xr:uid="{B0D24FE2-F5FC-4924-9559-6C0D79E7F691}"/>
    <cellStyle name="Currency 3 2 4 5 4" xfId="10505" xr:uid="{8C71F83B-79F0-471D-8192-EED014D886F6}"/>
    <cellStyle name="Currency 3 2 4 6" xfId="2421" xr:uid="{00000000-0005-0000-0000-00003D0B0000}"/>
    <cellStyle name="Currency 3 2 4 6 2" xfId="6707" xr:uid="{00000000-0005-0000-0000-00003E0B0000}"/>
    <cellStyle name="Currency 3 2 4 6 2 2" xfId="15136" xr:uid="{6E738163-B3D8-4E7F-9FB4-2E441A896AF0}"/>
    <cellStyle name="Currency 3 2 4 6 3" xfId="10918" xr:uid="{78FED80A-068C-448A-A399-7439BFF98FB2}"/>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C6703715-3DC3-470D-B0AA-D312A34AEA34}"/>
    <cellStyle name="Currency 3 2 4 8 3" xfId="11235" xr:uid="{9F3DB6D0-AFB5-4996-8A55-D3318D3725C4}"/>
    <cellStyle name="Currency 3 2 4 9" xfId="4641" xr:uid="{00000000-0005-0000-0000-0000420B0000}"/>
    <cellStyle name="Currency 3 2 4 9 2" xfId="13070" xr:uid="{1B17A75A-1297-4611-9220-4B98E87C9848}"/>
    <cellStyle name="Currency 3 2 5" xfId="185" xr:uid="{00000000-0005-0000-0000-0000430B0000}"/>
    <cellStyle name="Currency 3 2 5 10" xfId="8853" xr:uid="{61400898-36BC-490D-9188-30D4017D048D}"/>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FCB0CB23-6590-4629-839E-91A2F0FCF6A7}"/>
    <cellStyle name="Currency 3 2 5 2 2 3" xfId="11412" xr:uid="{5E536036-6348-4C0D-BD0B-6B8DD51EFBC7}"/>
    <cellStyle name="Currency 3 2 5 2 3" xfId="5056" xr:uid="{00000000-0005-0000-0000-0000470B0000}"/>
    <cellStyle name="Currency 3 2 5 2 3 2" xfId="13485" xr:uid="{0E85B470-9B31-4016-A10F-FC1B6102AD92}"/>
    <cellStyle name="Currency 3 2 5 2 4" xfId="9267" xr:uid="{15DE44FA-9C62-4F0B-8F66-7B383C191B18}"/>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4BEECB5F-3351-4A10-B761-B2FE2FE61674}"/>
    <cellStyle name="Currency 3 2 5 3 2 3" xfId="11825" xr:uid="{78DAF333-DB79-49B7-A03C-636E143175AC}"/>
    <cellStyle name="Currency 3 2 5 3 3" xfId="5469" xr:uid="{00000000-0005-0000-0000-00004B0B0000}"/>
    <cellStyle name="Currency 3 2 5 3 3 2" xfId="13898" xr:uid="{C59FBF35-6791-4022-942B-14C23E2F7B57}"/>
    <cellStyle name="Currency 3 2 5 3 4" xfId="9680" xr:uid="{64C7445A-BC6B-4509-A859-E335F5D11AC0}"/>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F0302EBF-3B58-46AD-8910-B94A560632F0}"/>
    <cellStyle name="Currency 3 2 5 4 2 3" xfId="12238" xr:uid="{F37A47AE-0C23-4947-A240-AC7AAB9C68F3}"/>
    <cellStyle name="Currency 3 2 5 4 3" xfId="5882" xr:uid="{00000000-0005-0000-0000-00004F0B0000}"/>
    <cellStyle name="Currency 3 2 5 4 3 2" xfId="14311" xr:uid="{7A39546F-66A0-439D-9B12-A71DBB4D7AEC}"/>
    <cellStyle name="Currency 3 2 5 4 4" xfId="10093" xr:uid="{92108F37-61AF-4D0D-8BF3-303DE01352CD}"/>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4B83606C-FE6C-41EE-8DE4-3A33C4A12ADD}"/>
    <cellStyle name="Currency 3 2 5 5 2 3" xfId="12651" xr:uid="{9B501BC6-55F7-4623-B22E-630D14AD786F}"/>
    <cellStyle name="Currency 3 2 5 5 3" xfId="6295" xr:uid="{00000000-0005-0000-0000-0000530B0000}"/>
    <cellStyle name="Currency 3 2 5 5 3 2" xfId="14724" xr:uid="{12BE393F-B6EE-4B51-BE62-61C753CF81EB}"/>
    <cellStyle name="Currency 3 2 5 5 4" xfId="10506" xr:uid="{B767486D-659C-4FC1-AFC0-57788623DBE6}"/>
    <cellStyle name="Currency 3 2 5 6" xfId="2422" xr:uid="{00000000-0005-0000-0000-0000540B0000}"/>
    <cellStyle name="Currency 3 2 5 6 2" xfId="6708" xr:uid="{00000000-0005-0000-0000-0000550B0000}"/>
    <cellStyle name="Currency 3 2 5 6 2 2" xfId="15137" xr:uid="{B0339B53-79B4-4397-A5EA-5BEC98E6C12C}"/>
    <cellStyle name="Currency 3 2 5 6 3" xfId="10919" xr:uid="{2374C382-3B77-4164-B387-C364A85756D6}"/>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6791D394-4D5F-4587-AE10-89BF23FECDC2}"/>
    <cellStyle name="Currency 3 2 5 8 3" xfId="11236" xr:uid="{F5001E62-4665-4A3A-92E2-EDCAF981272A}"/>
    <cellStyle name="Currency 3 2 5 9" xfId="4642" xr:uid="{00000000-0005-0000-0000-0000590B0000}"/>
    <cellStyle name="Currency 3 2 5 9 2" xfId="13071" xr:uid="{6D536084-0E51-4909-AE45-C74EF4C4EEF5}"/>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E69C943D-E5B7-48E7-AD95-AC0857684710}"/>
    <cellStyle name="Currency 5 2 2 2 10 3" xfId="11237" xr:uid="{3C5AEEBE-F2CC-4778-9C96-1AE789B89D68}"/>
    <cellStyle name="Currency 5 2 2 2 11" xfId="4643" xr:uid="{00000000-0005-0000-0000-00006C0B0000}"/>
    <cellStyle name="Currency 5 2 2 2 11 2" xfId="13072" xr:uid="{9B2E1765-996C-41EE-941A-EC798BDD1A57}"/>
    <cellStyle name="Currency 5 2 2 2 12" xfId="8854" xr:uid="{5381ACC7-B3C2-4B72-A487-3CD3BFD16523}"/>
    <cellStyle name="Currency 5 2 2 2 2" xfId="197" xr:uid="{00000000-0005-0000-0000-00006D0B0000}"/>
    <cellStyle name="Currency 5 2 2 2 2 10" xfId="4644" xr:uid="{00000000-0005-0000-0000-00006E0B0000}"/>
    <cellStyle name="Currency 5 2 2 2 2 10 2" xfId="13073" xr:uid="{62D61BFB-26B7-488E-935E-86FD95D321B6}"/>
    <cellStyle name="Currency 5 2 2 2 2 11" xfId="8855" xr:uid="{125537F7-6A60-40F0-8A74-16FFA6202A17}"/>
    <cellStyle name="Currency 5 2 2 2 2 2" xfId="198" xr:uid="{00000000-0005-0000-0000-00006F0B0000}"/>
    <cellStyle name="Currency 5 2 2 2 2 2 10" xfId="8856" xr:uid="{79410B8A-CF70-4313-8057-6FFF421FC101}"/>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33694D18-0A35-4F6B-A1A4-3D3274F4A88D}"/>
    <cellStyle name="Currency 5 2 2 2 2 2 2 2 3" xfId="11415" xr:uid="{FFABDEE5-D19D-45E8-81A3-803293056DEF}"/>
    <cellStyle name="Currency 5 2 2 2 2 2 2 3" xfId="5059" xr:uid="{00000000-0005-0000-0000-0000730B0000}"/>
    <cellStyle name="Currency 5 2 2 2 2 2 2 3 2" xfId="13488" xr:uid="{7A10F777-D107-40B6-9CD9-65B98F9E58EE}"/>
    <cellStyle name="Currency 5 2 2 2 2 2 2 4" xfId="9270" xr:uid="{1470695F-1E75-475B-90FE-3C86FFA80157}"/>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6C6DFAC3-3166-49C4-9A50-777FEC79627C}"/>
    <cellStyle name="Currency 5 2 2 2 2 2 3 2 3" xfId="11828" xr:uid="{FDEBB17A-5A15-4EDA-8989-715285DA1B4E}"/>
    <cellStyle name="Currency 5 2 2 2 2 2 3 3" xfId="5472" xr:uid="{00000000-0005-0000-0000-0000770B0000}"/>
    <cellStyle name="Currency 5 2 2 2 2 2 3 3 2" xfId="13901" xr:uid="{2DC3EF5F-5729-4F92-BC7C-0B32E703EDB4}"/>
    <cellStyle name="Currency 5 2 2 2 2 2 3 4" xfId="9683" xr:uid="{62A56A0B-8034-496F-800B-32CD768857D8}"/>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A8B3189A-A164-451B-8634-8D9C5548CEC7}"/>
    <cellStyle name="Currency 5 2 2 2 2 2 4 2 3" xfId="12241" xr:uid="{67C94EE5-6664-4AD5-AC0A-E28D6B461886}"/>
    <cellStyle name="Currency 5 2 2 2 2 2 4 3" xfId="5885" xr:uid="{00000000-0005-0000-0000-00007B0B0000}"/>
    <cellStyle name="Currency 5 2 2 2 2 2 4 3 2" xfId="14314" xr:uid="{7A4A7814-8B04-4986-816C-55EB4B128C0C}"/>
    <cellStyle name="Currency 5 2 2 2 2 2 4 4" xfId="10096" xr:uid="{C003A751-74C0-475D-8748-04BD2FF5A508}"/>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119E3F8B-867D-4203-9B31-17276D26F70B}"/>
    <cellStyle name="Currency 5 2 2 2 2 2 5 2 3" xfId="12654" xr:uid="{6E724F2A-6FCF-490E-9D74-41E8E9E7A635}"/>
    <cellStyle name="Currency 5 2 2 2 2 2 5 3" xfId="6298" xr:uid="{00000000-0005-0000-0000-00007F0B0000}"/>
    <cellStyle name="Currency 5 2 2 2 2 2 5 3 2" xfId="14727" xr:uid="{C5FCE126-EE55-46D1-B8DD-52D9DDA38877}"/>
    <cellStyle name="Currency 5 2 2 2 2 2 5 4" xfId="10509" xr:uid="{B3B5E45F-0E53-4AD1-8E99-B5C18909B7A3}"/>
    <cellStyle name="Currency 5 2 2 2 2 2 6" xfId="2425" xr:uid="{00000000-0005-0000-0000-0000800B0000}"/>
    <cellStyle name="Currency 5 2 2 2 2 2 6 2" xfId="6711" xr:uid="{00000000-0005-0000-0000-0000810B0000}"/>
    <cellStyle name="Currency 5 2 2 2 2 2 6 2 2" xfId="15140" xr:uid="{DC3CF80E-AAD2-429B-BFA9-A81BC93C1479}"/>
    <cellStyle name="Currency 5 2 2 2 2 2 6 3" xfId="10922" xr:uid="{BD184771-8709-4B3D-829C-79255E73969D}"/>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A76E5CBF-BB18-4801-A9BE-13FAAF6B9312}"/>
    <cellStyle name="Currency 5 2 2 2 2 2 8 3" xfId="11239" xr:uid="{B9861D1A-9301-418F-BFD7-8DC255B3AB18}"/>
    <cellStyle name="Currency 5 2 2 2 2 2 9" xfId="4645" xr:uid="{00000000-0005-0000-0000-0000850B0000}"/>
    <cellStyle name="Currency 5 2 2 2 2 2 9 2" xfId="13074" xr:uid="{1B02CBC8-5B93-4DFB-BC0D-23C4C81C8EE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F8EE970F-4E73-4D7E-99FE-AFBE0CE255DB}"/>
    <cellStyle name="Currency 5 2 2 2 2 3 2 3" xfId="11414" xr:uid="{A50D5FDA-D60D-4710-A610-8ECB1F6A9E0B}"/>
    <cellStyle name="Currency 5 2 2 2 2 3 3" xfId="5058" xr:uid="{00000000-0005-0000-0000-0000890B0000}"/>
    <cellStyle name="Currency 5 2 2 2 2 3 3 2" xfId="13487" xr:uid="{61C5A255-6FF3-4657-941F-8934E6489525}"/>
    <cellStyle name="Currency 5 2 2 2 2 3 4" xfId="9269" xr:uid="{DFE6B6CA-4E17-4503-9887-53724E869479}"/>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4A240644-CE14-4BA6-9E9C-E81E7C9895BB}"/>
    <cellStyle name="Currency 5 2 2 2 2 4 2 3" xfId="11827" xr:uid="{FE3DE547-9B61-4710-987A-DA44ED77CE55}"/>
    <cellStyle name="Currency 5 2 2 2 2 4 3" xfId="5471" xr:uid="{00000000-0005-0000-0000-00008D0B0000}"/>
    <cellStyle name="Currency 5 2 2 2 2 4 3 2" xfId="13900" xr:uid="{2EA13C13-5E77-4CE8-9A4C-1FA26DE77F57}"/>
    <cellStyle name="Currency 5 2 2 2 2 4 4" xfId="9682" xr:uid="{87D18997-0A0D-40C5-B668-03267DAF74DD}"/>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762475B2-7F19-448A-9016-B8D06F40D8EB}"/>
    <cellStyle name="Currency 5 2 2 2 2 5 2 3" xfId="12240" xr:uid="{7ECA8011-9C00-47D0-A4E4-104A4231E623}"/>
    <cellStyle name="Currency 5 2 2 2 2 5 3" xfId="5884" xr:uid="{00000000-0005-0000-0000-0000910B0000}"/>
    <cellStyle name="Currency 5 2 2 2 2 5 3 2" xfId="14313" xr:uid="{CA8D75C2-DFE8-49FD-AE4B-482751CDC833}"/>
    <cellStyle name="Currency 5 2 2 2 2 5 4" xfId="10095" xr:uid="{9D60460C-403C-4F92-8EC4-B866DEF84C41}"/>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77697810-A52F-426C-9EC7-8E38ED0B6B8F}"/>
    <cellStyle name="Currency 5 2 2 2 2 6 2 3" xfId="12653" xr:uid="{F8251615-D6D6-4D4B-8B15-02F0394BEC83}"/>
    <cellStyle name="Currency 5 2 2 2 2 6 3" xfId="6297" xr:uid="{00000000-0005-0000-0000-0000950B0000}"/>
    <cellStyle name="Currency 5 2 2 2 2 6 3 2" xfId="14726" xr:uid="{1F5113B8-E72D-41FB-A5F0-85BB46F3FE55}"/>
    <cellStyle name="Currency 5 2 2 2 2 6 4" xfId="10508" xr:uid="{073410C9-7BEE-4094-8491-29DAA3DCA0F6}"/>
    <cellStyle name="Currency 5 2 2 2 2 7" xfId="2424" xr:uid="{00000000-0005-0000-0000-0000960B0000}"/>
    <cellStyle name="Currency 5 2 2 2 2 7 2" xfId="6710" xr:uid="{00000000-0005-0000-0000-0000970B0000}"/>
    <cellStyle name="Currency 5 2 2 2 2 7 2 2" xfId="15139" xr:uid="{937B4633-D37F-4F0D-9F8B-154997D88866}"/>
    <cellStyle name="Currency 5 2 2 2 2 7 3" xfId="10921" xr:uid="{4FC1D22A-26D8-4C18-A367-3F28901808D4}"/>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3BDF768C-82E1-4230-8A41-B32A75EB9907}"/>
    <cellStyle name="Currency 5 2 2 2 2 9 3" xfId="11238" xr:uid="{2DE01E2F-8B37-4870-97B8-D45471AA1698}"/>
    <cellStyle name="Currency 5 2 2 2 3" xfId="199" xr:uid="{00000000-0005-0000-0000-00009B0B0000}"/>
    <cellStyle name="Currency 5 2 2 2 3 10" xfId="8857" xr:uid="{C2EB0E93-6190-470E-9F3D-5EEE073494E7}"/>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1C981D70-8A28-4E52-9AE9-46D43D9BDE08}"/>
    <cellStyle name="Currency 5 2 2 2 3 2 2 3" xfId="11416" xr:uid="{6840D6DF-D249-4821-982E-4D024DED1DCE}"/>
    <cellStyle name="Currency 5 2 2 2 3 2 3" xfId="5060" xr:uid="{00000000-0005-0000-0000-00009F0B0000}"/>
    <cellStyle name="Currency 5 2 2 2 3 2 3 2" xfId="13489" xr:uid="{9BD2A9CE-8511-40CB-8051-8C90EFED04C0}"/>
    <cellStyle name="Currency 5 2 2 2 3 2 4" xfId="9271" xr:uid="{09DFCEE1-F330-49B6-84CA-C0BC0E0A86FF}"/>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5AB3D85E-DEA2-468A-B0D5-328180D923CF}"/>
    <cellStyle name="Currency 5 2 2 2 3 3 2 3" xfId="11829" xr:uid="{AE66CF9C-4BF1-4D1C-94ED-C7E4B20C5D6D}"/>
    <cellStyle name="Currency 5 2 2 2 3 3 3" xfId="5473" xr:uid="{00000000-0005-0000-0000-0000A30B0000}"/>
    <cellStyle name="Currency 5 2 2 2 3 3 3 2" xfId="13902" xr:uid="{B9FCF88B-710E-45AD-A43E-59544D57A733}"/>
    <cellStyle name="Currency 5 2 2 2 3 3 4" xfId="9684" xr:uid="{B9643DAC-F15B-4330-8AB9-D83AEE9ABF44}"/>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E8A97688-F8AD-4DFB-B9CB-C017B4F8B1B1}"/>
    <cellStyle name="Currency 5 2 2 2 3 4 2 3" xfId="12242" xr:uid="{9D30117F-D4EF-4BCF-BFC4-69BA7A98ADF6}"/>
    <cellStyle name="Currency 5 2 2 2 3 4 3" xfId="5886" xr:uid="{00000000-0005-0000-0000-0000A70B0000}"/>
    <cellStyle name="Currency 5 2 2 2 3 4 3 2" xfId="14315" xr:uid="{1798CAB7-5EF4-4616-8B04-AB53558C31C5}"/>
    <cellStyle name="Currency 5 2 2 2 3 4 4" xfId="10097" xr:uid="{94C72068-F38B-4F12-92AC-B9DDD61D73A6}"/>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D29B0B4D-7BC4-4A65-AB3A-891A0A932E3E}"/>
    <cellStyle name="Currency 5 2 2 2 3 5 2 3" xfId="12655" xr:uid="{94EEEADB-A74D-4461-AB25-8071EFBACAB1}"/>
    <cellStyle name="Currency 5 2 2 2 3 5 3" xfId="6299" xr:uid="{00000000-0005-0000-0000-0000AB0B0000}"/>
    <cellStyle name="Currency 5 2 2 2 3 5 3 2" xfId="14728" xr:uid="{B5383DB0-3C05-4311-B5FF-BDB677D0A5B6}"/>
    <cellStyle name="Currency 5 2 2 2 3 5 4" xfId="10510" xr:uid="{2D6F5F6A-B349-438F-8A01-605D2E201D9B}"/>
    <cellStyle name="Currency 5 2 2 2 3 6" xfId="2426" xr:uid="{00000000-0005-0000-0000-0000AC0B0000}"/>
    <cellStyle name="Currency 5 2 2 2 3 6 2" xfId="6712" xr:uid="{00000000-0005-0000-0000-0000AD0B0000}"/>
    <cellStyle name="Currency 5 2 2 2 3 6 2 2" xfId="15141" xr:uid="{994B1F12-C2AD-4192-B273-78F76BB18B1B}"/>
    <cellStyle name="Currency 5 2 2 2 3 6 3" xfId="10923" xr:uid="{7696E9EA-D588-44AC-8312-D364C3B01239}"/>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00D27F5-9067-4951-B126-735BE996A8EF}"/>
    <cellStyle name="Currency 5 2 2 2 3 8 3" xfId="11240" xr:uid="{8229516B-3575-4170-A68D-B7E76F0B9681}"/>
    <cellStyle name="Currency 5 2 2 2 3 9" xfId="4646" xr:uid="{00000000-0005-0000-0000-0000B10B0000}"/>
    <cellStyle name="Currency 5 2 2 2 3 9 2" xfId="13075" xr:uid="{09EE6218-0411-4C4E-B589-AA4401AC9852}"/>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F8918223-2936-41C6-8927-10DADB321DAC}"/>
    <cellStyle name="Currency 5 2 2 2 4 2 3" xfId="11413" xr:uid="{D73EBEAD-BB91-472F-985E-5A84EC766370}"/>
    <cellStyle name="Currency 5 2 2 2 4 3" xfId="5057" xr:uid="{00000000-0005-0000-0000-0000B50B0000}"/>
    <cellStyle name="Currency 5 2 2 2 4 3 2" xfId="13486" xr:uid="{FCD113E8-F140-4523-B992-D1387F82EF02}"/>
    <cellStyle name="Currency 5 2 2 2 4 4" xfId="9268" xr:uid="{74F6E2C7-8871-43BB-B081-BF7AC3289E84}"/>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2C780E8C-898C-4BE1-B3BE-56A594D18B5A}"/>
    <cellStyle name="Currency 5 2 2 2 5 2 3" xfId="11826" xr:uid="{4339006A-C234-4D1C-B925-7E682EFF0A79}"/>
    <cellStyle name="Currency 5 2 2 2 5 3" xfId="5470" xr:uid="{00000000-0005-0000-0000-0000B90B0000}"/>
    <cellStyle name="Currency 5 2 2 2 5 3 2" xfId="13899" xr:uid="{202F3BCA-C728-44A6-AB46-1A3E114ECCE2}"/>
    <cellStyle name="Currency 5 2 2 2 5 4" xfId="9681" xr:uid="{AD37A9E2-1768-4523-B881-AD821088FFA9}"/>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B64969F4-710D-47BB-8353-83CFFD246BEE}"/>
    <cellStyle name="Currency 5 2 2 2 6 2 3" xfId="12239" xr:uid="{E13A2DFE-F8E5-405D-95FE-1A790E765CC5}"/>
    <cellStyle name="Currency 5 2 2 2 6 3" xfId="5883" xr:uid="{00000000-0005-0000-0000-0000BD0B0000}"/>
    <cellStyle name="Currency 5 2 2 2 6 3 2" xfId="14312" xr:uid="{CC8A9ADC-B18C-4011-A49A-906163F4EAB7}"/>
    <cellStyle name="Currency 5 2 2 2 6 4" xfId="10094" xr:uid="{57A840CA-175F-4A03-89FB-41F37609BA2C}"/>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6BD028DF-C246-428C-8A8E-F80FF918C446}"/>
    <cellStyle name="Currency 5 2 2 2 7 2 3" xfId="12652" xr:uid="{FB26CB18-5B73-4460-8544-BBBD601830AA}"/>
    <cellStyle name="Currency 5 2 2 2 7 3" xfId="6296" xr:uid="{00000000-0005-0000-0000-0000C10B0000}"/>
    <cellStyle name="Currency 5 2 2 2 7 3 2" xfId="14725" xr:uid="{1C5B9A2E-FA9C-4E6B-BA8D-295C961A36F5}"/>
    <cellStyle name="Currency 5 2 2 2 7 4" xfId="10507" xr:uid="{59E53A97-F9C6-4390-B1D4-C13D9F490AC9}"/>
    <cellStyle name="Currency 5 2 2 2 8" xfId="2423" xr:uid="{00000000-0005-0000-0000-0000C20B0000}"/>
    <cellStyle name="Currency 5 2 2 2 8 2" xfId="6709" xr:uid="{00000000-0005-0000-0000-0000C30B0000}"/>
    <cellStyle name="Currency 5 2 2 2 8 2 2" xfId="15138" xr:uid="{A8A6EED2-08E6-4CF5-87A2-9F1B17735F2B}"/>
    <cellStyle name="Currency 5 2 2 2 8 3" xfId="10920" xr:uid="{5B25BDBB-47F6-43A8-A9E3-2F849F099C49}"/>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B9E34806-6256-48B7-99D3-BB312D712087}"/>
    <cellStyle name="Currency 5 2 2 3 11" xfId="8858" xr:uid="{78D74A80-0F1E-4BEC-BD88-6268B01A686E}"/>
    <cellStyle name="Currency 5 2 2 3 2" xfId="201" xr:uid="{00000000-0005-0000-0000-0000C70B0000}"/>
    <cellStyle name="Currency 5 2 2 3 2 10" xfId="8859" xr:uid="{2FB1F746-F1BD-4DE1-8B59-1B283CE16BE2}"/>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EC8A3D37-55F7-450C-AFFC-D1F4256BF88E}"/>
    <cellStyle name="Currency 5 2 2 3 2 2 2 3" xfId="11418" xr:uid="{555CBB3F-BA87-4E83-B378-DD449922F2E4}"/>
    <cellStyle name="Currency 5 2 2 3 2 2 3" xfId="5062" xr:uid="{00000000-0005-0000-0000-0000CB0B0000}"/>
    <cellStyle name="Currency 5 2 2 3 2 2 3 2" xfId="13491" xr:uid="{03DABDA0-3C32-40FF-A91F-FF4DBAA6BDDD}"/>
    <cellStyle name="Currency 5 2 2 3 2 2 4" xfId="9273" xr:uid="{49C5A6A9-D808-45C2-814E-7146E6667476}"/>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4A97879B-54B1-4C9F-882E-A01A453CF823}"/>
    <cellStyle name="Currency 5 2 2 3 2 3 2 3" xfId="11831" xr:uid="{6AE6F958-245A-46D6-8431-44805934BADA}"/>
    <cellStyle name="Currency 5 2 2 3 2 3 3" xfId="5475" xr:uid="{00000000-0005-0000-0000-0000CF0B0000}"/>
    <cellStyle name="Currency 5 2 2 3 2 3 3 2" xfId="13904" xr:uid="{83A56296-DB6A-40D5-9509-7FBCAE2E51C0}"/>
    <cellStyle name="Currency 5 2 2 3 2 3 4" xfId="9686" xr:uid="{7B75F46C-A903-46E7-A680-9FB1E173FE95}"/>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6352A349-FDC5-4135-9C34-48B072028A04}"/>
    <cellStyle name="Currency 5 2 2 3 2 4 2 3" xfId="12244" xr:uid="{2F192B46-5B78-4A6F-9C41-FAF0F4F42930}"/>
    <cellStyle name="Currency 5 2 2 3 2 4 3" xfId="5888" xr:uid="{00000000-0005-0000-0000-0000D30B0000}"/>
    <cellStyle name="Currency 5 2 2 3 2 4 3 2" xfId="14317" xr:uid="{BFA0A52E-4413-43D7-B83A-A1A2DC740678}"/>
    <cellStyle name="Currency 5 2 2 3 2 4 4" xfId="10099" xr:uid="{D5BCD26D-F48F-496C-B01F-CC97B1D8FBDF}"/>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322F9F8C-40E3-43E9-9CFC-FE21609DBB03}"/>
    <cellStyle name="Currency 5 2 2 3 2 5 2 3" xfId="12657" xr:uid="{69D71EB1-D866-4C4E-8CD1-28AED4608B9F}"/>
    <cellStyle name="Currency 5 2 2 3 2 5 3" xfId="6301" xr:uid="{00000000-0005-0000-0000-0000D70B0000}"/>
    <cellStyle name="Currency 5 2 2 3 2 5 3 2" xfId="14730" xr:uid="{C70D45E2-030A-428F-9C03-80AA02356002}"/>
    <cellStyle name="Currency 5 2 2 3 2 5 4" xfId="10512" xr:uid="{266A3D61-EEEA-4B06-81FA-48E9C5F265B5}"/>
    <cellStyle name="Currency 5 2 2 3 2 6" xfId="2428" xr:uid="{00000000-0005-0000-0000-0000D80B0000}"/>
    <cellStyle name="Currency 5 2 2 3 2 6 2" xfId="6714" xr:uid="{00000000-0005-0000-0000-0000D90B0000}"/>
    <cellStyle name="Currency 5 2 2 3 2 6 2 2" xfId="15143" xr:uid="{5ED5ADC4-4B14-4A2D-8D5D-C9D3885605FC}"/>
    <cellStyle name="Currency 5 2 2 3 2 6 3" xfId="10925" xr:uid="{F196300F-DA53-4CED-A07F-45A0C0F615B2}"/>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05C67201-8F0E-41C0-9E4C-23E49AEB197A}"/>
    <cellStyle name="Currency 5 2 2 3 2 8 3" xfId="11242" xr:uid="{1F0428F8-A5C2-4AD4-871C-63FBA381CC01}"/>
    <cellStyle name="Currency 5 2 2 3 2 9" xfId="4648" xr:uid="{00000000-0005-0000-0000-0000DD0B0000}"/>
    <cellStyle name="Currency 5 2 2 3 2 9 2" xfId="13077" xr:uid="{C40C77CD-4244-4DC6-B4F7-1A7E3689F8AB}"/>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78381EAF-2895-4B1C-B2C4-EE4809997935}"/>
    <cellStyle name="Currency 5 2 2 3 3 2 3" xfId="11417" xr:uid="{49EB4D6C-D6DF-4D7B-A872-124E81563F24}"/>
    <cellStyle name="Currency 5 2 2 3 3 3" xfId="5061" xr:uid="{00000000-0005-0000-0000-0000E10B0000}"/>
    <cellStyle name="Currency 5 2 2 3 3 3 2" xfId="13490" xr:uid="{757B12C1-A115-43CC-BEE7-D5ED4713B9F6}"/>
    <cellStyle name="Currency 5 2 2 3 3 4" xfId="9272" xr:uid="{58568C21-F32A-4C75-A30C-71D167DCB5E7}"/>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86E553F1-2D15-4B48-9137-1FE95093330F}"/>
    <cellStyle name="Currency 5 2 2 3 4 2 3" xfId="11830" xr:uid="{5CE08C44-C413-477F-B7BA-59201C170452}"/>
    <cellStyle name="Currency 5 2 2 3 4 3" xfId="5474" xr:uid="{00000000-0005-0000-0000-0000E50B0000}"/>
    <cellStyle name="Currency 5 2 2 3 4 3 2" xfId="13903" xr:uid="{7FA3D8B8-9B10-4666-8732-E0D91C6AD417}"/>
    <cellStyle name="Currency 5 2 2 3 4 4" xfId="9685" xr:uid="{214E0290-97A9-4114-AAC3-2D9106B3A5D3}"/>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DCDD5D45-14C3-4F4A-A182-8D05176895C3}"/>
    <cellStyle name="Currency 5 2 2 3 5 2 3" xfId="12243" xr:uid="{5FF3FB44-5932-493A-ADF9-05BA80DD0AB0}"/>
    <cellStyle name="Currency 5 2 2 3 5 3" xfId="5887" xr:uid="{00000000-0005-0000-0000-0000E90B0000}"/>
    <cellStyle name="Currency 5 2 2 3 5 3 2" xfId="14316" xr:uid="{EB967C0C-F2A6-4D94-B2D4-8B6A1510BF7A}"/>
    <cellStyle name="Currency 5 2 2 3 5 4" xfId="10098" xr:uid="{ECC0D286-BDE9-4512-98CB-6B6BC304CFC6}"/>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FBA2C463-5120-420F-918C-226CB9D32B04}"/>
    <cellStyle name="Currency 5 2 2 3 6 2 3" xfId="12656" xr:uid="{8F542FF3-9A28-44BE-B5C2-991BC5AF6C18}"/>
    <cellStyle name="Currency 5 2 2 3 6 3" xfId="6300" xr:uid="{00000000-0005-0000-0000-0000ED0B0000}"/>
    <cellStyle name="Currency 5 2 2 3 6 3 2" xfId="14729" xr:uid="{9071A0E2-A080-451B-833C-78C0B5347482}"/>
    <cellStyle name="Currency 5 2 2 3 6 4" xfId="10511" xr:uid="{DDE75CDA-8BA4-4C81-B202-D6D343C05CB4}"/>
    <cellStyle name="Currency 5 2 2 3 7" xfId="2427" xr:uid="{00000000-0005-0000-0000-0000EE0B0000}"/>
    <cellStyle name="Currency 5 2 2 3 7 2" xfId="6713" xr:uid="{00000000-0005-0000-0000-0000EF0B0000}"/>
    <cellStyle name="Currency 5 2 2 3 7 2 2" xfId="15142" xr:uid="{E26BC641-7849-484F-9DBE-FE5370094C77}"/>
    <cellStyle name="Currency 5 2 2 3 7 3" xfId="10924" xr:uid="{31ECC77A-8771-4143-AACD-FF36FA3B7652}"/>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605385BE-EAE4-40D3-A8CC-1FC99CE73993}"/>
    <cellStyle name="Currency 5 2 2 3 9 3" xfId="11241" xr:uid="{56D4F066-9090-4E7D-A712-8C3D2C34A457}"/>
    <cellStyle name="Currency 5 2 2 4" xfId="202" xr:uid="{00000000-0005-0000-0000-0000F30B0000}"/>
    <cellStyle name="Currency 5 2 2 4 10" xfId="8860" xr:uid="{BD054FDD-2CDD-4409-BEF8-4412509A8285}"/>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4FDB7E0E-04E2-4EDB-9066-767035ADA889}"/>
    <cellStyle name="Currency 5 2 2 4 2 2 3" xfId="11419" xr:uid="{9362D731-EF0F-4D05-B5D8-A0A33E662594}"/>
    <cellStyle name="Currency 5 2 2 4 2 3" xfId="5063" xr:uid="{00000000-0005-0000-0000-0000F70B0000}"/>
    <cellStyle name="Currency 5 2 2 4 2 3 2" xfId="13492" xr:uid="{FBBC8196-621F-4195-B3C4-53C2B1EAF8D0}"/>
    <cellStyle name="Currency 5 2 2 4 2 4" xfId="9274" xr:uid="{9F8FB781-F4CC-4434-906F-8AB07950B8E9}"/>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8EF1AE76-377A-464A-A233-BB55ABB20518}"/>
    <cellStyle name="Currency 5 2 2 4 3 2 3" xfId="11832" xr:uid="{CEEDC202-EC08-46CB-9319-62DE82524462}"/>
    <cellStyle name="Currency 5 2 2 4 3 3" xfId="5476" xr:uid="{00000000-0005-0000-0000-0000FB0B0000}"/>
    <cellStyle name="Currency 5 2 2 4 3 3 2" xfId="13905" xr:uid="{5D9A5398-0538-4C6C-8FE9-C61A7B4BFC07}"/>
    <cellStyle name="Currency 5 2 2 4 3 4" xfId="9687" xr:uid="{929658A6-BB0A-420E-AA49-0C050487A34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0C1F4F5A-5E32-44E8-A301-97CF577B014E}"/>
    <cellStyle name="Currency 5 2 2 4 4 2 3" xfId="12245" xr:uid="{FAFC2A53-7CE1-46AC-8E6D-7CE8FDBD9D01}"/>
    <cellStyle name="Currency 5 2 2 4 4 3" xfId="5889" xr:uid="{00000000-0005-0000-0000-0000FF0B0000}"/>
    <cellStyle name="Currency 5 2 2 4 4 3 2" xfId="14318" xr:uid="{09968AE0-36ED-40B2-9C54-32FD015AF0DF}"/>
    <cellStyle name="Currency 5 2 2 4 4 4" xfId="10100" xr:uid="{F8ED8863-4D00-48C4-8AC7-A168DD363D0E}"/>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950247DB-CE9A-4ADC-8446-375B028D8746}"/>
    <cellStyle name="Currency 5 2 2 4 5 2 3" xfId="12658" xr:uid="{6B286400-6882-4ABB-9C49-8B87707D3E74}"/>
    <cellStyle name="Currency 5 2 2 4 5 3" xfId="6302" xr:uid="{00000000-0005-0000-0000-0000030C0000}"/>
    <cellStyle name="Currency 5 2 2 4 5 3 2" xfId="14731" xr:uid="{CB0E7FA1-76E6-48EE-98A3-D2833E7D5FEF}"/>
    <cellStyle name="Currency 5 2 2 4 5 4" xfId="10513" xr:uid="{FAA66387-76A8-4F9C-B080-92B2A7EDDD5B}"/>
    <cellStyle name="Currency 5 2 2 4 6" xfId="2429" xr:uid="{00000000-0005-0000-0000-0000040C0000}"/>
    <cellStyle name="Currency 5 2 2 4 6 2" xfId="6715" xr:uid="{00000000-0005-0000-0000-0000050C0000}"/>
    <cellStyle name="Currency 5 2 2 4 6 2 2" xfId="15144" xr:uid="{CACA431C-F60D-4880-A653-00F938C3BC3E}"/>
    <cellStyle name="Currency 5 2 2 4 6 3" xfId="10926" xr:uid="{31EAB243-995E-4FC1-85AB-050A7FCF19C5}"/>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504E84DE-1FB9-4430-962E-7C9E79B80D29}"/>
    <cellStyle name="Currency 5 2 2 4 8 3" xfId="11243" xr:uid="{F4BC13F3-D17C-4990-A5DB-8A7FC23BA548}"/>
    <cellStyle name="Currency 5 2 2 4 9" xfId="4649" xr:uid="{00000000-0005-0000-0000-0000090C0000}"/>
    <cellStyle name="Currency 5 2 2 4 9 2" xfId="13078" xr:uid="{D13EABD9-E410-4B9C-A58D-172F60272D48}"/>
    <cellStyle name="Currency 5 2 2 5" xfId="203" xr:uid="{00000000-0005-0000-0000-00000A0C0000}"/>
    <cellStyle name="Currency 5 2 2 5 10" xfId="8861" xr:uid="{E99BBB8D-4038-488A-B5FC-C6EA116525E7}"/>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EA3CE544-4329-4DDD-878E-F163EC7DBA00}"/>
    <cellStyle name="Currency 5 2 2 5 2 2 3" xfId="11420" xr:uid="{0500FB9B-A299-4E10-904D-ECA6B27A0856}"/>
    <cellStyle name="Currency 5 2 2 5 2 3" xfId="5064" xr:uid="{00000000-0005-0000-0000-00000E0C0000}"/>
    <cellStyle name="Currency 5 2 2 5 2 3 2" xfId="13493" xr:uid="{2429A559-5ADE-4BC9-8206-349A600C0B8C}"/>
    <cellStyle name="Currency 5 2 2 5 2 4" xfId="9275" xr:uid="{35767E69-B6A6-4B46-9995-0FCD15DDEE66}"/>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4FCA2DEB-E4B3-4B5B-93E3-BAD8481EA29D}"/>
    <cellStyle name="Currency 5 2 2 5 3 2 3" xfId="11833" xr:uid="{30A2B01F-5C2F-491F-9BBF-2A7AAE6618EC}"/>
    <cellStyle name="Currency 5 2 2 5 3 3" xfId="5477" xr:uid="{00000000-0005-0000-0000-0000120C0000}"/>
    <cellStyle name="Currency 5 2 2 5 3 3 2" xfId="13906" xr:uid="{F0FD7AD4-8F23-4260-A11A-09517E81C16E}"/>
    <cellStyle name="Currency 5 2 2 5 3 4" xfId="9688" xr:uid="{76B1CE4B-B238-4905-8882-77673DC3423E}"/>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F97A6C91-7A1B-4166-B562-FA97AE6C36FD}"/>
    <cellStyle name="Currency 5 2 2 5 4 2 3" xfId="12246" xr:uid="{3C68133A-031C-45F9-9646-4359B9C2DF9B}"/>
    <cellStyle name="Currency 5 2 2 5 4 3" xfId="5890" xr:uid="{00000000-0005-0000-0000-0000160C0000}"/>
    <cellStyle name="Currency 5 2 2 5 4 3 2" xfId="14319" xr:uid="{565AE7DC-FFD9-4172-9D6E-3EB278567552}"/>
    <cellStyle name="Currency 5 2 2 5 4 4" xfId="10101" xr:uid="{FED120F4-D5AB-46FD-85AF-BFEB50E67558}"/>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66FA1427-1E7B-4B56-910E-E9D758FEDCDE}"/>
    <cellStyle name="Currency 5 2 2 5 5 2 3" xfId="12659" xr:uid="{F45935DE-1BC8-4D97-80A7-517DD1E43941}"/>
    <cellStyle name="Currency 5 2 2 5 5 3" xfId="6303" xr:uid="{00000000-0005-0000-0000-00001A0C0000}"/>
    <cellStyle name="Currency 5 2 2 5 5 3 2" xfId="14732" xr:uid="{BACBE393-5E53-4216-AC56-9F3D96856A64}"/>
    <cellStyle name="Currency 5 2 2 5 5 4" xfId="10514" xr:uid="{993AB487-27B6-4086-87B3-82673BE7F8BC}"/>
    <cellStyle name="Currency 5 2 2 5 6" xfId="2430" xr:uid="{00000000-0005-0000-0000-00001B0C0000}"/>
    <cellStyle name="Currency 5 2 2 5 6 2" xfId="6716" xr:uid="{00000000-0005-0000-0000-00001C0C0000}"/>
    <cellStyle name="Currency 5 2 2 5 6 2 2" xfId="15145" xr:uid="{FFB1DE6F-08AC-48BC-98D8-AA4357360CA5}"/>
    <cellStyle name="Currency 5 2 2 5 6 3" xfId="10927" xr:uid="{D2C5EECC-E42E-4195-920A-38F83E5B8E08}"/>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44B9D4F9-A0FE-42C6-95AF-509D7C220BC9}"/>
    <cellStyle name="Currency 5 2 2 5 8 3" xfId="11244" xr:uid="{D6656E15-954B-4170-8F9F-ED79BEB88EE5}"/>
    <cellStyle name="Currency 5 2 2 5 9" xfId="4650" xr:uid="{00000000-0005-0000-0000-0000200C0000}"/>
    <cellStyle name="Currency 5 2 2 5 9 2" xfId="13079" xr:uid="{B1AFAB7C-B6BF-486E-B3D0-FB789DCABB47}"/>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59119D85-65DA-411E-8536-7B433F1315DE}"/>
    <cellStyle name="Currency 5 2 4 11" xfId="8862" xr:uid="{ECF0EF8D-A7F3-4651-BE75-A55DF675043C}"/>
    <cellStyle name="Currency 5 2 4 2" xfId="206" xr:uid="{00000000-0005-0000-0000-0000250C0000}"/>
    <cellStyle name="Currency 5 2 4 2 10" xfId="8863" xr:uid="{92EE0D88-9124-4AE7-B622-72BB8FFDAE36}"/>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05080263-3126-4D9A-92FF-AADC349F4150}"/>
    <cellStyle name="Currency 5 2 4 2 2 2 3" xfId="11422" xr:uid="{D1F8CC69-237C-4FF0-B4E4-13718048FEA7}"/>
    <cellStyle name="Currency 5 2 4 2 2 3" xfId="5066" xr:uid="{00000000-0005-0000-0000-0000290C0000}"/>
    <cellStyle name="Currency 5 2 4 2 2 3 2" xfId="13495" xr:uid="{8D51C2BF-ACF4-44DD-8C28-91111BDEFFA3}"/>
    <cellStyle name="Currency 5 2 4 2 2 4" xfId="9277" xr:uid="{22D0FA83-B461-4706-B447-8655B3EBCB4B}"/>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9AA8EE95-E222-46B9-B25A-78BA7E4ABC4D}"/>
    <cellStyle name="Currency 5 2 4 2 3 2 3" xfId="11835" xr:uid="{D503515F-CD9C-4B21-AABE-24132A8D3DDA}"/>
    <cellStyle name="Currency 5 2 4 2 3 3" xfId="5479" xr:uid="{00000000-0005-0000-0000-00002D0C0000}"/>
    <cellStyle name="Currency 5 2 4 2 3 3 2" xfId="13908" xr:uid="{E364C49B-C865-4725-8B0F-954AC73FDAFC}"/>
    <cellStyle name="Currency 5 2 4 2 3 4" xfId="9690" xr:uid="{6BF84EF3-0839-4DC2-AA84-DFC0E1CEDF61}"/>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58CFBE5D-EB56-4B04-A654-94A03C861D94}"/>
    <cellStyle name="Currency 5 2 4 2 4 2 3" xfId="12248" xr:uid="{63BEA30C-9BC1-47FA-BEFC-1864B258C31C}"/>
    <cellStyle name="Currency 5 2 4 2 4 3" xfId="5892" xr:uid="{00000000-0005-0000-0000-0000310C0000}"/>
    <cellStyle name="Currency 5 2 4 2 4 3 2" xfId="14321" xr:uid="{DB4B5EE2-9784-4ACE-8B6F-B1AC80A0E276}"/>
    <cellStyle name="Currency 5 2 4 2 4 4" xfId="10103" xr:uid="{90566AA6-B0A8-41D7-895E-80D2591A8748}"/>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DF3DFF6B-4713-4DE5-BD1B-DF8719698B25}"/>
    <cellStyle name="Currency 5 2 4 2 5 2 3" xfId="12661" xr:uid="{6E6C9F49-CEC2-4C10-BE8C-00B41AA39E34}"/>
    <cellStyle name="Currency 5 2 4 2 5 3" xfId="6305" xr:uid="{00000000-0005-0000-0000-0000350C0000}"/>
    <cellStyle name="Currency 5 2 4 2 5 3 2" xfId="14734" xr:uid="{CD9376A1-5681-4912-9F6C-1ED1D00BF481}"/>
    <cellStyle name="Currency 5 2 4 2 5 4" xfId="10516" xr:uid="{A883EF6C-4D8E-4B8C-A1DC-B1FCFB26A1FA}"/>
    <cellStyle name="Currency 5 2 4 2 6" xfId="2432" xr:uid="{00000000-0005-0000-0000-0000360C0000}"/>
    <cellStyle name="Currency 5 2 4 2 6 2" xfId="6718" xr:uid="{00000000-0005-0000-0000-0000370C0000}"/>
    <cellStyle name="Currency 5 2 4 2 6 2 2" xfId="15147" xr:uid="{07F1FF2B-8CA3-4412-A2D2-EB39C5BA9D5A}"/>
    <cellStyle name="Currency 5 2 4 2 6 3" xfId="10929" xr:uid="{F1539E24-0344-4277-9713-57F88B54BC82}"/>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23C2AD20-AB9F-4731-8B49-A8DE4357F471}"/>
    <cellStyle name="Currency 5 2 4 2 8 3" xfId="11246" xr:uid="{14BD5F02-DC30-4BAD-BCA9-2BA08F629717}"/>
    <cellStyle name="Currency 5 2 4 2 9" xfId="4652" xr:uid="{00000000-0005-0000-0000-00003B0C0000}"/>
    <cellStyle name="Currency 5 2 4 2 9 2" xfId="13081" xr:uid="{6320F1CA-9A52-412B-A05C-7FBD13FFEB49}"/>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3A8A7144-7449-41E0-88AA-4B936ADA82F9}"/>
    <cellStyle name="Currency 5 2 4 3 2 3" xfId="11421" xr:uid="{AE5BD60E-5FD8-4A84-966C-CFAC33BBFFD2}"/>
    <cellStyle name="Currency 5 2 4 3 3" xfId="5065" xr:uid="{00000000-0005-0000-0000-00003F0C0000}"/>
    <cellStyle name="Currency 5 2 4 3 3 2" xfId="13494" xr:uid="{B40D604F-8936-4AD0-BF29-2C052A6884C8}"/>
    <cellStyle name="Currency 5 2 4 3 4" xfId="9276" xr:uid="{DE474243-9B0B-463F-85C2-B156AAE758D0}"/>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20492671-FCFE-4F08-B3A2-0746E06979BC}"/>
    <cellStyle name="Currency 5 2 4 4 2 3" xfId="11834" xr:uid="{834D2297-38A2-4134-A421-899A186661B9}"/>
    <cellStyle name="Currency 5 2 4 4 3" xfId="5478" xr:uid="{00000000-0005-0000-0000-0000430C0000}"/>
    <cellStyle name="Currency 5 2 4 4 3 2" xfId="13907" xr:uid="{DECE1104-0832-4A9B-B29C-883862212D38}"/>
    <cellStyle name="Currency 5 2 4 4 4" xfId="9689" xr:uid="{6CA94595-CBBB-4B80-A86F-EBEF993033E0}"/>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D2A9D0B5-FE6E-4254-AB9C-E314FAEA0BF7}"/>
    <cellStyle name="Currency 5 2 4 5 2 3" xfId="12247" xr:uid="{5CE922D3-3F3F-477A-AD4A-787D19993982}"/>
    <cellStyle name="Currency 5 2 4 5 3" xfId="5891" xr:uid="{00000000-0005-0000-0000-0000470C0000}"/>
    <cellStyle name="Currency 5 2 4 5 3 2" xfId="14320" xr:uid="{FCE352E4-CDFC-414C-B8F8-593CD3CA4F6F}"/>
    <cellStyle name="Currency 5 2 4 5 4" xfId="10102" xr:uid="{7AD2844E-EF10-4BE1-A1C6-6D4639FF2CF7}"/>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BB781EC7-1387-41FC-B5D1-85B78F67156F}"/>
    <cellStyle name="Currency 5 2 4 6 2 3" xfId="12660" xr:uid="{D207DDA9-5B8C-4DF9-960A-E0A8E0399BD7}"/>
    <cellStyle name="Currency 5 2 4 6 3" xfId="6304" xr:uid="{00000000-0005-0000-0000-00004B0C0000}"/>
    <cellStyle name="Currency 5 2 4 6 3 2" xfId="14733" xr:uid="{C4013571-8F7A-44B5-AAC8-744056975FED}"/>
    <cellStyle name="Currency 5 2 4 6 4" xfId="10515" xr:uid="{4DEB032D-4674-4293-82BE-178D732B130E}"/>
    <cellStyle name="Currency 5 2 4 7" xfId="2431" xr:uid="{00000000-0005-0000-0000-00004C0C0000}"/>
    <cellStyle name="Currency 5 2 4 7 2" xfId="6717" xr:uid="{00000000-0005-0000-0000-00004D0C0000}"/>
    <cellStyle name="Currency 5 2 4 7 2 2" xfId="15146" xr:uid="{FD5DD02B-A5A3-4E06-9C6E-2D3C04FFD4F7}"/>
    <cellStyle name="Currency 5 2 4 7 3" xfId="10928" xr:uid="{92241BEE-915B-4294-B063-0E63523463C4}"/>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3C8DA1A5-9E19-46C7-8582-4E1879715F76}"/>
    <cellStyle name="Currency 5 2 4 9 3" xfId="11245" xr:uid="{D63C18F6-7756-4395-8B5C-016E2826C321}"/>
    <cellStyle name="Currency 5 2 5" xfId="207" xr:uid="{00000000-0005-0000-0000-0000510C0000}"/>
    <cellStyle name="Currency 5 2 5 10" xfId="8864" xr:uid="{E2E2EC63-97AC-419F-B4AB-EA23A6F9ECF8}"/>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6949DE44-DC7F-4F5A-9CB7-939B09AEDAD1}"/>
    <cellStyle name="Currency 5 2 5 2 2 3" xfId="11423" xr:uid="{8BC53472-DD4A-42F3-B1A5-DE0CED2AD700}"/>
    <cellStyle name="Currency 5 2 5 2 3" xfId="5067" xr:uid="{00000000-0005-0000-0000-0000550C0000}"/>
    <cellStyle name="Currency 5 2 5 2 3 2" xfId="13496" xr:uid="{BF0C4426-393A-4D54-AB32-D0B0637AFF86}"/>
    <cellStyle name="Currency 5 2 5 2 4" xfId="9278" xr:uid="{0B853D0E-E258-461D-A60A-3868890FF7C4}"/>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1379554E-090B-492D-831E-FD468EBCD2E5}"/>
    <cellStyle name="Currency 5 2 5 3 2 3" xfId="11836" xr:uid="{947849A7-0DB7-4DA6-8DE8-1A81261DB44D}"/>
    <cellStyle name="Currency 5 2 5 3 3" xfId="5480" xr:uid="{00000000-0005-0000-0000-0000590C0000}"/>
    <cellStyle name="Currency 5 2 5 3 3 2" xfId="13909" xr:uid="{B5CFBF1A-82B9-4B33-8706-4970F3B02A84}"/>
    <cellStyle name="Currency 5 2 5 3 4" xfId="9691" xr:uid="{490A56D2-93B2-4ED1-BA96-84BE0AA6673F}"/>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AD426296-499D-4222-B668-58F8FA9FD517}"/>
    <cellStyle name="Currency 5 2 5 4 2 3" xfId="12249" xr:uid="{9EAF55B1-51F2-49FA-BA31-4E7279763973}"/>
    <cellStyle name="Currency 5 2 5 4 3" xfId="5893" xr:uid="{00000000-0005-0000-0000-00005D0C0000}"/>
    <cellStyle name="Currency 5 2 5 4 3 2" xfId="14322" xr:uid="{7E7355FA-BEC6-4DAC-AA13-C1FD2290539C}"/>
    <cellStyle name="Currency 5 2 5 4 4" xfId="10104" xr:uid="{F79D96FC-C75F-46D7-AED9-A2448DFF5871}"/>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DDBB53E8-3884-49E4-843D-E7AC26DD12F8}"/>
    <cellStyle name="Currency 5 2 5 5 2 3" xfId="12662" xr:uid="{655C01B4-1EB9-4DB0-B86E-79E053CECED5}"/>
    <cellStyle name="Currency 5 2 5 5 3" xfId="6306" xr:uid="{00000000-0005-0000-0000-0000610C0000}"/>
    <cellStyle name="Currency 5 2 5 5 3 2" xfId="14735" xr:uid="{3D0B856A-DA16-4F49-BE06-5FC7C9F30127}"/>
    <cellStyle name="Currency 5 2 5 5 4" xfId="10517" xr:uid="{88EF93BE-80CE-4E04-854A-4BAB3165CD52}"/>
    <cellStyle name="Currency 5 2 5 6" xfId="2433" xr:uid="{00000000-0005-0000-0000-0000620C0000}"/>
    <cellStyle name="Currency 5 2 5 6 2" xfId="6719" xr:uid="{00000000-0005-0000-0000-0000630C0000}"/>
    <cellStyle name="Currency 5 2 5 6 2 2" xfId="15148" xr:uid="{43D1FC4F-E348-4C46-8FC3-03F2A14491AA}"/>
    <cellStyle name="Currency 5 2 5 6 3" xfId="10930" xr:uid="{F2505D0D-CEEC-4DED-958A-98028B67EBAF}"/>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B885E3FA-42BD-48D0-9D0F-086ED0777D20}"/>
    <cellStyle name="Currency 5 2 5 8 3" xfId="11247" xr:uid="{D91B72CE-2F24-4853-A954-375F880F84C3}"/>
    <cellStyle name="Currency 5 2 5 9" xfId="4653" xr:uid="{00000000-0005-0000-0000-0000670C0000}"/>
    <cellStyle name="Currency 5 2 5 9 2" xfId="13082" xr:uid="{D9480E68-120B-4BC7-9500-E58D66E69635}"/>
    <cellStyle name="Currency 5 2 6" xfId="208" xr:uid="{00000000-0005-0000-0000-0000680C0000}"/>
    <cellStyle name="Currency 5 2 6 10" xfId="8865" xr:uid="{AE89327F-1F8D-4E3E-B41F-D92306DD69F2}"/>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E787ACC1-9FD2-4D41-89F2-8B0696BA8E94}"/>
    <cellStyle name="Currency 5 2 6 2 2 3" xfId="11424" xr:uid="{9ED9DF33-6B29-4AF5-B511-53FB28347ACC}"/>
    <cellStyle name="Currency 5 2 6 2 3" xfId="5068" xr:uid="{00000000-0005-0000-0000-00006C0C0000}"/>
    <cellStyle name="Currency 5 2 6 2 3 2" xfId="13497" xr:uid="{8806DB12-F580-4551-86A2-5EAFD60A202D}"/>
    <cellStyle name="Currency 5 2 6 2 4" xfId="9279" xr:uid="{C1B26CD1-120B-47C2-8847-3C26AABE13FC}"/>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69E924C0-3C55-4939-8E03-60A19E5BBBD0}"/>
    <cellStyle name="Currency 5 2 6 3 2 3" xfId="11837" xr:uid="{4CF2D374-B2DA-4D90-97CB-DE0BDD22D26D}"/>
    <cellStyle name="Currency 5 2 6 3 3" xfId="5481" xr:uid="{00000000-0005-0000-0000-0000700C0000}"/>
    <cellStyle name="Currency 5 2 6 3 3 2" xfId="13910" xr:uid="{21C0EE0E-3983-4F4D-BD50-2C42924748DA}"/>
    <cellStyle name="Currency 5 2 6 3 4" xfId="9692" xr:uid="{4CA24088-7B71-444B-A800-7AFE6355B9BA}"/>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A7839510-EE15-40E4-95F7-264BD2CB57BF}"/>
    <cellStyle name="Currency 5 2 6 4 2 3" xfId="12250" xr:uid="{CF7E3003-84B0-41D2-9FB5-75D2C76ADCC0}"/>
    <cellStyle name="Currency 5 2 6 4 3" xfId="5894" xr:uid="{00000000-0005-0000-0000-0000740C0000}"/>
    <cellStyle name="Currency 5 2 6 4 3 2" xfId="14323" xr:uid="{046B9D02-3339-4A42-904B-D93535975D5D}"/>
    <cellStyle name="Currency 5 2 6 4 4" xfId="10105" xr:uid="{1F96E21D-5667-45FD-8561-80739B8C1D15}"/>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8E51C60D-3801-4C21-80F9-19EC54350D90}"/>
    <cellStyle name="Currency 5 2 6 5 2 3" xfId="12663" xr:uid="{D3DB9C99-B170-4EFE-B588-9F0C71A7A24D}"/>
    <cellStyle name="Currency 5 2 6 5 3" xfId="6307" xr:uid="{00000000-0005-0000-0000-0000780C0000}"/>
    <cellStyle name="Currency 5 2 6 5 3 2" xfId="14736" xr:uid="{9E7B9234-00E7-4E30-87BA-16129E75B349}"/>
    <cellStyle name="Currency 5 2 6 5 4" xfId="10518" xr:uid="{A7DDC4A1-BB52-4A24-A3EF-BB8EC092F4D1}"/>
    <cellStyle name="Currency 5 2 6 6" xfId="2434" xr:uid="{00000000-0005-0000-0000-0000790C0000}"/>
    <cellStyle name="Currency 5 2 6 6 2" xfId="6720" xr:uid="{00000000-0005-0000-0000-00007A0C0000}"/>
    <cellStyle name="Currency 5 2 6 6 2 2" xfId="15149" xr:uid="{099FD1F8-8680-4E7A-864A-E1C5241785E3}"/>
    <cellStyle name="Currency 5 2 6 6 3" xfId="10931" xr:uid="{FA7ADA4B-DBDE-413F-8BB0-9473628BD5D6}"/>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29B4FC05-23BA-44DF-8AB1-CE91F31343B5}"/>
    <cellStyle name="Currency 5 2 6 8 3" xfId="11248" xr:uid="{801402A2-C5D6-4217-BCF8-EB3D1B54C95E}"/>
    <cellStyle name="Currency 5 2 6 9" xfId="4654" xr:uid="{00000000-0005-0000-0000-00007E0C0000}"/>
    <cellStyle name="Currency 5 2 6 9 2" xfId="13083" xr:uid="{D399425D-7935-4F8A-A90A-BA7632C75D18}"/>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1D47857A-B62D-4F04-9A66-53173557487E}"/>
    <cellStyle name="Currency 5 3 2 10 3" xfId="11249" xr:uid="{1D0E9BC9-F778-464F-B418-876A44B2C2CE}"/>
    <cellStyle name="Currency 5 3 2 11" xfId="4655" xr:uid="{00000000-0005-0000-0000-0000840C0000}"/>
    <cellStyle name="Currency 5 3 2 11 2" xfId="13084" xr:uid="{72F37789-A385-4E52-A389-3546D4624140}"/>
    <cellStyle name="Currency 5 3 2 12" xfId="8866" xr:uid="{A1DBEC08-AB8F-4451-9BF8-4304358063F6}"/>
    <cellStyle name="Currency 5 3 2 2" xfId="211" xr:uid="{00000000-0005-0000-0000-0000850C0000}"/>
    <cellStyle name="Currency 5 3 2 2 10" xfId="4656" xr:uid="{00000000-0005-0000-0000-0000860C0000}"/>
    <cellStyle name="Currency 5 3 2 2 10 2" xfId="13085" xr:uid="{093F0CA6-1818-439E-9E67-FF81ED5A8BE3}"/>
    <cellStyle name="Currency 5 3 2 2 11" xfId="8867" xr:uid="{1F7D804D-0C7B-4037-B0BF-427C2102C786}"/>
    <cellStyle name="Currency 5 3 2 2 2" xfId="212" xr:uid="{00000000-0005-0000-0000-0000870C0000}"/>
    <cellStyle name="Currency 5 3 2 2 2 10" xfId="8868" xr:uid="{651B42DD-1FAA-4172-8C79-D5AE9F60E023}"/>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374BB7A0-7C49-4EC5-8C7C-E636B4520BD2}"/>
    <cellStyle name="Currency 5 3 2 2 2 2 2 3" xfId="11427" xr:uid="{42C6E4E2-B55A-4B4D-B7FC-E551E77CC6FA}"/>
    <cellStyle name="Currency 5 3 2 2 2 2 3" xfId="5071" xr:uid="{00000000-0005-0000-0000-00008B0C0000}"/>
    <cellStyle name="Currency 5 3 2 2 2 2 3 2" xfId="13500" xr:uid="{450393FA-851C-4E75-BCBC-3F7027E4F0D1}"/>
    <cellStyle name="Currency 5 3 2 2 2 2 4" xfId="9282" xr:uid="{D5FA177D-54C3-4D53-B5A0-EA04E9C4435A}"/>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E9595D01-40AC-44B2-B8B4-F9E30D45D17D}"/>
    <cellStyle name="Currency 5 3 2 2 2 3 2 3" xfId="11840" xr:uid="{DDB31C6B-15E2-4866-8830-93B49A1E9CF1}"/>
    <cellStyle name="Currency 5 3 2 2 2 3 3" xfId="5484" xr:uid="{00000000-0005-0000-0000-00008F0C0000}"/>
    <cellStyle name="Currency 5 3 2 2 2 3 3 2" xfId="13913" xr:uid="{EB5A214B-735A-4D2F-A8BF-0E90D6A1A663}"/>
    <cellStyle name="Currency 5 3 2 2 2 3 4" xfId="9695" xr:uid="{B7AA07D6-3476-4DC3-B09E-3DDCCCE08B91}"/>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4C3F0F01-8D67-4C08-BE71-A69E416A2D2B}"/>
    <cellStyle name="Currency 5 3 2 2 2 4 2 3" xfId="12253" xr:uid="{E92255D6-86FD-4901-B138-83007631F375}"/>
    <cellStyle name="Currency 5 3 2 2 2 4 3" xfId="5897" xr:uid="{00000000-0005-0000-0000-0000930C0000}"/>
    <cellStyle name="Currency 5 3 2 2 2 4 3 2" xfId="14326" xr:uid="{FEB67B47-3E5F-410B-A574-D1794C0DE196}"/>
    <cellStyle name="Currency 5 3 2 2 2 4 4" xfId="10108" xr:uid="{D513AA35-6565-4FEA-87A1-5E3D199D5BB5}"/>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BB1B85DF-C3E8-4E7B-BDD3-E6D2D49E9DB1}"/>
    <cellStyle name="Currency 5 3 2 2 2 5 2 3" xfId="12666" xr:uid="{B84A27DF-0466-473B-8C11-94D05320DBB1}"/>
    <cellStyle name="Currency 5 3 2 2 2 5 3" xfId="6310" xr:uid="{00000000-0005-0000-0000-0000970C0000}"/>
    <cellStyle name="Currency 5 3 2 2 2 5 3 2" xfId="14739" xr:uid="{E916B8ED-E2DB-4690-8756-17E0A8BBD509}"/>
    <cellStyle name="Currency 5 3 2 2 2 5 4" xfId="10521" xr:uid="{95AB2975-1854-4C20-BFB3-DA082723BC9D}"/>
    <cellStyle name="Currency 5 3 2 2 2 6" xfId="2437" xr:uid="{00000000-0005-0000-0000-0000980C0000}"/>
    <cellStyle name="Currency 5 3 2 2 2 6 2" xfId="6723" xr:uid="{00000000-0005-0000-0000-0000990C0000}"/>
    <cellStyle name="Currency 5 3 2 2 2 6 2 2" xfId="15152" xr:uid="{2D85EB6E-B8FF-42B4-9A34-33D85C878DCF}"/>
    <cellStyle name="Currency 5 3 2 2 2 6 3" xfId="10934" xr:uid="{8D0D7C74-0FE6-476B-9F5C-74685A2F0199}"/>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36C756F9-B0C3-4D7A-9244-28B0366768AD}"/>
    <cellStyle name="Currency 5 3 2 2 2 8 3" xfId="11251" xr:uid="{12EBD0C8-097D-4779-9AEA-D6DC9C96B124}"/>
    <cellStyle name="Currency 5 3 2 2 2 9" xfId="4657" xr:uid="{00000000-0005-0000-0000-00009D0C0000}"/>
    <cellStyle name="Currency 5 3 2 2 2 9 2" xfId="13086" xr:uid="{2E6CCBB7-EB2D-4FD2-BCCE-8053AEB2A7F3}"/>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BCBD0C42-D891-4F7F-ABDC-182674E85F16}"/>
    <cellStyle name="Currency 5 3 2 2 3 2 3" xfId="11426" xr:uid="{335493D0-A9A3-47FE-B56E-4CC007BCA11B}"/>
    <cellStyle name="Currency 5 3 2 2 3 3" xfId="5070" xr:uid="{00000000-0005-0000-0000-0000A10C0000}"/>
    <cellStyle name="Currency 5 3 2 2 3 3 2" xfId="13499" xr:uid="{592545DE-27E3-4176-8F90-3F458498E613}"/>
    <cellStyle name="Currency 5 3 2 2 3 4" xfId="9281" xr:uid="{5EA10015-2713-4013-81D6-5D428594A189}"/>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833AF6CF-500F-4D99-8711-E3C2CF6E8FAB}"/>
    <cellStyle name="Currency 5 3 2 2 4 2 3" xfId="11839" xr:uid="{DB7F3F84-7682-439A-859F-D1B1BD2CFA76}"/>
    <cellStyle name="Currency 5 3 2 2 4 3" xfId="5483" xr:uid="{00000000-0005-0000-0000-0000A50C0000}"/>
    <cellStyle name="Currency 5 3 2 2 4 3 2" xfId="13912" xr:uid="{59E29E96-E3A1-4A10-8F11-9596C2CD9B10}"/>
    <cellStyle name="Currency 5 3 2 2 4 4" xfId="9694" xr:uid="{35660F51-99BA-4732-898B-245326139EE6}"/>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A18E0373-9CA7-4B9B-B323-AE07C2D1578E}"/>
    <cellStyle name="Currency 5 3 2 2 5 2 3" xfId="12252" xr:uid="{8210A4CF-A8DE-45A9-8CAD-068764E6E963}"/>
    <cellStyle name="Currency 5 3 2 2 5 3" xfId="5896" xr:uid="{00000000-0005-0000-0000-0000A90C0000}"/>
    <cellStyle name="Currency 5 3 2 2 5 3 2" xfId="14325" xr:uid="{3E6DDA6D-CC60-4FBE-900E-2DE4B9B6DB7A}"/>
    <cellStyle name="Currency 5 3 2 2 5 4" xfId="10107" xr:uid="{7FE8D459-35FE-4AC2-8D45-D2EC5F61B005}"/>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50E37A66-F4CF-4508-884C-8493B28776A4}"/>
    <cellStyle name="Currency 5 3 2 2 6 2 3" xfId="12665" xr:uid="{591C8596-DB1B-4916-9094-AA67C0E2D536}"/>
    <cellStyle name="Currency 5 3 2 2 6 3" xfId="6309" xr:uid="{00000000-0005-0000-0000-0000AD0C0000}"/>
    <cellStyle name="Currency 5 3 2 2 6 3 2" xfId="14738" xr:uid="{1378105F-932D-4DAB-87FA-F6E37FB86AF9}"/>
    <cellStyle name="Currency 5 3 2 2 6 4" xfId="10520" xr:uid="{49A1231A-60EB-45E1-9969-A523AD26BB2F}"/>
    <cellStyle name="Currency 5 3 2 2 7" xfId="2436" xr:uid="{00000000-0005-0000-0000-0000AE0C0000}"/>
    <cellStyle name="Currency 5 3 2 2 7 2" xfId="6722" xr:uid="{00000000-0005-0000-0000-0000AF0C0000}"/>
    <cellStyle name="Currency 5 3 2 2 7 2 2" xfId="15151" xr:uid="{00D327B8-E11F-4547-8799-CF25AC2C6E78}"/>
    <cellStyle name="Currency 5 3 2 2 7 3" xfId="10933" xr:uid="{F257BB96-8423-460E-82D1-5A303FD95D98}"/>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B8CD9A3A-14EE-4170-AE79-DBDE78F149C1}"/>
    <cellStyle name="Currency 5 3 2 2 9 3" xfId="11250" xr:uid="{A1670B4B-3027-44F4-9BAB-3B7D6A4C863B}"/>
    <cellStyle name="Currency 5 3 2 3" xfId="213" xr:uid="{00000000-0005-0000-0000-0000B30C0000}"/>
    <cellStyle name="Currency 5 3 2 3 10" xfId="8869" xr:uid="{67267C79-4DDF-47E1-BE69-92FF9C280D73}"/>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ACEEA197-741A-4874-A86D-FBCFFAFC135A}"/>
    <cellStyle name="Currency 5 3 2 3 2 2 3" xfId="11428" xr:uid="{7CB39C72-AD5A-4A1A-88A6-9F18E4421F94}"/>
    <cellStyle name="Currency 5 3 2 3 2 3" xfId="5072" xr:uid="{00000000-0005-0000-0000-0000B70C0000}"/>
    <cellStyle name="Currency 5 3 2 3 2 3 2" xfId="13501" xr:uid="{B9848692-7C7C-42CB-BF87-3FAAC63CFE81}"/>
    <cellStyle name="Currency 5 3 2 3 2 4" xfId="9283" xr:uid="{164068D2-A241-4626-87E4-48AA5C065499}"/>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19C124CA-335D-4239-A0F8-0174D0B9FA22}"/>
    <cellStyle name="Currency 5 3 2 3 3 2 3" xfId="11841" xr:uid="{71B8D80D-6454-41EB-B06D-504DCC76F798}"/>
    <cellStyle name="Currency 5 3 2 3 3 3" xfId="5485" xr:uid="{00000000-0005-0000-0000-0000BB0C0000}"/>
    <cellStyle name="Currency 5 3 2 3 3 3 2" xfId="13914" xr:uid="{CBD9AE0F-E252-452A-9B71-4F7A18DDCC38}"/>
    <cellStyle name="Currency 5 3 2 3 3 4" xfId="9696" xr:uid="{9C49F941-F4B2-45FB-8BB0-C712BFAB79D8}"/>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CB514909-C72A-4DF9-B27D-107099018AA5}"/>
    <cellStyle name="Currency 5 3 2 3 4 2 3" xfId="12254" xr:uid="{BC6C85B0-D647-4A83-B1E2-4F168B2F51D5}"/>
    <cellStyle name="Currency 5 3 2 3 4 3" xfId="5898" xr:uid="{00000000-0005-0000-0000-0000BF0C0000}"/>
    <cellStyle name="Currency 5 3 2 3 4 3 2" xfId="14327" xr:uid="{4CCC0CE5-F836-4FF1-9C4E-5D928FCC8C1B}"/>
    <cellStyle name="Currency 5 3 2 3 4 4" xfId="10109" xr:uid="{35714084-89E7-4432-A8D5-943F3E9E97DE}"/>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CCEE575E-7763-4FA6-B140-852DE8613BAF}"/>
    <cellStyle name="Currency 5 3 2 3 5 2 3" xfId="12667" xr:uid="{9D62D2C9-901A-4420-949A-7999C29DBAA0}"/>
    <cellStyle name="Currency 5 3 2 3 5 3" xfId="6311" xr:uid="{00000000-0005-0000-0000-0000C30C0000}"/>
    <cellStyle name="Currency 5 3 2 3 5 3 2" xfId="14740" xr:uid="{67B4A2CB-F928-48B9-976C-D03B33469C4A}"/>
    <cellStyle name="Currency 5 3 2 3 5 4" xfId="10522" xr:uid="{EAC68EB3-2C6A-401C-8B78-E0E596686785}"/>
    <cellStyle name="Currency 5 3 2 3 6" xfId="2438" xr:uid="{00000000-0005-0000-0000-0000C40C0000}"/>
    <cellStyle name="Currency 5 3 2 3 6 2" xfId="6724" xr:uid="{00000000-0005-0000-0000-0000C50C0000}"/>
    <cellStyle name="Currency 5 3 2 3 6 2 2" xfId="15153" xr:uid="{F2C20A66-13A3-4B67-9068-8BEBBFEF7851}"/>
    <cellStyle name="Currency 5 3 2 3 6 3" xfId="10935" xr:uid="{604DBD92-46D2-45B7-AA8A-CAEE04C25E2C}"/>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B0730C1B-BB37-4E38-9353-D872EA10ADA0}"/>
    <cellStyle name="Currency 5 3 2 3 8 3" xfId="11252" xr:uid="{03CCD889-C58A-4CA1-B114-A79B43A63653}"/>
    <cellStyle name="Currency 5 3 2 3 9" xfId="4658" xr:uid="{00000000-0005-0000-0000-0000C90C0000}"/>
    <cellStyle name="Currency 5 3 2 3 9 2" xfId="13087" xr:uid="{75F95C1A-703D-404F-8364-AE90AFCBFAC8}"/>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8CC1205E-80AF-437E-9299-DAA30FE40AEF}"/>
    <cellStyle name="Currency 5 3 2 4 2 3" xfId="11425" xr:uid="{484AD6B4-11A3-4D04-B082-ACE36BFF2F49}"/>
    <cellStyle name="Currency 5 3 2 4 3" xfId="5069" xr:uid="{00000000-0005-0000-0000-0000CD0C0000}"/>
    <cellStyle name="Currency 5 3 2 4 3 2" xfId="13498" xr:uid="{6B08BD0D-BDCA-4C39-90BB-CCBC6D66655A}"/>
    <cellStyle name="Currency 5 3 2 4 4" xfId="9280" xr:uid="{B702445F-262F-4483-A606-DF3B9A620489}"/>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C059005A-7794-42A2-BB42-36577FA76D9F}"/>
    <cellStyle name="Currency 5 3 2 5 2 3" xfId="11838" xr:uid="{8D5CB5F0-EADE-42B6-A645-5475D4B9C9BE}"/>
    <cellStyle name="Currency 5 3 2 5 3" xfId="5482" xr:uid="{00000000-0005-0000-0000-0000D10C0000}"/>
    <cellStyle name="Currency 5 3 2 5 3 2" xfId="13911" xr:uid="{10033F13-7A6D-41F2-9AD0-84C03AD10E3E}"/>
    <cellStyle name="Currency 5 3 2 5 4" xfId="9693" xr:uid="{7A988612-3848-4044-8251-7F7C965E405B}"/>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1272CF16-EA44-4B2A-9486-46774C86532E}"/>
    <cellStyle name="Currency 5 3 2 6 2 3" xfId="12251" xr:uid="{3FC5DD8C-3A68-4A12-BB1A-AB07DEC1A755}"/>
    <cellStyle name="Currency 5 3 2 6 3" xfId="5895" xr:uid="{00000000-0005-0000-0000-0000D50C0000}"/>
    <cellStyle name="Currency 5 3 2 6 3 2" xfId="14324" xr:uid="{73901852-AF38-43D5-8B14-089C25474DC6}"/>
    <cellStyle name="Currency 5 3 2 6 4" xfId="10106" xr:uid="{35C159EB-83D5-4323-B1CD-28889F646CD2}"/>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A89E84EC-5FDF-4743-A385-AA617BFE0D35}"/>
    <cellStyle name="Currency 5 3 2 7 2 3" xfId="12664" xr:uid="{6B9B576B-68FD-43A1-BA90-07CC69A9D678}"/>
    <cellStyle name="Currency 5 3 2 7 3" xfId="6308" xr:uid="{00000000-0005-0000-0000-0000D90C0000}"/>
    <cellStyle name="Currency 5 3 2 7 3 2" xfId="14737" xr:uid="{CB76C570-301A-4808-AFDA-2CCF601D0C2F}"/>
    <cellStyle name="Currency 5 3 2 7 4" xfId="10519" xr:uid="{8E4D321B-DFF3-4FA1-9BAF-A0F9CC944B40}"/>
    <cellStyle name="Currency 5 3 2 8" xfId="2435" xr:uid="{00000000-0005-0000-0000-0000DA0C0000}"/>
    <cellStyle name="Currency 5 3 2 8 2" xfId="6721" xr:uid="{00000000-0005-0000-0000-0000DB0C0000}"/>
    <cellStyle name="Currency 5 3 2 8 2 2" xfId="15150" xr:uid="{222EE763-318B-4A15-A02E-32218558D026}"/>
    <cellStyle name="Currency 5 3 2 8 3" xfId="10932" xr:uid="{223C83A7-FC31-41B5-B431-971796CE1CF1}"/>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3BEA5431-967E-43F8-BEA9-0068EECA3C63}"/>
    <cellStyle name="Currency 5 3 3 11" xfId="8870" xr:uid="{90E1A0AD-B844-4D79-9A99-F4A1DA8693A0}"/>
    <cellStyle name="Currency 5 3 3 2" xfId="215" xr:uid="{00000000-0005-0000-0000-0000DF0C0000}"/>
    <cellStyle name="Currency 5 3 3 2 10" xfId="8871" xr:uid="{56944F1E-3DFD-4596-85F3-EC89B24A14EB}"/>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C9500D29-0AAA-4E86-B08E-EB7ED4E71DAA}"/>
    <cellStyle name="Currency 5 3 3 2 2 2 3" xfId="11430" xr:uid="{DD17570C-D51A-44E1-96F7-A7B5770CAB51}"/>
    <cellStyle name="Currency 5 3 3 2 2 3" xfId="5074" xr:uid="{00000000-0005-0000-0000-0000E30C0000}"/>
    <cellStyle name="Currency 5 3 3 2 2 3 2" xfId="13503" xr:uid="{9979661A-9EC5-45C2-8D97-7C5358C73D24}"/>
    <cellStyle name="Currency 5 3 3 2 2 4" xfId="9285" xr:uid="{BD8FCCF1-D02E-4BB0-854F-0D02E3336BB8}"/>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8D664813-8325-49A2-87B1-BBB7FD3212BA}"/>
    <cellStyle name="Currency 5 3 3 2 3 2 3" xfId="11843" xr:uid="{09C4A097-8DD9-4F16-B07C-B2488CABF53D}"/>
    <cellStyle name="Currency 5 3 3 2 3 3" xfId="5487" xr:uid="{00000000-0005-0000-0000-0000E70C0000}"/>
    <cellStyle name="Currency 5 3 3 2 3 3 2" xfId="13916" xr:uid="{272675A9-337E-4A01-A756-88B5D15B87E0}"/>
    <cellStyle name="Currency 5 3 3 2 3 4" xfId="9698" xr:uid="{905BE0E5-717B-4310-962C-DD780C4A2552}"/>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F821517A-0EAE-4115-8026-2A5B83174E2F}"/>
    <cellStyle name="Currency 5 3 3 2 4 2 3" xfId="12256" xr:uid="{9AFB5579-51ED-4E20-88C6-26C0096D12AE}"/>
    <cellStyle name="Currency 5 3 3 2 4 3" xfId="5900" xr:uid="{00000000-0005-0000-0000-0000EB0C0000}"/>
    <cellStyle name="Currency 5 3 3 2 4 3 2" xfId="14329" xr:uid="{58F3E7DC-42EE-439A-A356-F292C7F62EF5}"/>
    <cellStyle name="Currency 5 3 3 2 4 4" xfId="10111" xr:uid="{C7C3FA3F-2DAA-4776-AD45-1C3CC89AA8E6}"/>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A2CA255C-171E-443A-BB13-665552FEBD29}"/>
    <cellStyle name="Currency 5 3 3 2 5 2 3" xfId="12669" xr:uid="{D3410E20-A446-46E8-8C05-CAD423C4EE39}"/>
    <cellStyle name="Currency 5 3 3 2 5 3" xfId="6313" xr:uid="{00000000-0005-0000-0000-0000EF0C0000}"/>
    <cellStyle name="Currency 5 3 3 2 5 3 2" xfId="14742" xr:uid="{5F20247D-CA1F-4794-BEDE-44DB5FDEA55B}"/>
    <cellStyle name="Currency 5 3 3 2 5 4" xfId="10524" xr:uid="{EB2C1F6B-092E-4C7A-9F49-4A1C0E03C4A7}"/>
    <cellStyle name="Currency 5 3 3 2 6" xfId="2440" xr:uid="{00000000-0005-0000-0000-0000F00C0000}"/>
    <cellStyle name="Currency 5 3 3 2 6 2" xfId="6726" xr:uid="{00000000-0005-0000-0000-0000F10C0000}"/>
    <cellStyle name="Currency 5 3 3 2 6 2 2" xfId="15155" xr:uid="{BC3580CB-C765-4ECF-B166-E93E377FB637}"/>
    <cellStyle name="Currency 5 3 3 2 6 3" xfId="10937" xr:uid="{CAE6B878-851F-4AAD-87C1-8193B365483E}"/>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424FB378-A71B-4605-8791-9129EBCF89BD}"/>
    <cellStyle name="Currency 5 3 3 2 8 3" xfId="11254" xr:uid="{F92294E7-8589-4C03-9CA0-266A81F9F927}"/>
    <cellStyle name="Currency 5 3 3 2 9" xfId="4660" xr:uid="{00000000-0005-0000-0000-0000F50C0000}"/>
    <cellStyle name="Currency 5 3 3 2 9 2" xfId="13089" xr:uid="{483752BD-D89A-419A-A5EA-C86AC90D9CE1}"/>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6C1E7828-4AB6-468B-8F82-E12A36B8F556}"/>
    <cellStyle name="Currency 5 3 3 3 2 3" xfId="11429" xr:uid="{EAA97170-92D6-453F-99F1-288694132876}"/>
    <cellStyle name="Currency 5 3 3 3 3" xfId="5073" xr:uid="{00000000-0005-0000-0000-0000F90C0000}"/>
    <cellStyle name="Currency 5 3 3 3 3 2" xfId="13502" xr:uid="{2C07C77C-14C7-4B1B-8C7C-D4C1F54CFC72}"/>
    <cellStyle name="Currency 5 3 3 3 4" xfId="9284" xr:uid="{C573A734-A29E-4163-8617-03CD95D7EF25}"/>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4A1FE5B3-364D-439C-A5CF-215C8A657D7C}"/>
    <cellStyle name="Currency 5 3 3 4 2 3" xfId="11842" xr:uid="{58518E0A-65CB-4E0A-AF79-F2DEFA2189E3}"/>
    <cellStyle name="Currency 5 3 3 4 3" xfId="5486" xr:uid="{00000000-0005-0000-0000-0000FD0C0000}"/>
    <cellStyle name="Currency 5 3 3 4 3 2" xfId="13915" xr:uid="{EE961F9B-F1A0-46D5-A3A6-7DC443651200}"/>
    <cellStyle name="Currency 5 3 3 4 4" xfId="9697" xr:uid="{8ADBB735-2529-47FC-878A-2C8B19AF0507}"/>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AAE8E092-863C-44E4-BDE8-D593DB9BA070}"/>
    <cellStyle name="Currency 5 3 3 5 2 3" xfId="12255" xr:uid="{0DC648FA-6582-4996-8D7A-5C8BC862EA78}"/>
    <cellStyle name="Currency 5 3 3 5 3" xfId="5899" xr:uid="{00000000-0005-0000-0000-0000010D0000}"/>
    <cellStyle name="Currency 5 3 3 5 3 2" xfId="14328" xr:uid="{788E7FDD-7302-4CAF-96C7-A32A6FC696DF}"/>
    <cellStyle name="Currency 5 3 3 5 4" xfId="10110" xr:uid="{FB6F18FF-515C-425C-B206-88C8CF0B7A9F}"/>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3A9D4A73-D4DB-4E02-AC70-C60BDD782AF2}"/>
    <cellStyle name="Currency 5 3 3 6 2 3" xfId="12668" xr:uid="{F1A87F5D-3109-4CCC-B253-2F7A2DA2060D}"/>
    <cellStyle name="Currency 5 3 3 6 3" xfId="6312" xr:uid="{00000000-0005-0000-0000-0000050D0000}"/>
    <cellStyle name="Currency 5 3 3 6 3 2" xfId="14741" xr:uid="{8F848849-289A-4B12-AFB3-43CB4F210D27}"/>
    <cellStyle name="Currency 5 3 3 6 4" xfId="10523" xr:uid="{0D47D126-D5F3-4F3E-834B-1BBFA81AEFDC}"/>
    <cellStyle name="Currency 5 3 3 7" xfId="2439" xr:uid="{00000000-0005-0000-0000-0000060D0000}"/>
    <cellStyle name="Currency 5 3 3 7 2" xfId="6725" xr:uid="{00000000-0005-0000-0000-0000070D0000}"/>
    <cellStyle name="Currency 5 3 3 7 2 2" xfId="15154" xr:uid="{F1C92D74-3318-407C-A0ED-568A30271C8A}"/>
    <cellStyle name="Currency 5 3 3 7 3" xfId="10936" xr:uid="{5C9B5937-5060-4FC1-BA58-F58169201946}"/>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BFEBA31E-E628-4D1D-B893-D26916CE9854}"/>
    <cellStyle name="Currency 5 3 3 9 3" xfId="11253" xr:uid="{20E2FA44-2A7A-4037-913B-9806523F96C8}"/>
    <cellStyle name="Currency 5 3 4" xfId="216" xr:uid="{00000000-0005-0000-0000-00000B0D0000}"/>
    <cellStyle name="Currency 5 3 4 10" xfId="8872" xr:uid="{09970B88-B475-45A4-BD38-419A447CD5D9}"/>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F407ED8B-B8E2-4FCA-87B8-3AB8FE32EA8B}"/>
    <cellStyle name="Currency 5 3 4 2 2 3" xfId="11431" xr:uid="{3D31EF6C-D1B1-4178-80E4-CC32C93C6B6C}"/>
    <cellStyle name="Currency 5 3 4 2 3" xfId="5075" xr:uid="{00000000-0005-0000-0000-00000F0D0000}"/>
    <cellStyle name="Currency 5 3 4 2 3 2" xfId="13504" xr:uid="{A0513385-33F3-4AE2-B35F-036F54BA13E4}"/>
    <cellStyle name="Currency 5 3 4 2 4" xfId="9286" xr:uid="{7BFB495E-6709-49A2-BF4B-1568FCEA6184}"/>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7FCC1F48-4817-4C8C-9A61-F18298BB9657}"/>
    <cellStyle name="Currency 5 3 4 3 2 3" xfId="11844" xr:uid="{B551286A-2D1E-4BEC-8353-2FCFC1528F8D}"/>
    <cellStyle name="Currency 5 3 4 3 3" xfId="5488" xr:uid="{00000000-0005-0000-0000-0000130D0000}"/>
    <cellStyle name="Currency 5 3 4 3 3 2" xfId="13917" xr:uid="{2E62337C-5AEE-4006-AEC4-D5163EF65261}"/>
    <cellStyle name="Currency 5 3 4 3 4" xfId="9699" xr:uid="{F3E4DC9F-F2A9-41F6-980A-771AF52823B1}"/>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F498C6C9-090C-421A-A051-DADD25E7BE75}"/>
    <cellStyle name="Currency 5 3 4 4 2 3" xfId="12257" xr:uid="{B1672064-E7F3-49C1-9A36-3AC549C7D2FD}"/>
    <cellStyle name="Currency 5 3 4 4 3" xfId="5901" xr:uid="{00000000-0005-0000-0000-0000170D0000}"/>
    <cellStyle name="Currency 5 3 4 4 3 2" xfId="14330" xr:uid="{F903ADF5-C910-446F-B8DC-610CC90C787F}"/>
    <cellStyle name="Currency 5 3 4 4 4" xfId="10112" xr:uid="{1F1F9F9D-CDD7-4C25-BFD1-E4B24E5E6260}"/>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0264A775-D8B4-43DC-9492-1B601B0327BA}"/>
    <cellStyle name="Currency 5 3 4 5 2 3" xfId="12670" xr:uid="{3DC00A05-55DE-41AC-A701-2F2DC705E309}"/>
    <cellStyle name="Currency 5 3 4 5 3" xfId="6314" xr:uid="{00000000-0005-0000-0000-00001B0D0000}"/>
    <cellStyle name="Currency 5 3 4 5 3 2" xfId="14743" xr:uid="{75DF25A0-3199-4005-8793-DA65361CC601}"/>
    <cellStyle name="Currency 5 3 4 5 4" xfId="10525" xr:uid="{523C4D4D-C0F4-4799-A79A-DFDB6ABFC816}"/>
    <cellStyle name="Currency 5 3 4 6" xfId="2441" xr:uid="{00000000-0005-0000-0000-00001C0D0000}"/>
    <cellStyle name="Currency 5 3 4 6 2" xfId="6727" xr:uid="{00000000-0005-0000-0000-00001D0D0000}"/>
    <cellStyle name="Currency 5 3 4 6 2 2" xfId="15156" xr:uid="{4FB509CA-0FAE-4686-BA00-B19FB73ADAE1}"/>
    <cellStyle name="Currency 5 3 4 6 3" xfId="10938" xr:uid="{78B94D27-B50F-4207-9BF8-530409DE1B47}"/>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964309B1-F6E3-45FB-92BA-DA75D7020186}"/>
    <cellStyle name="Currency 5 3 4 8 3" xfId="11255" xr:uid="{4B694A14-3257-48D4-BB29-4B81D26568E2}"/>
    <cellStyle name="Currency 5 3 4 9" xfId="4661" xr:uid="{00000000-0005-0000-0000-0000210D0000}"/>
    <cellStyle name="Currency 5 3 4 9 2" xfId="13090" xr:uid="{7853EBF1-0A19-4D72-9EE5-B357DE1F4D05}"/>
    <cellStyle name="Currency 5 3 5" xfId="217" xr:uid="{00000000-0005-0000-0000-0000220D0000}"/>
    <cellStyle name="Currency 5 3 5 10" xfId="8873" xr:uid="{0608A4BC-A20C-4E7A-94C8-90F082027CB8}"/>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D31AC4F7-3FBC-43D7-BCC6-2D8786CBCB06}"/>
    <cellStyle name="Currency 5 3 5 2 2 3" xfId="11432" xr:uid="{607A2C9B-4FDA-4050-8340-B9F78DB429BB}"/>
    <cellStyle name="Currency 5 3 5 2 3" xfId="5076" xr:uid="{00000000-0005-0000-0000-0000260D0000}"/>
    <cellStyle name="Currency 5 3 5 2 3 2" xfId="13505" xr:uid="{65172151-99F2-4559-90D3-55DC099EE022}"/>
    <cellStyle name="Currency 5 3 5 2 4" xfId="9287" xr:uid="{1F1D070D-806B-4ED5-95A9-46808B34CD59}"/>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5DCD266F-4619-43F8-AE17-DF80CD3D5266}"/>
    <cellStyle name="Currency 5 3 5 3 2 3" xfId="11845" xr:uid="{F8F18524-D2BC-40BB-BE53-19D5530E4F18}"/>
    <cellStyle name="Currency 5 3 5 3 3" xfId="5489" xr:uid="{00000000-0005-0000-0000-00002A0D0000}"/>
    <cellStyle name="Currency 5 3 5 3 3 2" xfId="13918" xr:uid="{CE0DED90-A899-40B9-8AC4-3C3472413F2B}"/>
    <cellStyle name="Currency 5 3 5 3 4" xfId="9700" xr:uid="{33B7BA36-1790-4138-AFA3-A05107C5457C}"/>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6014BD61-AEE7-4F76-B7B3-A1D86E134235}"/>
    <cellStyle name="Currency 5 3 5 4 2 3" xfId="12258" xr:uid="{855C8709-33B8-466C-AE95-394C66E1912C}"/>
    <cellStyle name="Currency 5 3 5 4 3" xfId="5902" xr:uid="{00000000-0005-0000-0000-00002E0D0000}"/>
    <cellStyle name="Currency 5 3 5 4 3 2" xfId="14331" xr:uid="{FC1B4F8D-96D8-46E1-BE50-64B366E26751}"/>
    <cellStyle name="Currency 5 3 5 4 4" xfId="10113" xr:uid="{D2783568-F36E-4A0C-A826-D041ADD8875B}"/>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6EC317F9-06D7-4753-95FA-FC4A8CD1D2B2}"/>
    <cellStyle name="Currency 5 3 5 5 2 3" xfId="12671" xr:uid="{E828FD70-C55F-4DD7-838C-8DB3CE1BD83D}"/>
    <cellStyle name="Currency 5 3 5 5 3" xfId="6315" xr:uid="{00000000-0005-0000-0000-0000320D0000}"/>
    <cellStyle name="Currency 5 3 5 5 3 2" xfId="14744" xr:uid="{46078542-8E75-4744-BCF7-92533908D936}"/>
    <cellStyle name="Currency 5 3 5 5 4" xfId="10526" xr:uid="{E45698DA-9C84-4D6C-8F01-F47E7426AC23}"/>
    <cellStyle name="Currency 5 3 5 6" xfId="2442" xr:uid="{00000000-0005-0000-0000-0000330D0000}"/>
    <cellStyle name="Currency 5 3 5 6 2" xfId="6728" xr:uid="{00000000-0005-0000-0000-0000340D0000}"/>
    <cellStyle name="Currency 5 3 5 6 2 2" xfId="15157" xr:uid="{85D737DA-9F7C-400D-B24C-0E7EA7EDB74C}"/>
    <cellStyle name="Currency 5 3 5 6 3" xfId="10939" xr:uid="{BA2C67BB-D571-4867-817F-705A83F93D87}"/>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FA69AC11-14EB-430E-B6DE-F2916653B16B}"/>
    <cellStyle name="Currency 5 3 5 8 3" xfId="11256" xr:uid="{535C8265-DB67-471F-B831-A74B4F1FDDF3}"/>
    <cellStyle name="Currency 5 3 5 9" xfId="4662" xr:uid="{00000000-0005-0000-0000-0000380D0000}"/>
    <cellStyle name="Currency 5 3 5 9 2" xfId="13091" xr:uid="{79C04F2C-D9B9-4BCE-9547-D4BCD3EFA169}"/>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1A5F63B4-0C9F-46D2-81C0-4A31CFB42327}"/>
    <cellStyle name="Currency 5 5 11" xfId="8874" xr:uid="{D4D13EA2-B14D-4DA1-93DB-85D4FEE3C3DF}"/>
    <cellStyle name="Currency 5 5 2" xfId="220" xr:uid="{00000000-0005-0000-0000-00003D0D0000}"/>
    <cellStyle name="Currency 5 5 2 10" xfId="8875" xr:uid="{A164D0EA-BB8C-4A28-865D-3F0BF3579DEA}"/>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7579422C-C32E-4829-BA11-6C69C7064C52}"/>
    <cellStyle name="Currency 5 5 2 2 2 3" xfId="11434" xr:uid="{2FE6B047-79DB-4238-B7C5-637C85C51328}"/>
    <cellStyle name="Currency 5 5 2 2 3" xfId="5078" xr:uid="{00000000-0005-0000-0000-0000410D0000}"/>
    <cellStyle name="Currency 5 5 2 2 3 2" xfId="13507" xr:uid="{ABB5E4E6-9840-4B07-B327-638B3E634E5C}"/>
    <cellStyle name="Currency 5 5 2 2 4" xfId="9289" xr:uid="{1026C3CC-7424-4DFE-B3F1-3CAA707D98A3}"/>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445C5EB1-998B-44A9-9B6A-30F16DB79D13}"/>
    <cellStyle name="Currency 5 5 2 3 2 3" xfId="11847" xr:uid="{66967B64-EF47-4984-8DF6-16C50D8E20B3}"/>
    <cellStyle name="Currency 5 5 2 3 3" xfId="5491" xr:uid="{00000000-0005-0000-0000-0000450D0000}"/>
    <cellStyle name="Currency 5 5 2 3 3 2" xfId="13920" xr:uid="{A10AFB9F-1DE3-46F5-B72B-FA4034C7C853}"/>
    <cellStyle name="Currency 5 5 2 3 4" xfId="9702" xr:uid="{BC2D7F32-5DC7-4791-ACB4-E18D2A0323F5}"/>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0D438B9D-15C5-40AE-A694-AD0F6D59A587}"/>
    <cellStyle name="Currency 5 5 2 4 2 3" xfId="12260" xr:uid="{94211B53-CED1-416D-9AA9-3652AF3FE052}"/>
    <cellStyle name="Currency 5 5 2 4 3" xfId="5904" xr:uid="{00000000-0005-0000-0000-0000490D0000}"/>
    <cellStyle name="Currency 5 5 2 4 3 2" xfId="14333" xr:uid="{D1B4592D-BD03-43B9-8CA6-1C5FC074CD0A}"/>
    <cellStyle name="Currency 5 5 2 4 4" xfId="10115" xr:uid="{BDC195CB-B725-450A-A747-5647FE5B2F2F}"/>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73B5D53E-C61F-468F-8040-53AA5609B644}"/>
    <cellStyle name="Currency 5 5 2 5 2 3" xfId="12673" xr:uid="{65645A03-F428-4AB8-B200-584DFC3C8E85}"/>
    <cellStyle name="Currency 5 5 2 5 3" xfId="6317" xr:uid="{00000000-0005-0000-0000-00004D0D0000}"/>
    <cellStyle name="Currency 5 5 2 5 3 2" xfId="14746" xr:uid="{25DCBAC8-1475-4F23-B0F7-746B33CB0EF5}"/>
    <cellStyle name="Currency 5 5 2 5 4" xfId="10528" xr:uid="{C4C07EF8-AA49-4E6E-BA28-DAAC10DF786C}"/>
    <cellStyle name="Currency 5 5 2 6" xfId="2444" xr:uid="{00000000-0005-0000-0000-00004E0D0000}"/>
    <cellStyle name="Currency 5 5 2 6 2" xfId="6730" xr:uid="{00000000-0005-0000-0000-00004F0D0000}"/>
    <cellStyle name="Currency 5 5 2 6 2 2" xfId="15159" xr:uid="{B5587D65-51B0-4866-8262-DDEE8FC173C6}"/>
    <cellStyle name="Currency 5 5 2 6 3" xfId="10941" xr:uid="{92C87A96-3B74-49B1-9823-DDBC67C93BB0}"/>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A9A9CA6A-6A81-4A41-8778-16E1D0D2A2FE}"/>
    <cellStyle name="Currency 5 5 2 8 3" xfId="11258" xr:uid="{6F8E8B76-C5D2-4818-92A2-7C66CD67EDC5}"/>
    <cellStyle name="Currency 5 5 2 9" xfId="4664" xr:uid="{00000000-0005-0000-0000-0000530D0000}"/>
    <cellStyle name="Currency 5 5 2 9 2" xfId="13093" xr:uid="{68539845-9C1F-48BB-9B62-6720659D032E}"/>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D16B326D-FF09-42B3-B149-4A2AE9A47989}"/>
    <cellStyle name="Currency 5 5 3 2 3" xfId="11433" xr:uid="{E3B068E9-5710-4E6F-A939-C10DEB6F275B}"/>
    <cellStyle name="Currency 5 5 3 3" xfId="5077" xr:uid="{00000000-0005-0000-0000-0000570D0000}"/>
    <cellStyle name="Currency 5 5 3 3 2" xfId="13506" xr:uid="{33C56679-C110-45E6-B3A9-70FA878E9368}"/>
    <cellStyle name="Currency 5 5 3 4" xfId="9288" xr:uid="{9BCDC688-939E-4990-B21D-A40BAC6B3CD3}"/>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72D3CB6D-553D-431F-AF94-603B77F2AB92}"/>
    <cellStyle name="Currency 5 5 4 2 3" xfId="11846" xr:uid="{7C791790-3DD0-42F5-AFF9-1E8E919A531F}"/>
    <cellStyle name="Currency 5 5 4 3" xfId="5490" xr:uid="{00000000-0005-0000-0000-00005B0D0000}"/>
    <cellStyle name="Currency 5 5 4 3 2" xfId="13919" xr:uid="{88D6448E-39C5-47F7-ACC0-8FA75C466769}"/>
    <cellStyle name="Currency 5 5 4 4" xfId="9701" xr:uid="{1513EF64-86A6-4AC9-B773-5770C85F461E}"/>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8EE08FB3-3F05-49A6-A90B-1319D3C578E9}"/>
    <cellStyle name="Currency 5 5 5 2 3" xfId="12259" xr:uid="{0427433C-4CF7-42B4-926B-09CBE2DBFCBF}"/>
    <cellStyle name="Currency 5 5 5 3" xfId="5903" xr:uid="{00000000-0005-0000-0000-00005F0D0000}"/>
    <cellStyle name="Currency 5 5 5 3 2" xfId="14332" xr:uid="{2558A800-1F57-4E47-A644-EFA3EAFDBD9A}"/>
    <cellStyle name="Currency 5 5 5 4" xfId="10114" xr:uid="{7CD94E17-3C4E-45A6-83F9-F4E38F4C9A90}"/>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39DD4CBF-3A75-41A7-A591-DF5F7D6D40CA}"/>
    <cellStyle name="Currency 5 5 6 2 3" xfId="12672" xr:uid="{719E2A5E-DD39-4DF1-A299-859A419BF841}"/>
    <cellStyle name="Currency 5 5 6 3" xfId="6316" xr:uid="{00000000-0005-0000-0000-0000630D0000}"/>
    <cellStyle name="Currency 5 5 6 3 2" xfId="14745" xr:uid="{69959DB3-8849-4F81-B07B-67D0A5A46741}"/>
    <cellStyle name="Currency 5 5 6 4" xfId="10527" xr:uid="{16D5E4F4-0D54-46F0-BC20-6413E749084F}"/>
    <cellStyle name="Currency 5 5 7" xfId="2443" xr:uid="{00000000-0005-0000-0000-0000640D0000}"/>
    <cellStyle name="Currency 5 5 7 2" xfId="6729" xr:uid="{00000000-0005-0000-0000-0000650D0000}"/>
    <cellStyle name="Currency 5 5 7 2 2" xfId="15158" xr:uid="{3EE39DD8-2093-495B-804B-516EAB26972F}"/>
    <cellStyle name="Currency 5 5 7 3" xfId="10940" xr:uid="{CAC489FD-AFA8-4722-8059-0A536610D93E}"/>
    <cellStyle name="Currency 5 5 8" xfId="2740" xr:uid="{00000000-0005-0000-0000-0000660D0000}"/>
    <cellStyle name="Currency 5 5 9" xfId="2821" xr:uid="{00000000-0005-0000-0000-0000670D0000}"/>
    <cellStyle name="Currency 5 5 9 2" xfId="7046" xr:uid="{00000000-0005-0000-0000-0000680D0000}"/>
    <cellStyle name="Currency 5 5 9 2 2" xfId="15475" xr:uid="{3A11BF9E-4219-4481-896D-D0D26E1A32A1}"/>
    <cellStyle name="Currency 5 5 9 3" xfId="11257" xr:uid="{651B5468-D67C-4B6D-A49B-5416778ADA6F}"/>
    <cellStyle name="Currency 5 6" xfId="221" xr:uid="{00000000-0005-0000-0000-0000690D0000}"/>
    <cellStyle name="Currency 5 6 10" xfId="8876" xr:uid="{BB07F368-7C5A-4275-A4E6-326C77AB6ECE}"/>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82B3EC16-31D4-48F1-9D2E-36255E898A10}"/>
    <cellStyle name="Currency 5 6 2 2 3" xfId="11435" xr:uid="{368D5CCE-2D85-4E3F-ABC1-C45865B2EFC8}"/>
    <cellStyle name="Currency 5 6 2 3" xfId="5079" xr:uid="{00000000-0005-0000-0000-00006D0D0000}"/>
    <cellStyle name="Currency 5 6 2 3 2" xfId="13508" xr:uid="{EED0BE26-6E08-44F1-AEC3-76651A84C6CB}"/>
    <cellStyle name="Currency 5 6 2 4" xfId="9290" xr:uid="{EB23E4F0-5372-44E2-8574-5C5C25550DB8}"/>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C1F3EF15-C0CB-4577-BC34-348D437C067F}"/>
    <cellStyle name="Currency 5 6 3 2 3" xfId="11848" xr:uid="{90629F97-EDB3-498E-8025-1E7069497280}"/>
    <cellStyle name="Currency 5 6 3 3" xfId="5492" xr:uid="{00000000-0005-0000-0000-0000710D0000}"/>
    <cellStyle name="Currency 5 6 3 3 2" xfId="13921" xr:uid="{62E1CD8E-8DC8-46ED-BB5A-CC0C2A9F54ED}"/>
    <cellStyle name="Currency 5 6 3 4" xfId="9703" xr:uid="{F7F73607-0A8E-4064-8B32-B43BF6DD92CB}"/>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9E9CE41C-99E7-4A20-91F8-FEA358CCE8E4}"/>
    <cellStyle name="Currency 5 6 4 2 3" xfId="12261" xr:uid="{25234C1A-EF6A-4BFA-B188-65E9C9C09EB4}"/>
    <cellStyle name="Currency 5 6 4 3" xfId="5905" xr:uid="{00000000-0005-0000-0000-0000750D0000}"/>
    <cellStyle name="Currency 5 6 4 3 2" xfId="14334" xr:uid="{16CD123B-B890-47FB-A3B5-2F13699146E5}"/>
    <cellStyle name="Currency 5 6 4 4" xfId="10116" xr:uid="{F43CC79A-1D57-4DC7-8D33-A26745C4CF96}"/>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93F547E4-8F6B-4D77-93B5-F7ACB6BB7F23}"/>
    <cellStyle name="Currency 5 6 5 2 3" xfId="12674" xr:uid="{F9B8AAD8-FF5E-441F-A020-041D69B65160}"/>
    <cellStyle name="Currency 5 6 5 3" xfId="6318" xr:uid="{00000000-0005-0000-0000-0000790D0000}"/>
    <cellStyle name="Currency 5 6 5 3 2" xfId="14747" xr:uid="{6E98536A-D1C9-494F-A01E-F21E87CB832E}"/>
    <cellStyle name="Currency 5 6 5 4" xfId="10529" xr:uid="{65A56022-1F78-4CD5-89FC-B6551A4F585D}"/>
    <cellStyle name="Currency 5 6 6" xfId="2445" xr:uid="{00000000-0005-0000-0000-00007A0D0000}"/>
    <cellStyle name="Currency 5 6 6 2" xfId="6731" xr:uid="{00000000-0005-0000-0000-00007B0D0000}"/>
    <cellStyle name="Currency 5 6 6 2 2" xfId="15160" xr:uid="{ED67D559-F6CB-442D-BD45-7B2EC2F5A589}"/>
    <cellStyle name="Currency 5 6 6 3" xfId="10942" xr:uid="{B2F4D59D-814E-4839-B1A3-BDF2BC6783A5}"/>
    <cellStyle name="Currency 5 6 7" xfId="2742" xr:uid="{00000000-0005-0000-0000-00007C0D0000}"/>
    <cellStyle name="Currency 5 6 8" xfId="2823" xr:uid="{00000000-0005-0000-0000-00007D0D0000}"/>
    <cellStyle name="Currency 5 6 8 2" xfId="7048" xr:uid="{00000000-0005-0000-0000-00007E0D0000}"/>
    <cellStyle name="Currency 5 6 8 2 2" xfId="15477" xr:uid="{A1DFB961-F2A6-44F0-9C23-B76A2D0E2CC0}"/>
    <cellStyle name="Currency 5 6 8 3" xfId="11259" xr:uid="{A488B546-C1C0-40D0-8E10-0D81E9CA35B9}"/>
    <cellStyle name="Currency 5 6 9" xfId="4665" xr:uid="{00000000-0005-0000-0000-00007F0D0000}"/>
    <cellStyle name="Currency 5 6 9 2" xfId="13094" xr:uid="{15E68634-6929-4C35-A345-513BBD7B30ED}"/>
    <cellStyle name="Currency 5 7" xfId="222" xr:uid="{00000000-0005-0000-0000-0000800D0000}"/>
    <cellStyle name="Currency 5 7 10" xfId="8877" xr:uid="{FA366050-07C1-4F5A-9453-DBB55C1684D0}"/>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D57D8637-E5DE-4D19-A034-1A8890117DDB}"/>
    <cellStyle name="Currency 5 7 2 2 3" xfId="11436" xr:uid="{EB2F1F1D-9C2E-43DB-8F8E-CA707A23B12C}"/>
    <cellStyle name="Currency 5 7 2 3" xfId="5080" xr:uid="{00000000-0005-0000-0000-0000840D0000}"/>
    <cellStyle name="Currency 5 7 2 3 2" xfId="13509" xr:uid="{2CFC70D1-5ACF-4FAA-BAF6-A48EC5C58CDF}"/>
    <cellStyle name="Currency 5 7 2 4" xfId="9291" xr:uid="{FB7494EE-FC20-4D1D-AB0C-2E13B7E368F0}"/>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FA21D445-B937-4634-8B91-BC33403A1DE0}"/>
    <cellStyle name="Currency 5 7 3 2 3" xfId="11849" xr:uid="{2C9F48CC-5525-4B9A-8631-E12DF3A9B962}"/>
    <cellStyle name="Currency 5 7 3 3" xfId="5493" xr:uid="{00000000-0005-0000-0000-0000880D0000}"/>
    <cellStyle name="Currency 5 7 3 3 2" xfId="13922" xr:uid="{D1DF7737-4637-4837-B7B4-7E78C0ACCEA9}"/>
    <cellStyle name="Currency 5 7 3 4" xfId="9704" xr:uid="{CD56B04A-C3A9-4B71-932E-B9FFA2A638FE}"/>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683D4214-2CF3-4091-94C5-9FCD27641396}"/>
    <cellStyle name="Currency 5 7 4 2 3" xfId="12262" xr:uid="{B151F0EF-1B07-4AE5-8560-5E53133E155B}"/>
    <cellStyle name="Currency 5 7 4 3" xfId="5906" xr:uid="{00000000-0005-0000-0000-00008C0D0000}"/>
    <cellStyle name="Currency 5 7 4 3 2" xfId="14335" xr:uid="{A188508E-019B-42E5-92C6-FC9C00F5FC5C}"/>
    <cellStyle name="Currency 5 7 4 4" xfId="10117" xr:uid="{FD1E21F4-2326-4661-B3B2-9CA616C23650}"/>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501BB634-CEDB-49C9-916A-B3E2452B4A0F}"/>
    <cellStyle name="Currency 5 7 5 2 3" xfId="12675" xr:uid="{314C8A8F-868A-4F6E-A54F-C2F763E31265}"/>
    <cellStyle name="Currency 5 7 5 3" xfId="6319" xr:uid="{00000000-0005-0000-0000-0000900D0000}"/>
    <cellStyle name="Currency 5 7 5 3 2" xfId="14748" xr:uid="{C5EF9010-D6BA-4DCE-B4AD-B0AB15FDFBD8}"/>
    <cellStyle name="Currency 5 7 5 4" xfId="10530" xr:uid="{0E515506-E19F-49EE-BFC3-C18C40E287A4}"/>
    <cellStyle name="Currency 5 7 6" xfId="2446" xr:uid="{00000000-0005-0000-0000-0000910D0000}"/>
    <cellStyle name="Currency 5 7 6 2" xfId="6732" xr:uid="{00000000-0005-0000-0000-0000920D0000}"/>
    <cellStyle name="Currency 5 7 6 2 2" xfId="15161" xr:uid="{CD45E4F0-51A3-46E7-8B66-82CC63E1604C}"/>
    <cellStyle name="Currency 5 7 6 3" xfId="10943" xr:uid="{BC17713A-E173-4365-8D5E-0CE66F2F512A}"/>
    <cellStyle name="Currency 5 7 7" xfId="2743" xr:uid="{00000000-0005-0000-0000-0000930D0000}"/>
    <cellStyle name="Currency 5 7 8" xfId="2824" xr:uid="{00000000-0005-0000-0000-0000940D0000}"/>
    <cellStyle name="Currency 5 7 8 2" xfId="7049" xr:uid="{00000000-0005-0000-0000-0000950D0000}"/>
    <cellStyle name="Currency 5 7 8 2 2" xfId="15478" xr:uid="{97FE0606-0A38-429F-A800-116709E308DE}"/>
    <cellStyle name="Currency 5 7 8 3" xfId="11260" xr:uid="{2CA4EA29-584E-43EC-826B-4177ABAEE00D}"/>
    <cellStyle name="Currency 5 7 9" xfId="4666" xr:uid="{00000000-0005-0000-0000-0000960D0000}"/>
    <cellStyle name="Currency 5 7 9 2" xfId="13095" xr:uid="{04EE18F4-B5C8-4D83-9CC2-5CD2A232C252}"/>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36216C40-7A6F-4197-B60A-560713DB6A95}"/>
    <cellStyle name="Normal 12 10 3" xfId="10944" xr:uid="{D9D1972B-32DE-4B7C-B9A2-F5869F576B93}"/>
    <cellStyle name="Normal 12 11" xfId="4667" xr:uid="{00000000-0005-0000-0000-0000CC0D0000}"/>
    <cellStyle name="Normal 12 11 2" xfId="13096" xr:uid="{AA71E753-AAD0-48A3-8B72-C7E56585CC61}"/>
    <cellStyle name="Normal 12 12" xfId="8878" xr:uid="{CD8304E7-44F1-4D1C-B080-A7B4828E3590}"/>
    <cellStyle name="Normal 12 2" xfId="260" xr:uid="{00000000-0005-0000-0000-0000CD0D0000}"/>
    <cellStyle name="Normal 12 2 10" xfId="8879" xr:uid="{DF4F2806-5E66-4A52-BADC-F6674BFAAE8C}"/>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5A860FB0-0CA3-42C5-9352-7A474B6A7845}"/>
    <cellStyle name="Normal 12 2 2 2 2 2 3" xfId="11440" xr:uid="{D7040174-881F-48CC-B2BB-697BA127A36E}"/>
    <cellStyle name="Normal 12 2 2 2 2 3" xfId="5084" xr:uid="{00000000-0005-0000-0000-0000D30D0000}"/>
    <cellStyle name="Normal 12 2 2 2 2 3 2" xfId="13513" xr:uid="{D628E02C-4131-4506-BCA4-DE66E3FE629A}"/>
    <cellStyle name="Normal 12 2 2 2 2 4" xfId="9295" xr:uid="{BC9C3AD2-925B-4D78-9187-4F1A7B3F3041}"/>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3FED851D-635C-49AF-8039-D773BA758602}"/>
    <cellStyle name="Normal 12 2 2 2 3 2 3" xfId="11853" xr:uid="{F6D43145-2D99-4C8D-BC85-B5C7488D5E8F}"/>
    <cellStyle name="Normal 12 2 2 2 3 3" xfId="5497" xr:uid="{00000000-0005-0000-0000-0000D70D0000}"/>
    <cellStyle name="Normal 12 2 2 2 3 3 2" xfId="13926" xr:uid="{41D65EC5-7EA4-43C1-B68D-97A55B5613B8}"/>
    <cellStyle name="Normal 12 2 2 2 3 4" xfId="9708" xr:uid="{2C474114-2A9B-408E-8731-A9082A1F2E2B}"/>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42F16537-1CA1-4A61-ADF4-912886D3F0C6}"/>
    <cellStyle name="Normal 12 2 2 2 4 2 3" xfId="12266" xr:uid="{E0C47525-9621-4794-8999-88C206A09119}"/>
    <cellStyle name="Normal 12 2 2 2 4 3" xfId="5910" xr:uid="{00000000-0005-0000-0000-0000DB0D0000}"/>
    <cellStyle name="Normal 12 2 2 2 4 3 2" xfId="14339" xr:uid="{C8D2785D-FE6B-4310-9D22-F47E10120500}"/>
    <cellStyle name="Normal 12 2 2 2 4 4" xfId="10121" xr:uid="{875A411E-9D13-41ED-86DA-84EB10305716}"/>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B9E352DB-3373-4695-9149-358B22543089}"/>
    <cellStyle name="Normal 12 2 2 2 5 2 3" xfId="12679" xr:uid="{B493809A-F5B7-48FB-8733-FA35AB3608F4}"/>
    <cellStyle name="Normal 12 2 2 2 5 3" xfId="6323" xr:uid="{00000000-0005-0000-0000-0000DF0D0000}"/>
    <cellStyle name="Normal 12 2 2 2 5 3 2" xfId="14752" xr:uid="{3E8D69B8-1103-4C19-8701-F22823F43D6C}"/>
    <cellStyle name="Normal 12 2 2 2 5 4" xfId="10534" xr:uid="{BEB0645C-7181-45F1-AA9C-A4675BCC2E07}"/>
    <cellStyle name="Normal 12 2 2 2 6" xfId="2451" xr:uid="{00000000-0005-0000-0000-0000E00D0000}"/>
    <cellStyle name="Normal 12 2 2 2 6 2" xfId="6736" xr:uid="{00000000-0005-0000-0000-0000E10D0000}"/>
    <cellStyle name="Normal 12 2 2 2 6 2 2" xfId="15165" xr:uid="{7F6E44AB-2E32-4766-BB0F-4157797D2CF5}"/>
    <cellStyle name="Normal 12 2 2 2 6 3" xfId="10947" xr:uid="{0AB94B8D-68C9-4525-9B16-583CCC2F6CC1}"/>
    <cellStyle name="Normal 12 2 2 2 7" xfId="4670" xr:uid="{00000000-0005-0000-0000-0000E20D0000}"/>
    <cellStyle name="Normal 12 2 2 2 7 2" xfId="13099" xr:uid="{23ADC774-7A70-4FA7-A87C-4DD5289BD2D8}"/>
    <cellStyle name="Normal 12 2 2 2 8" xfId="8881" xr:uid="{E698AC15-6F92-4C3E-900A-4B128A5DDDDE}"/>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4555E2BA-4A39-490D-B1FD-9BA8082F24A3}"/>
    <cellStyle name="Normal 12 2 2 3 2 3" xfId="11439" xr:uid="{084BBC38-DD24-4629-BE09-42DDA40C64FF}"/>
    <cellStyle name="Normal 12 2 2 3 3" xfId="5083" xr:uid="{00000000-0005-0000-0000-0000E60D0000}"/>
    <cellStyle name="Normal 12 2 2 3 3 2" xfId="13512" xr:uid="{BF60EE77-DAEA-45E1-92D1-02E1C6BCD0D3}"/>
    <cellStyle name="Normal 12 2 2 3 4" xfId="9294" xr:uid="{0A682EF2-37EF-41D3-989D-A57F33EA80B7}"/>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8BE90CB9-1CCB-4C18-8B1C-D47B21D10CC2}"/>
    <cellStyle name="Normal 12 2 2 4 2 3" xfId="11852" xr:uid="{6421336E-9781-4022-9912-C4D47247D591}"/>
    <cellStyle name="Normal 12 2 2 4 3" xfId="5496" xr:uid="{00000000-0005-0000-0000-0000EA0D0000}"/>
    <cellStyle name="Normal 12 2 2 4 3 2" xfId="13925" xr:uid="{6CE6E37D-A607-4DC4-A62A-6ABFE92F316F}"/>
    <cellStyle name="Normal 12 2 2 4 4" xfId="9707" xr:uid="{96B2EB25-396A-4485-A3A1-29EBE4E12083}"/>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8B5E8241-0E80-4145-B1D6-45957B31B112}"/>
    <cellStyle name="Normal 12 2 2 5 2 3" xfId="12265" xr:uid="{E2439F77-24C0-4A72-8529-661090EFDFA8}"/>
    <cellStyle name="Normal 12 2 2 5 3" xfId="5909" xr:uid="{00000000-0005-0000-0000-0000EE0D0000}"/>
    <cellStyle name="Normal 12 2 2 5 3 2" xfId="14338" xr:uid="{A845E9BE-9D71-4F20-9261-3C69435455B2}"/>
    <cellStyle name="Normal 12 2 2 5 4" xfId="10120" xr:uid="{A66B87F6-1F32-45D0-9FF8-EC6A146C5154}"/>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F9FAB174-3093-409D-B68E-D3D0786557B8}"/>
    <cellStyle name="Normal 12 2 2 6 2 3" xfId="12678" xr:uid="{C62BA023-7C6C-4472-ADD0-2BC210F44AEB}"/>
    <cellStyle name="Normal 12 2 2 6 3" xfId="6322" xr:uid="{00000000-0005-0000-0000-0000F20D0000}"/>
    <cellStyle name="Normal 12 2 2 6 3 2" xfId="14751" xr:uid="{2675BC37-C6ED-4012-B656-E09A2A559307}"/>
    <cellStyle name="Normal 12 2 2 6 4" xfId="10533" xr:uid="{BC8EF2E3-B942-4256-90CC-7485D38D2082}"/>
    <cellStyle name="Normal 12 2 2 7" xfId="2450" xr:uid="{00000000-0005-0000-0000-0000F30D0000}"/>
    <cellStyle name="Normal 12 2 2 7 2" xfId="6735" xr:uid="{00000000-0005-0000-0000-0000F40D0000}"/>
    <cellStyle name="Normal 12 2 2 7 2 2" xfId="15164" xr:uid="{5B520C02-2D6B-4CEE-9820-CE84BA076DC7}"/>
    <cellStyle name="Normal 12 2 2 7 3" xfId="10946" xr:uid="{9E3F10A5-753E-4FA7-B330-72EEC9B25388}"/>
    <cellStyle name="Normal 12 2 2 8" xfId="4669" xr:uid="{00000000-0005-0000-0000-0000F50D0000}"/>
    <cellStyle name="Normal 12 2 2 8 2" xfId="13098" xr:uid="{0FD6AF28-EC80-4E4E-8E4E-B10E2F5CD45C}"/>
    <cellStyle name="Normal 12 2 2 9" xfId="8880" xr:uid="{CE3ED712-0818-4CDA-AFD8-E8BD8BB24844}"/>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7594C93F-52FC-4777-BFA7-281EDBC44D55}"/>
    <cellStyle name="Normal 12 2 3 2 2 3" xfId="11441" xr:uid="{E7083152-3D29-41CC-B8EB-ED6CCF873919}"/>
    <cellStyle name="Normal 12 2 3 2 3" xfId="5085" xr:uid="{00000000-0005-0000-0000-0000FA0D0000}"/>
    <cellStyle name="Normal 12 2 3 2 3 2" xfId="13514" xr:uid="{32283CDA-CDE4-4889-89BF-EBA8D454D086}"/>
    <cellStyle name="Normal 12 2 3 2 4" xfId="9296" xr:uid="{38596B76-A24E-4B4E-BBB5-930C055D92C9}"/>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F19DB3AE-67B2-4963-ABD5-F9FDCC29FBAC}"/>
    <cellStyle name="Normal 12 2 3 3 2 3" xfId="11854" xr:uid="{EE3E7631-F4DE-4F00-9452-1A4B1A1E684E}"/>
    <cellStyle name="Normal 12 2 3 3 3" xfId="5498" xr:uid="{00000000-0005-0000-0000-0000FE0D0000}"/>
    <cellStyle name="Normal 12 2 3 3 3 2" xfId="13927" xr:uid="{58EE3160-F481-4047-93E5-62B91BCD1663}"/>
    <cellStyle name="Normal 12 2 3 3 4" xfId="9709" xr:uid="{929A0E05-69AE-4FC1-AE00-F2A5AABEBD19}"/>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80864D0D-E2CD-4A86-8ED1-AA8E3DB89C06}"/>
    <cellStyle name="Normal 12 2 3 4 2 3" xfId="12267" xr:uid="{C535AA4D-0475-4C07-A734-BE849EB0E619}"/>
    <cellStyle name="Normal 12 2 3 4 3" xfId="5911" xr:uid="{00000000-0005-0000-0000-0000020E0000}"/>
    <cellStyle name="Normal 12 2 3 4 3 2" xfId="14340" xr:uid="{78A49444-2411-493F-8285-A369A4EAD018}"/>
    <cellStyle name="Normal 12 2 3 4 4" xfId="10122" xr:uid="{3CA90619-1201-41DA-A1D5-394D62FF02A9}"/>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48EA2DB4-6CDA-4E90-B835-769BA990422E}"/>
    <cellStyle name="Normal 12 2 3 5 2 3" xfId="12680" xr:uid="{D3C60092-0EAB-4C8C-8808-515665BD8041}"/>
    <cellStyle name="Normal 12 2 3 5 3" xfId="6324" xr:uid="{00000000-0005-0000-0000-0000060E0000}"/>
    <cellStyle name="Normal 12 2 3 5 3 2" xfId="14753" xr:uid="{7289967F-08DA-4357-AE2B-A8661EFC34EF}"/>
    <cellStyle name="Normal 12 2 3 5 4" xfId="10535" xr:uid="{E6AD83B9-2EF4-419C-8385-E419E433D404}"/>
    <cellStyle name="Normal 12 2 3 6" xfId="2452" xr:uid="{00000000-0005-0000-0000-0000070E0000}"/>
    <cellStyle name="Normal 12 2 3 6 2" xfId="6737" xr:uid="{00000000-0005-0000-0000-0000080E0000}"/>
    <cellStyle name="Normal 12 2 3 6 2 2" xfId="15166" xr:uid="{2DE7A2FC-75C1-4946-864A-B03379491CF0}"/>
    <cellStyle name="Normal 12 2 3 6 3" xfId="10948" xr:uid="{85060FC3-9F97-49DA-BB7D-C1C2B62B2640}"/>
    <cellStyle name="Normal 12 2 3 7" xfId="4671" xr:uid="{00000000-0005-0000-0000-0000090E0000}"/>
    <cellStyle name="Normal 12 2 3 7 2" xfId="13100" xr:uid="{24743D33-8DE8-4DA4-BF2D-BFD5D79C454F}"/>
    <cellStyle name="Normal 12 2 3 8" xfId="8882" xr:uid="{1DD7AD0F-A05D-4657-8967-1E7B14134F5C}"/>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80EEF3AA-1D19-46FC-BC0B-59D764B6EC78}"/>
    <cellStyle name="Normal 12 2 4 2 3" xfId="11438" xr:uid="{4FE7EA39-D448-4A6C-9FFD-BA562416F836}"/>
    <cellStyle name="Normal 12 2 4 3" xfId="5082" xr:uid="{00000000-0005-0000-0000-00000D0E0000}"/>
    <cellStyle name="Normal 12 2 4 3 2" xfId="13511" xr:uid="{EA42DD85-4F80-4B8D-AA1D-880B96136C8A}"/>
    <cellStyle name="Normal 12 2 4 4" xfId="9293" xr:uid="{8494F9A8-2FE2-44DD-BB43-C443C9CF9DEB}"/>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B66D9B92-782D-48EE-B2BF-96AFD76265F6}"/>
    <cellStyle name="Normal 12 2 5 2 3" xfId="11851" xr:uid="{078D8452-AD54-4B6B-9E40-0ADC2AEF844C}"/>
    <cellStyle name="Normal 12 2 5 3" xfId="5495" xr:uid="{00000000-0005-0000-0000-0000110E0000}"/>
    <cellStyle name="Normal 12 2 5 3 2" xfId="13924" xr:uid="{C3FC1890-E8C5-42EB-A552-D66DA66B69CE}"/>
    <cellStyle name="Normal 12 2 5 4" xfId="9706" xr:uid="{7CEE13A9-057D-4F51-9414-953C55C11E46}"/>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BB996BC2-0FEC-4145-868B-232E498CDEC8}"/>
    <cellStyle name="Normal 12 2 6 2 3" xfId="12264" xr:uid="{34CED1A7-6A0A-402A-A16E-303E23D61B3B}"/>
    <cellStyle name="Normal 12 2 6 3" xfId="5908" xr:uid="{00000000-0005-0000-0000-0000150E0000}"/>
    <cellStyle name="Normal 12 2 6 3 2" xfId="14337" xr:uid="{66A7E037-E4FA-4814-BFA7-2FFA5A9DD66D}"/>
    <cellStyle name="Normal 12 2 6 4" xfId="10119" xr:uid="{246B888C-C328-49E8-98E9-6DF626BA7863}"/>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E9B01D4C-DCF5-48FD-9E6E-591456286A6F}"/>
    <cellStyle name="Normal 12 2 7 2 3" xfId="12677" xr:uid="{5C6B3439-953F-4739-84B1-49A0AE45AC9D}"/>
    <cellStyle name="Normal 12 2 7 3" xfId="6321" xr:uid="{00000000-0005-0000-0000-0000190E0000}"/>
    <cellStyle name="Normal 12 2 7 3 2" xfId="14750" xr:uid="{324AC78B-17DF-4E86-AC7D-F44E399A5C73}"/>
    <cellStyle name="Normal 12 2 7 4" xfId="10532" xr:uid="{3C84A92C-3F0A-440F-9798-345E5BBCDD1A}"/>
    <cellStyle name="Normal 12 2 8" xfId="2449" xr:uid="{00000000-0005-0000-0000-00001A0E0000}"/>
    <cellStyle name="Normal 12 2 8 2" xfId="6734" xr:uid="{00000000-0005-0000-0000-00001B0E0000}"/>
    <cellStyle name="Normal 12 2 8 2 2" xfId="15163" xr:uid="{1DF9072E-A0E1-46F0-A5FB-8409FB3A9FDA}"/>
    <cellStyle name="Normal 12 2 8 3" xfId="10945" xr:uid="{F88044F0-1E39-429C-A671-A61C0E764EDB}"/>
    <cellStyle name="Normal 12 2 9" xfId="4668" xr:uid="{00000000-0005-0000-0000-00001C0E0000}"/>
    <cellStyle name="Normal 12 2 9 2" xfId="13097" xr:uid="{2815B671-F8BA-495E-8456-69FE847E23DB}"/>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585E8F4A-CAA7-40DB-B3B8-459FC6B5CA16}"/>
    <cellStyle name="Normal 12 3 2 2 2 3" xfId="11443" xr:uid="{31D7D0B3-CF26-4B7D-AEA7-F6DA1421340D}"/>
    <cellStyle name="Normal 12 3 2 2 3" xfId="5087" xr:uid="{00000000-0005-0000-0000-0000220E0000}"/>
    <cellStyle name="Normal 12 3 2 2 3 2" xfId="13516" xr:uid="{F680088D-18C1-4F61-9B10-B4A22F7EC758}"/>
    <cellStyle name="Normal 12 3 2 2 4" xfId="9298" xr:uid="{34E0999F-713B-4BBA-B86D-D31290BDA0C8}"/>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272CE57A-B96C-457C-8740-D0B2627AEE22}"/>
    <cellStyle name="Normal 12 3 2 3 2 3" xfId="11856" xr:uid="{35D94175-C96E-411B-B25A-8324CFD8F75A}"/>
    <cellStyle name="Normal 12 3 2 3 3" xfId="5500" xr:uid="{00000000-0005-0000-0000-0000260E0000}"/>
    <cellStyle name="Normal 12 3 2 3 3 2" xfId="13929" xr:uid="{FEB81E10-5C34-48AD-B8F1-2838060824D9}"/>
    <cellStyle name="Normal 12 3 2 3 4" xfId="9711" xr:uid="{3E0B3FEC-A5B0-4D46-BC2F-1158187AA549}"/>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597EF702-3A65-4A91-A1A9-603FC25BA763}"/>
    <cellStyle name="Normal 12 3 2 4 2 3" xfId="12269" xr:uid="{1763C98C-EF48-4F9D-8455-3DEAC4366428}"/>
    <cellStyle name="Normal 12 3 2 4 3" xfId="5913" xr:uid="{00000000-0005-0000-0000-00002A0E0000}"/>
    <cellStyle name="Normal 12 3 2 4 3 2" xfId="14342" xr:uid="{00F378E5-E6E3-4188-8E80-D30514F8C406}"/>
    <cellStyle name="Normal 12 3 2 4 4" xfId="10124" xr:uid="{7605DA30-0683-4EDF-AB54-AD5259016147}"/>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8FAB86B8-0895-45E2-B160-0C8B8AD5E829}"/>
    <cellStyle name="Normal 12 3 2 5 2 3" xfId="12682" xr:uid="{C0276766-B30A-44A3-8492-283D36AEBC91}"/>
    <cellStyle name="Normal 12 3 2 5 3" xfId="6326" xr:uid="{00000000-0005-0000-0000-00002E0E0000}"/>
    <cellStyle name="Normal 12 3 2 5 3 2" xfId="14755" xr:uid="{F94C101C-A6A8-48F5-A74A-785C7D5D3BD6}"/>
    <cellStyle name="Normal 12 3 2 5 4" xfId="10537" xr:uid="{23E19517-C2F8-4553-B487-945747C72666}"/>
    <cellStyle name="Normal 12 3 2 6" xfId="2454" xr:uid="{00000000-0005-0000-0000-00002F0E0000}"/>
    <cellStyle name="Normal 12 3 2 6 2" xfId="6739" xr:uid="{00000000-0005-0000-0000-0000300E0000}"/>
    <cellStyle name="Normal 12 3 2 6 2 2" xfId="15168" xr:uid="{764D7C7C-2530-42A5-A2AE-D70EC50D39A6}"/>
    <cellStyle name="Normal 12 3 2 6 3" xfId="10950" xr:uid="{D58025D8-B327-4099-961F-3997586F21EF}"/>
    <cellStyle name="Normal 12 3 2 7" xfId="4673" xr:uid="{00000000-0005-0000-0000-0000310E0000}"/>
    <cellStyle name="Normal 12 3 2 7 2" xfId="13102" xr:uid="{47FC84F6-663A-443A-8FCF-C4F752B72245}"/>
    <cellStyle name="Normal 12 3 2 8" xfId="8884" xr:uid="{24D20CC3-1E73-4CF0-9DD7-0330E25ECCF2}"/>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03D04AEB-CB07-4FFA-ABB6-CA1923DB1EC4}"/>
    <cellStyle name="Normal 12 3 3 2 3" xfId="11442" xr:uid="{9EE999C3-476F-41A6-9811-E3736EDB83EF}"/>
    <cellStyle name="Normal 12 3 3 3" xfId="5086" xr:uid="{00000000-0005-0000-0000-0000350E0000}"/>
    <cellStyle name="Normal 12 3 3 3 2" xfId="13515" xr:uid="{13F741BA-824F-4BAA-B9B4-CD9469FC9C74}"/>
    <cellStyle name="Normal 12 3 3 4" xfId="9297" xr:uid="{40C267D7-9DE8-4F64-ACCE-00D11C294B11}"/>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18CF47E5-7435-4562-B8C2-28FB5724CF15}"/>
    <cellStyle name="Normal 12 3 4 2 3" xfId="11855" xr:uid="{650E6A31-9238-4715-9CA4-5118D4F5D2EC}"/>
    <cellStyle name="Normal 12 3 4 3" xfId="5499" xr:uid="{00000000-0005-0000-0000-0000390E0000}"/>
    <cellStyle name="Normal 12 3 4 3 2" xfId="13928" xr:uid="{F00BD6E9-0B36-4F75-A04A-C28A81057657}"/>
    <cellStyle name="Normal 12 3 4 4" xfId="9710" xr:uid="{DF4A8AF0-83B6-49C1-9FDC-D259A8CAA7B5}"/>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F131864A-17E5-439D-B4E7-B4042E13377C}"/>
    <cellStyle name="Normal 12 3 5 2 3" xfId="12268" xr:uid="{525529F5-7F91-4B7E-BB27-1896558C2210}"/>
    <cellStyle name="Normal 12 3 5 3" xfId="5912" xr:uid="{00000000-0005-0000-0000-00003D0E0000}"/>
    <cellStyle name="Normal 12 3 5 3 2" xfId="14341" xr:uid="{2902E84D-A355-4005-ACD3-3DCD9F5E0319}"/>
    <cellStyle name="Normal 12 3 5 4" xfId="10123" xr:uid="{6A19B552-9C7F-44D7-8AAF-ABFCCBB34FDF}"/>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6FAD6EDD-127C-4427-B035-D7E9331DA131}"/>
    <cellStyle name="Normal 12 3 6 2 3" xfId="12681" xr:uid="{AE952BB2-49D7-47EB-9B80-FF18A6578838}"/>
    <cellStyle name="Normal 12 3 6 3" xfId="6325" xr:uid="{00000000-0005-0000-0000-0000410E0000}"/>
    <cellStyle name="Normal 12 3 6 3 2" xfId="14754" xr:uid="{FDB982A2-05FD-44D9-A40A-A2497E2E9932}"/>
    <cellStyle name="Normal 12 3 6 4" xfId="10536" xr:uid="{60F690BE-E6B0-4522-B32A-5C2B934A2789}"/>
    <cellStyle name="Normal 12 3 7" xfId="2453" xr:uid="{00000000-0005-0000-0000-0000420E0000}"/>
    <cellStyle name="Normal 12 3 7 2" xfId="6738" xr:uid="{00000000-0005-0000-0000-0000430E0000}"/>
    <cellStyle name="Normal 12 3 7 2 2" xfId="15167" xr:uid="{A0EAC254-15F0-4733-8915-BE56FB6E9D16}"/>
    <cellStyle name="Normal 12 3 7 3" xfId="10949" xr:uid="{470A8FF5-2A98-4AB3-AB24-8200DEFEE8DB}"/>
    <cellStyle name="Normal 12 3 8" xfId="4672" xr:uid="{00000000-0005-0000-0000-0000440E0000}"/>
    <cellStyle name="Normal 12 3 8 2" xfId="13101" xr:uid="{02DA0C68-4BD4-4101-AE35-78B8564F9091}"/>
    <cellStyle name="Normal 12 3 9" xfId="8883" xr:uid="{1033A9C7-9F0C-42DA-B31A-5E47D05EAA03}"/>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875EC315-2679-4B79-A073-E3B5A28FFA89}"/>
    <cellStyle name="Normal 12 4 2 2 3" xfId="11444" xr:uid="{7258BC3F-EA06-457C-B453-BF82C820E051}"/>
    <cellStyle name="Normal 12 4 2 3" xfId="5088" xr:uid="{00000000-0005-0000-0000-0000490E0000}"/>
    <cellStyle name="Normal 12 4 2 3 2" xfId="13517" xr:uid="{8123FB08-43FF-40E8-9338-AC090DB7C7AC}"/>
    <cellStyle name="Normal 12 4 2 4" xfId="9299" xr:uid="{8E7ED77C-52C2-444E-A419-16D4FA4A6521}"/>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75D5B6B0-FB5C-4D2E-BC39-2E6ECFE7C039}"/>
    <cellStyle name="Normal 12 4 3 2 3" xfId="11857" xr:uid="{1D1AC563-9326-430D-A1A6-CA7B1CCDED06}"/>
    <cellStyle name="Normal 12 4 3 3" xfId="5501" xr:uid="{00000000-0005-0000-0000-00004D0E0000}"/>
    <cellStyle name="Normal 12 4 3 3 2" xfId="13930" xr:uid="{1274398F-CC45-4887-B72F-3DB793E3AF9B}"/>
    <cellStyle name="Normal 12 4 3 4" xfId="9712" xr:uid="{4167A936-6ECA-4020-B64E-A3A526A13EF7}"/>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AA64F94B-4B8B-46F1-AD20-86976D12AA7B}"/>
    <cellStyle name="Normal 12 4 4 2 3" xfId="12270" xr:uid="{B4429DBA-F567-4C4C-92D4-4D0EDF2D1A0B}"/>
    <cellStyle name="Normal 12 4 4 3" xfId="5914" xr:uid="{00000000-0005-0000-0000-0000510E0000}"/>
    <cellStyle name="Normal 12 4 4 3 2" xfId="14343" xr:uid="{EF182720-FC69-4173-B7D7-A2A7AE4C281E}"/>
    <cellStyle name="Normal 12 4 4 4" xfId="10125" xr:uid="{D5D309A6-D5F4-4157-8EC5-3AD5C06FDA1B}"/>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D0578E5E-24DC-45F6-9D6A-960C00FB0CC3}"/>
    <cellStyle name="Normal 12 4 5 2 3" xfId="12683" xr:uid="{0E423891-D429-46DB-AF4D-CF10D4F55BFD}"/>
    <cellStyle name="Normal 12 4 5 3" xfId="6327" xr:uid="{00000000-0005-0000-0000-0000550E0000}"/>
    <cellStyle name="Normal 12 4 5 3 2" xfId="14756" xr:uid="{70A8BA3A-7A5B-4D21-815D-E04A34FF2DE5}"/>
    <cellStyle name="Normal 12 4 5 4" xfId="10538" xr:uid="{259260CD-C030-48F2-B525-CDFAD9067363}"/>
    <cellStyle name="Normal 12 4 6" xfId="2455" xr:uid="{00000000-0005-0000-0000-0000560E0000}"/>
    <cellStyle name="Normal 12 4 6 2" xfId="6740" xr:uid="{00000000-0005-0000-0000-0000570E0000}"/>
    <cellStyle name="Normal 12 4 6 2 2" xfId="15169" xr:uid="{C5507386-CD24-4108-92A6-A5A746797A4D}"/>
    <cellStyle name="Normal 12 4 6 3" xfId="10951" xr:uid="{C10DB408-0862-414A-924D-A831B4072AAE}"/>
    <cellStyle name="Normal 12 4 7" xfId="4674" xr:uid="{00000000-0005-0000-0000-0000580E0000}"/>
    <cellStyle name="Normal 12 4 7 2" xfId="13103" xr:uid="{810D4D7D-3A6A-42DA-B4EB-EF153DC9E362}"/>
    <cellStyle name="Normal 12 4 8" xfId="8885" xr:uid="{F784418A-5F6C-404A-820C-186E1667C0A1}"/>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90893F99-74C0-4E6D-BF28-E0FE08036650}"/>
    <cellStyle name="Normal 12 6 2 3" xfId="11437" xr:uid="{F1F7FE38-1045-4442-839F-09B23F2F9F9A}"/>
    <cellStyle name="Normal 12 6 3" xfId="5081" xr:uid="{00000000-0005-0000-0000-00005D0E0000}"/>
    <cellStyle name="Normal 12 6 3 2" xfId="13510" xr:uid="{2D2EE96A-3B27-48C3-BA5B-37A3F98AD63B}"/>
    <cellStyle name="Normal 12 6 4" xfId="9292" xr:uid="{54C48BD4-1FD5-4394-A33D-F4911B7A2116}"/>
    <cellStyle name="Normal 12 7" xfId="1184" xr:uid="{00000000-0005-0000-0000-00005E0E0000}"/>
    <cellStyle name="Normal 12 7 2" xfId="3415" xr:uid="{00000000-0005-0000-0000-00005F0E0000}"/>
    <cellStyle name="Normal 12 7 2 2" xfId="7639" xr:uid="{00000000-0005-0000-0000-0000600E0000}"/>
    <cellStyle name="Normal 12 7 2 2 2" xfId="16068" xr:uid="{00EA00BD-3C0E-422D-8612-BA2BE5616761}"/>
    <cellStyle name="Normal 12 7 2 3" xfId="11850" xr:uid="{E2B5263D-58B1-4166-94E9-97AE88D5D47E}"/>
    <cellStyle name="Normal 12 7 3" xfId="5494" xr:uid="{00000000-0005-0000-0000-0000610E0000}"/>
    <cellStyle name="Normal 12 7 3 2" xfId="13923" xr:uid="{59773B1F-BC74-440F-87DE-C7D3C2C6A180}"/>
    <cellStyle name="Normal 12 7 4" xfId="9705" xr:uid="{86B17411-9546-4CED-BCC2-373EA65CDA4B}"/>
    <cellStyle name="Normal 12 8" xfId="1598" xr:uid="{00000000-0005-0000-0000-0000620E0000}"/>
    <cellStyle name="Normal 12 8 2" xfId="3828" xr:uid="{00000000-0005-0000-0000-0000630E0000}"/>
    <cellStyle name="Normal 12 8 2 2" xfId="8052" xr:uid="{00000000-0005-0000-0000-0000640E0000}"/>
    <cellStyle name="Normal 12 8 2 2 2" xfId="16481" xr:uid="{202F23E7-4984-45EB-BDCF-2228DD71A59C}"/>
    <cellStyle name="Normal 12 8 2 3" xfId="12263" xr:uid="{80BC42CF-A06F-42EF-A281-E50BCB3FA732}"/>
    <cellStyle name="Normal 12 8 3" xfId="5907" xr:uid="{00000000-0005-0000-0000-0000650E0000}"/>
    <cellStyle name="Normal 12 8 3 2" xfId="14336" xr:uid="{85D0ED44-FB4A-4439-94A7-493EAF14A8E5}"/>
    <cellStyle name="Normal 12 8 4" xfId="10118" xr:uid="{31D032F4-4E5C-46D2-B30C-1B2F127A6E1C}"/>
    <cellStyle name="Normal 12 9" xfId="2012" xr:uid="{00000000-0005-0000-0000-0000660E0000}"/>
    <cellStyle name="Normal 12 9 2" xfId="4241" xr:uid="{00000000-0005-0000-0000-0000670E0000}"/>
    <cellStyle name="Normal 12 9 2 2" xfId="8465" xr:uid="{00000000-0005-0000-0000-0000680E0000}"/>
    <cellStyle name="Normal 12 9 2 2 2" xfId="16894" xr:uid="{D23B3293-2432-4004-8B1A-963B27221678}"/>
    <cellStyle name="Normal 12 9 2 3" xfId="12676" xr:uid="{AFEFD810-1BA6-4AE4-AB11-F2B2096824E4}"/>
    <cellStyle name="Normal 12 9 3" xfId="6320" xr:uid="{00000000-0005-0000-0000-0000690E0000}"/>
    <cellStyle name="Normal 12 9 3 2" xfId="14749" xr:uid="{83DECCB5-12D0-4703-9C6E-84A17C12E496}"/>
    <cellStyle name="Normal 12 9 4" xfId="10531" xr:uid="{5C1CE6EF-42D1-440D-91CA-A1A92BA261D6}"/>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23350D8C-5A92-4178-B60E-52FC74118462}"/>
    <cellStyle name="Normal 14 2 2 3" xfId="11445" xr:uid="{F1BE8063-E261-4A03-B595-DE1DDBC9D1A0}"/>
    <cellStyle name="Normal 14 2 3" xfId="5089" xr:uid="{00000000-0005-0000-0000-0000700E0000}"/>
    <cellStyle name="Normal 14 2 3 2" xfId="13518" xr:uid="{C4E836EF-9D73-41D9-91D7-3B72022B5945}"/>
    <cellStyle name="Normal 14 2 4" xfId="9300" xr:uid="{547DB917-D136-43C7-9F5B-C4B566B86B8D}"/>
    <cellStyle name="Normal 14 3" xfId="1192" xr:uid="{00000000-0005-0000-0000-0000710E0000}"/>
    <cellStyle name="Normal 14 3 2" xfId="3423" xr:uid="{00000000-0005-0000-0000-0000720E0000}"/>
    <cellStyle name="Normal 14 3 2 2" xfId="7647" xr:uid="{00000000-0005-0000-0000-0000730E0000}"/>
    <cellStyle name="Normal 14 3 2 2 2" xfId="16076" xr:uid="{782A09E8-5BDF-4BEE-8BD1-1B7FCD33DB8F}"/>
    <cellStyle name="Normal 14 3 2 3" xfId="11858" xr:uid="{F6E88C08-29D8-42DC-8B31-49206CD13D47}"/>
    <cellStyle name="Normal 14 3 3" xfId="5502" xr:uid="{00000000-0005-0000-0000-0000740E0000}"/>
    <cellStyle name="Normal 14 3 3 2" xfId="13931" xr:uid="{F0CCB258-F1AC-46AB-966A-183BD2B1B4A4}"/>
    <cellStyle name="Normal 14 3 4" xfId="9713" xr:uid="{550C95D7-4B06-4752-953A-D51D43EA3190}"/>
    <cellStyle name="Normal 14 4" xfId="1606" xr:uid="{00000000-0005-0000-0000-0000750E0000}"/>
    <cellStyle name="Normal 14 4 2" xfId="3836" xr:uid="{00000000-0005-0000-0000-0000760E0000}"/>
    <cellStyle name="Normal 14 4 2 2" xfId="8060" xr:uid="{00000000-0005-0000-0000-0000770E0000}"/>
    <cellStyle name="Normal 14 4 2 2 2" xfId="16489" xr:uid="{CA7BAAFC-C079-42C5-B8A1-F3D4264ED710}"/>
    <cellStyle name="Normal 14 4 2 3" xfId="12271" xr:uid="{186A03E1-FC4D-40F4-B298-83D677184DA5}"/>
    <cellStyle name="Normal 14 4 3" xfId="5915" xr:uid="{00000000-0005-0000-0000-0000780E0000}"/>
    <cellStyle name="Normal 14 4 3 2" xfId="14344" xr:uid="{DB0C339D-62D9-4AA2-8A43-3024FB233730}"/>
    <cellStyle name="Normal 14 4 4" xfId="10126" xr:uid="{184012AA-BCAA-470E-9745-20A2B466787D}"/>
    <cellStyle name="Normal 14 5" xfId="2020" xr:uid="{00000000-0005-0000-0000-0000790E0000}"/>
    <cellStyle name="Normal 14 5 2" xfId="4249" xr:uid="{00000000-0005-0000-0000-00007A0E0000}"/>
    <cellStyle name="Normal 14 5 2 2" xfId="8473" xr:uid="{00000000-0005-0000-0000-00007B0E0000}"/>
    <cellStyle name="Normal 14 5 2 2 2" xfId="16902" xr:uid="{77F0B939-D332-4067-9574-92A46F75E9A4}"/>
    <cellStyle name="Normal 14 5 2 3" xfId="12684" xr:uid="{E2A64472-AD40-41AD-8CE1-20C0FF3FECF3}"/>
    <cellStyle name="Normal 14 5 3" xfId="6328" xr:uid="{00000000-0005-0000-0000-00007C0E0000}"/>
    <cellStyle name="Normal 14 5 3 2" xfId="14757" xr:uid="{7476F850-33DE-49FB-87EE-4CFA6D3C3CEF}"/>
    <cellStyle name="Normal 14 5 4" xfId="10539" xr:uid="{545D1AFC-9F19-4DA6-B31B-7061C935FAD0}"/>
    <cellStyle name="Normal 14 6" xfId="2456" xr:uid="{00000000-0005-0000-0000-00007D0E0000}"/>
    <cellStyle name="Normal 14 6 2" xfId="6741" xr:uid="{00000000-0005-0000-0000-00007E0E0000}"/>
    <cellStyle name="Normal 14 6 2 2" xfId="15170" xr:uid="{995A1D08-49E3-4057-883E-153284C3217B}"/>
    <cellStyle name="Normal 14 6 3" xfId="10952" xr:uid="{9222B6C1-B343-4555-A162-E72AEA52467A}"/>
    <cellStyle name="Normal 14 7" xfId="4675" xr:uid="{00000000-0005-0000-0000-00007F0E0000}"/>
    <cellStyle name="Normal 14 7 2" xfId="13104" xr:uid="{BB8008A2-BE4C-46DF-824A-2E8C233214E6}"/>
    <cellStyle name="Normal 14 8" xfId="8886" xr:uid="{A9AF959B-BDC7-420A-B215-A5A7F40BBCE4}"/>
    <cellStyle name="Normal 15" xfId="4497" xr:uid="{00000000-0005-0000-0000-0000800E0000}"/>
    <cellStyle name="Normal 15 2" xfId="12930" xr:uid="{F5B428FD-D572-4C59-BE63-855C4673A583}"/>
    <cellStyle name="Normal 16" xfId="4501" xr:uid="{00000000-0005-0000-0000-0000810E0000}"/>
    <cellStyle name="Normal 16 2" xfId="12933" xr:uid="{A1707064-6327-4A88-8FE6-015621B1C739}"/>
    <cellStyle name="Normal 17" xfId="17147" xr:uid="{FA1D79F1-F733-4E40-AE45-F49BAED99D07}"/>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D847AD4B-EBF3-4189-8076-89669D90BF60}"/>
    <cellStyle name="Normal 2 4 2 10 2 3" xfId="12685" xr:uid="{47B29A0C-1C0E-4A1F-BD3E-DD16B0756075}"/>
    <cellStyle name="Normal 2 4 2 10 3" xfId="6329" xr:uid="{00000000-0005-0000-0000-0000900E0000}"/>
    <cellStyle name="Normal 2 4 2 10 3 2" xfId="14758" xr:uid="{18F45B5C-C67E-40DF-AE91-A347DF289F34}"/>
    <cellStyle name="Normal 2 4 2 10 4" xfId="10540" xr:uid="{20E3C49B-A97B-4BA5-8B63-A669B9C3DFDB}"/>
    <cellStyle name="Normal 2 4 2 11" xfId="2457" xr:uid="{00000000-0005-0000-0000-0000910E0000}"/>
    <cellStyle name="Normal 2 4 2 11 2" xfId="6742" xr:uid="{00000000-0005-0000-0000-0000920E0000}"/>
    <cellStyle name="Normal 2 4 2 11 2 2" xfId="15171" xr:uid="{808A6D5C-9D1A-4C10-B091-DA74E9C80656}"/>
    <cellStyle name="Normal 2 4 2 11 3" xfId="10953" xr:uid="{82B71BC7-D621-45E7-AEA3-26F4E30B0880}"/>
    <cellStyle name="Normal 2 4 2 12" xfId="4676" xr:uid="{00000000-0005-0000-0000-0000930E0000}"/>
    <cellStyle name="Normal 2 4 2 12 2" xfId="13105" xr:uid="{6432D509-95F1-4386-B22C-5C311D72484E}"/>
    <cellStyle name="Normal 2 4 2 13" xfId="8887" xr:uid="{3481F752-A231-4D59-975E-7479ACB81944}"/>
    <cellStyle name="Normal 2 4 2 2" xfId="280" xr:uid="{00000000-0005-0000-0000-0000940E0000}"/>
    <cellStyle name="Normal 2 4 2 3" xfId="281" xr:uid="{00000000-0005-0000-0000-0000950E0000}"/>
    <cellStyle name="Normal 2 4 2 3 10" xfId="4677" xr:uid="{00000000-0005-0000-0000-0000960E0000}"/>
    <cellStyle name="Normal 2 4 2 3 10 2" xfId="13106" xr:uid="{138E7C8B-0BE4-489E-AAA0-968A95FCF01C}"/>
    <cellStyle name="Normal 2 4 2 3 11" xfId="8888" xr:uid="{DDA52E06-615A-4D0E-8527-7DC01130C50A}"/>
    <cellStyle name="Normal 2 4 2 3 2" xfId="282" xr:uid="{00000000-0005-0000-0000-0000970E0000}"/>
    <cellStyle name="Normal 2 4 2 3 2 10" xfId="8889" xr:uid="{6D0A66C6-6967-42EB-9201-97058FADE271}"/>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890C6953-35ED-4BCF-B5D7-D4611841758D}"/>
    <cellStyle name="Normal 2 4 2 3 2 2 2 2 2 3" xfId="11450" xr:uid="{ED15A9DF-B65A-4C62-BDFF-7D1F20ADE31E}"/>
    <cellStyle name="Normal 2 4 2 3 2 2 2 2 3" xfId="5094" xr:uid="{00000000-0005-0000-0000-00009D0E0000}"/>
    <cellStyle name="Normal 2 4 2 3 2 2 2 2 3 2" xfId="13523" xr:uid="{34F3FDF8-60C6-4237-BCCB-8B2FEE4F16B1}"/>
    <cellStyle name="Normal 2 4 2 3 2 2 2 2 4" xfId="9305" xr:uid="{CA2B3AA1-B172-4047-896F-0F9DF79F507C}"/>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BEF7B17A-04FA-45AC-82FD-59C24F64CAE4}"/>
    <cellStyle name="Normal 2 4 2 3 2 2 2 3 2 3" xfId="11863" xr:uid="{7040DD8A-1981-4AF8-9CB1-C17C519DE1A9}"/>
    <cellStyle name="Normal 2 4 2 3 2 2 2 3 3" xfId="5507" xr:uid="{00000000-0005-0000-0000-0000A10E0000}"/>
    <cellStyle name="Normal 2 4 2 3 2 2 2 3 3 2" xfId="13936" xr:uid="{69718124-5C63-4B58-87EE-33A728E48156}"/>
    <cellStyle name="Normal 2 4 2 3 2 2 2 3 4" xfId="9718" xr:uid="{4DE1EF82-AC02-4F3B-9FDD-81CAF2321308}"/>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D5333336-B870-4418-BE8E-97049D32A1F1}"/>
    <cellStyle name="Normal 2 4 2 3 2 2 2 4 2 3" xfId="12276" xr:uid="{D4F298C1-990E-4996-806D-8082CC2BE8C6}"/>
    <cellStyle name="Normal 2 4 2 3 2 2 2 4 3" xfId="5920" xr:uid="{00000000-0005-0000-0000-0000A50E0000}"/>
    <cellStyle name="Normal 2 4 2 3 2 2 2 4 3 2" xfId="14349" xr:uid="{33DCDFB8-C063-4970-94A9-3ECD1AEB0D87}"/>
    <cellStyle name="Normal 2 4 2 3 2 2 2 4 4" xfId="10131" xr:uid="{2E838498-93EE-491D-AE13-1B815F412B5A}"/>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DFF2927F-A403-466B-81F7-6F63F047E3F5}"/>
    <cellStyle name="Normal 2 4 2 3 2 2 2 5 2 3" xfId="12689" xr:uid="{47ED7BA1-A8FE-408D-8964-FF146509FD35}"/>
    <cellStyle name="Normal 2 4 2 3 2 2 2 5 3" xfId="6333" xr:uid="{00000000-0005-0000-0000-0000A90E0000}"/>
    <cellStyle name="Normal 2 4 2 3 2 2 2 5 3 2" xfId="14762" xr:uid="{2481D766-07C6-42A4-B06E-D0A9FCDDECBB}"/>
    <cellStyle name="Normal 2 4 2 3 2 2 2 5 4" xfId="10544" xr:uid="{8AD70840-4112-4217-B444-412225B084D7}"/>
    <cellStyle name="Normal 2 4 2 3 2 2 2 6" xfId="2461" xr:uid="{00000000-0005-0000-0000-0000AA0E0000}"/>
    <cellStyle name="Normal 2 4 2 3 2 2 2 6 2" xfId="6746" xr:uid="{00000000-0005-0000-0000-0000AB0E0000}"/>
    <cellStyle name="Normal 2 4 2 3 2 2 2 6 2 2" xfId="15175" xr:uid="{F62A33BC-7610-48AF-9D54-D89C0EF6C416}"/>
    <cellStyle name="Normal 2 4 2 3 2 2 2 6 3" xfId="10957" xr:uid="{FFAC6BBE-E3D0-4BBC-977C-9A27AA88C5E0}"/>
    <cellStyle name="Normal 2 4 2 3 2 2 2 7" xfId="4680" xr:uid="{00000000-0005-0000-0000-0000AC0E0000}"/>
    <cellStyle name="Normal 2 4 2 3 2 2 2 7 2" xfId="13109" xr:uid="{3DB52223-02E8-447C-B479-45866AAAF733}"/>
    <cellStyle name="Normal 2 4 2 3 2 2 2 8" xfId="8891" xr:uid="{6E91683A-0CEA-4841-9625-7E0410539463}"/>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160059BB-9945-4648-AB49-A65D43F5F722}"/>
    <cellStyle name="Normal 2 4 2 3 2 2 3 2 3" xfId="11449" xr:uid="{3B2EBA62-81EA-47A2-8BB9-97E4090BFA9C}"/>
    <cellStyle name="Normal 2 4 2 3 2 2 3 3" xfId="5093" xr:uid="{00000000-0005-0000-0000-0000B00E0000}"/>
    <cellStyle name="Normal 2 4 2 3 2 2 3 3 2" xfId="13522" xr:uid="{66C501CA-8E51-4902-A7AC-3E46FA97A61C}"/>
    <cellStyle name="Normal 2 4 2 3 2 2 3 4" xfId="9304" xr:uid="{E281205C-24ED-4DF3-897B-C3A0981574C2}"/>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7D0AE037-19DC-40F5-BCE0-FDD1C5596D87}"/>
    <cellStyle name="Normal 2 4 2 3 2 2 4 2 3" xfId="11862" xr:uid="{4EE6CF71-DC62-45D2-8510-22C46D1B8AE5}"/>
    <cellStyle name="Normal 2 4 2 3 2 2 4 3" xfId="5506" xr:uid="{00000000-0005-0000-0000-0000B40E0000}"/>
    <cellStyle name="Normal 2 4 2 3 2 2 4 3 2" xfId="13935" xr:uid="{4E1E9D46-BD9F-40E3-814F-75A1343A4F67}"/>
    <cellStyle name="Normal 2 4 2 3 2 2 4 4" xfId="9717" xr:uid="{0DABE6D5-B3D9-4201-A2E3-99C5D16D42E6}"/>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8EEB063D-9410-475C-877D-30E8066B4BC6}"/>
    <cellStyle name="Normal 2 4 2 3 2 2 5 2 3" xfId="12275" xr:uid="{D9FD10AB-F67E-4744-8957-B3B9D75354D1}"/>
    <cellStyle name="Normal 2 4 2 3 2 2 5 3" xfId="5919" xr:uid="{00000000-0005-0000-0000-0000B80E0000}"/>
    <cellStyle name="Normal 2 4 2 3 2 2 5 3 2" xfId="14348" xr:uid="{7A2AF0AE-E66B-47EC-90F7-54FC9E7DC9A4}"/>
    <cellStyle name="Normal 2 4 2 3 2 2 5 4" xfId="10130" xr:uid="{7268C76E-D0B6-424C-B2CA-AF201D384415}"/>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F910E63D-2164-4973-AF3F-72872B723DB3}"/>
    <cellStyle name="Normal 2 4 2 3 2 2 6 2 3" xfId="12688" xr:uid="{F8BDABBF-B7A1-4DAF-99C6-C2B29476F02C}"/>
    <cellStyle name="Normal 2 4 2 3 2 2 6 3" xfId="6332" xr:uid="{00000000-0005-0000-0000-0000BC0E0000}"/>
    <cellStyle name="Normal 2 4 2 3 2 2 6 3 2" xfId="14761" xr:uid="{634FCB88-568B-4313-854A-05E4BBDB44C1}"/>
    <cellStyle name="Normal 2 4 2 3 2 2 6 4" xfId="10543" xr:uid="{4F4CF5FF-CEAB-4B51-AADE-68034D581350}"/>
    <cellStyle name="Normal 2 4 2 3 2 2 7" xfId="2460" xr:uid="{00000000-0005-0000-0000-0000BD0E0000}"/>
    <cellStyle name="Normal 2 4 2 3 2 2 7 2" xfId="6745" xr:uid="{00000000-0005-0000-0000-0000BE0E0000}"/>
    <cellStyle name="Normal 2 4 2 3 2 2 7 2 2" xfId="15174" xr:uid="{52BBFE78-C0BA-4BF5-AF60-F61ECD065C27}"/>
    <cellStyle name="Normal 2 4 2 3 2 2 7 3" xfId="10956" xr:uid="{B1356F1B-F0E1-46C8-94A4-0A2B01A16082}"/>
    <cellStyle name="Normal 2 4 2 3 2 2 8" xfId="4679" xr:uid="{00000000-0005-0000-0000-0000BF0E0000}"/>
    <cellStyle name="Normal 2 4 2 3 2 2 8 2" xfId="13108" xr:uid="{4D5EC841-8128-48B5-81E3-B9703241DD8E}"/>
    <cellStyle name="Normal 2 4 2 3 2 2 9" xfId="8890" xr:uid="{B25556C4-561A-4F78-94A8-F1F862451DD2}"/>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1A48EF11-8D38-4F6F-9D96-1382713FE5C9}"/>
    <cellStyle name="Normal 2 4 2 3 2 3 2 2 3" xfId="11451" xr:uid="{AC51AA4A-E266-435A-BF65-3492A8F4F9B2}"/>
    <cellStyle name="Normal 2 4 2 3 2 3 2 3" xfId="5095" xr:uid="{00000000-0005-0000-0000-0000C40E0000}"/>
    <cellStyle name="Normal 2 4 2 3 2 3 2 3 2" xfId="13524" xr:uid="{24937038-5433-49AC-AAD4-78C98D8C7247}"/>
    <cellStyle name="Normal 2 4 2 3 2 3 2 4" xfId="9306" xr:uid="{09882ACF-8573-4421-93D9-5E6D2CCBC88E}"/>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17787DCF-6448-4AD0-AC9E-F13626AA41CB}"/>
    <cellStyle name="Normal 2 4 2 3 2 3 3 2 3" xfId="11864" xr:uid="{F79AD442-9EFC-40AD-B87F-D96C15501DAE}"/>
    <cellStyle name="Normal 2 4 2 3 2 3 3 3" xfId="5508" xr:uid="{00000000-0005-0000-0000-0000C80E0000}"/>
    <cellStyle name="Normal 2 4 2 3 2 3 3 3 2" xfId="13937" xr:uid="{0BA9D65F-B1D6-468A-A0F1-FAEA82E51694}"/>
    <cellStyle name="Normal 2 4 2 3 2 3 3 4" xfId="9719" xr:uid="{8F13E23D-C2C3-4EDE-8FE7-E1FB27FA49B7}"/>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FBB269BB-29D0-4B81-86B0-B282F65E4732}"/>
    <cellStyle name="Normal 2 4 2 3 2 3 4 2 3" xfId="12277" xr:uid="{5D393947-7983-4C81-BF87-8B765EBED4FC}"/>
    <cellStyle name="Normal 2 4 2 3 2 3 4 3" xfId="5921" xr:uid="{00000000-0005-0000-0000-0000CC0E0000}"/>
    <cellStyle name="Normal 2 4 2 3 2 3 4 3 2" xfId="14350" xr:uid="{3ADD1B57-BD95-4ED6-9203-852904556D44}"/>
    <cellStyle name="Normal 2 4 2 3 2 3 4 4" xfId="10132" xr:uid="{3C23BAD4-EE49-4EE2-B2E4-85E8CF7148AC}"/>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17B09EED-948A-475A-8082-E0DDDF78A491}"/>
    <cellStyle name="Normal 2 4 2 3 2 3 5 2 3" xfId="12690" xr:uid="{BA33B91E-31A7-415E-BB7B-8A2171F32680}"/>
    <cellStyle name="Normal 2 4 2 3 2 3 5 3" xfId="6334" xr:uid="{00000000-0005-0000-0000-0000D00E0000}"/>
    <cellStyle name="Normal 2 4 2 3 2 3 5 3 2" xfId="14763" xr:uid="{9E7779FA-6D1B-4794-A607-2A60FF9330C3}"/>
    <cellStyle name="Normal 2 4 2 3 2 3 5 4" xfId="10545" xr:uid="{CCE6AECE-892C-4F39-A492-9ECB183F794A}"/>
    <cellStyle name="Normal 2 4 2 3 2 3 6" xfId="2462" xr:uid="{00000000-0005-0000-0000-0000D10E0000}"/>
    <cellStyle name="Normal 2 4 2 3 2 3 6 2" xfId="6747" xr:uid="{00000000-0005-0000-0000-0000D20E0000}"/>
    <cellStyle name="Normal 2 4 2 3 2 3 6 2 2" xfId="15176" xr:uid="{4970663C-0E9F-4498-8DF5-23E2EBD848B5}"/>
    <cellStyle name="Normal 2 4 2 3 2 3 6 3" xfId="10958" xr:uid="{25824E62-000B-43B0-B9BF-E81839C0ECE1}"/>
    <cellStyle name="Normal 2 4 2 3 2 3 7" xfId="4681" xr:uid="{00000000-0005-0000-0000-0000D30E0000}"/>
    <cellStyle name="Normal 2 4 2 3 2 3 7 2" xfId="13110" xr:uid="{59790005-0206-4CFC-86A2-702C66CCE8A6}"/>
    <cellStyle name="Normal 2 4 2 3 2 3 8" xfId="8892" xr:uid="{67B0088D-DBF0-4861-B3E0-FC7446F72236}"/>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2CD078A7-2C62-48DA-A597-0B9BC2E6C755}"/>
    <cellStyle name="Normal 2 4 2 3 2 4 2 3" xfId="11448" xr:uid="{DF457DC6-BAA8-4C5C-AC2C-9899E0A5C7A4}"/>
    <cellStyle name="Normal 2 4 2 3 2 4 3" xfId="5092" xr:uid="{00000000-0005-0000-0000-0000D70E0000}"/>
    <cellStyle name="Normal 2 4 2 3 2 4 3 2" xfId="13521" xr:uid="{DCBEBC5A-E062-475A-8F06-2596888353C9}"/>
    <cellStyle name="Normal 2 4 2 3 2 4 4" xfId="9303" xr:uid="{BA3FC67B-820E-4408-95EA-BF7534957FCE}"/>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BAB34D09-0214-414E-8938-F6AD11557608}"/>
    <cellStyle name="Normal 2 4 2 3 2 5 2 3" xfId="11861" xr:uid="{A5D1534D-F18A-453E-91F4-CD8B43B3830B}"/>
    <cellStyle name="Normal 2 4 2 3 2 5 3" xfId="5505" xr:uid="{00000000-0005-0000-0000-0000DB0E0000}"/>
    <cellStyle name="Normal 2 4 2 3 2 5 3 2" xfId="13934" xr:uid="{52E99388-B16E-4BD2-9C57-78017E39FEEA}"/>
    <cellStyle name="Normal 2 4 2 3 2 5 4" xfId="9716" xr:uid="{982E9473-189E-4AE2-97FC-DA91E42FC11E}"/>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95837BC0-FD7A-4AEB-B1BF-7E54C344F0D9}"/>
    <cellStyle name="Normal 2 4 2 3 2 6 2 3" xfId="12274" xr:uid="{6996BF05-9CCA-4C1F-8AB2-7851185A4D96}"/>
    <cellStyle name="Normal 2 4 2 3 2 6 3" xfId="5918" xr:uid="{00000000-0005-0000-0000-0000DF0E0000}"/>
    <cellStyle name="Normal 2 4 2 3 2 6 3 2" xfId="14347" xr:uid="{32D95CE5-5374-46E3-87C5-BA70EAA4CB10}"/>
    <cellStyle name="Normal 2 4 2 3 2 6 4" xfId="10129" xr:uid="{1F2EEA77-B8AE-44F6-9E63-5C28BCC0AF4B}"/>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B23E53D7-20AA-4136-A0AA-15780319140F}"/>
    <cellStyle name="Normal 2 4 2 3 2 7 2 3" xfId="12687" xr:uid="{64BD8914-54F9-4A03-AB49-C7D547AEE270}"/>
    <cellStyle name="Normal 2 4 2 3 2 7 3" xfId="6331" xr:uid="{00000000-0005-0000-0000-0000E30E0000}"/>
    <cellStyle name="Normal 2 4 2 3 2 7 3 2" xfId="14760" xr:uid="{9E330349-654E-4D23-A13D-6D71DEFAF1A1}"/>
    <cellStyle name="Normal 2 4 2 3 2 7 4" xfId="10542" xr:uid="{0F894198-5974-4E5E-B32C-8904D8B72F76}"/>
    <cellStyle name="Normal 2 4 2 3 2 8" xfId="2459" xr:uid="{00000000-0005-0000-0000-0000E40E0000}"/>
    <cellStyle name="Normal 2 4 2 3 2 8 2" xfId="6744" xr:uid="{00000000-0005-0000-0000-0000E50E0000}"/>
    <cellStyle name="Normal 2 4 2 3 2 8 2 2" xfId="15173" xr:uid="{86B94D87-BBAB-418D-89CB-5BECC704F2B2}"/>
    <cellStyle name="Normal 2 4 2 3 2 8 3" xfId="10955" xr:uid="{98C7270A-F931-45AE-9A31-62CA4580564D}"/>
    <cellStyle name="Normal 2 4 2 3 2 9" xfId="4678" xr:uid="{00000000-0005-0000-0000-0000E60E0000}"/>
    <cellStyle name="Normal 2 4 2 3 2 9 2" xfId="13107" xr:uid="{1F087782-7A7E-4C12-9238-17B76A6CF235}"/>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6E001191-2033-4225-B84A-0CE065992A2C}"/>
    <cellStyle name="Normal 2 4 2 3 3 2 2 2 3" xfId="11453" xr:uid="{510BC102-E2B3-4723-8D13-03DE61CE6C66}"/>
    <cellStyle name="Normal 2 4 2 3 3 2 2 3" xfId="5097" xr:uid="{00000000-0005-0000-0000-0000EC0E0000}"/>
    <cellStyle name="Normal 2 4 2 3 3 2 2 3 2" xfId="13526" xr:uid="{8B101984-659E-4A1D-ADE3-D491025C974F}"/>
    <cellStyle name="Normal 2 4 2 3 3 2 2 4" xfId="9308" xr:uid="{67B5BDF3-D1B3-4C17-84DD-BB5E6FCA9102}"/>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DC5FEF8A-CBA9-4032-804C-AB47EEA541BA}"/>
    <cellStyle name="Normal 2 4 2 3 3 2 3 2 3" xfId="11866" xr:uid="{2D48A494-E64D-4CA0-B2B3-D7E85ED0D201}"/>
    <cellStyle name="Normal 2 4 2 3 3 2 3 3" xfId="5510" xr:uid="{00000000-0005-0000-0000-0000F00E0000}"/>
    <cellStyle name="Normal 2 4 2 3 3 2 3 3 2" xfId="13939" xr:uid="{F67C02F1-228F-443F-9B39-52052CA66D51}"/>
    <cellStyle name="Normal 2 4 2 3 3 2 3 4" xfId="9721" xr:uid="{C57B41A4-C2B7-4F3E-8ACB-24E6AEB06DF9}"/>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40777779-118C-438B-88F0-3B8BCEC268D6}"/>
    <cellStyle name="Normal 2 4 2 3 3 2 4 2 3" xfId="12279" xr:uid="{1E72D631-5618-4143-9300-D451103F4E0E}"/>
    <cellStyle name="Normal 2 4 2 3 3 2 4 3" xfId="5923" xr:uid="{00000000-0005-0000-0000-0000F40E0000}"/>
    <cellStyle name="Normal 2 4 2 3 3 2 4 3 2" xfId="14352" xr:uid="{0032341F-1EFB-469D-AC74-996037A5435F}"/>
    <cellStyle name="Normal 2 4 2 3 3 2 4 4" xfId="10134" xr:uid="{BE6FA14C-2CBA-4882-88CF-1075481360DE}"/>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27018B6D-F065-4E3F-B668-F84F7FD1542D}"/>
    <cellStyle name="Normal 2 4 2 3 3 2 5 2 3" xfId="12692" xr:uid="{4743DCEB-1358-4AE7-AA82-894A5782BBF8}"/>
    <cellStyle name="Normal 2 4 2 3 3 2 5 3" xfId="6336" xr:uid="{00000000-0005-0000-0000-0000F80E0000}"/>
    <cellStyle name="Normal 2 4 2 3 3 2 5 3 2" xfId="14765" xr:uid="{4B41F2CF-0897-492C-BE71-65824E5FEF39}"/>
    <cellStyle name="Normal 2 4 2 3 3 2 5 4" xfId="10547" xr:uid="{93E46602-CB5F-4FBD-8AE5-94CA31668CC6}"/>
    <cellStyle name="Normal 2 4 2 3 3 2 6" xfId="2464" xr:uid="{00000000-0005-0000-0000-0000F90E0000}"/>
    <cellStyle name="Normal 2 4 2 3 3 2 6 2" xfId="6749" xr:uid="{00000000-0005-0000-0000-0000FA0E0000}"/>
    <cellStyle name="Normal 2 4 2 3 3 2 6 2 2" xfId="15178" xr:uid="{9CABCBFD-02BA-411F-A876-C6C5B0902A4A}"/>
    <cellStyle name="Normal 2 4 2 3 3 2 6 3" xfId="10960" xr:uid="{95F34B30-AA64-4922-9746-1E611748D19F}"/>
    <cellStyle name="Normal 2 4 2 3 3 2 7" xfId="4683" xr:uid="{00000000-0005-0000-0000-0000FB0E0000}"/>
    <cellStyle name="Normal 2 4 2 3 3 2 7 2" xfId="13112" xr:uid="{6D48E9A4-0C46-4A66-AE40-9BF20B358A3C}"/>
    <cellStyle name="Normal 2 4 2 3 3 2 8" xfId="8894" xr:uid="{E6080060-E30F-4674-92BE-362D42FBE62B}"/>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FD4768BE-8974-49D3-A4B9-0F164DCB4BCF}"/>
    <cellStyle name="Normal 2 4 2 3 3 3 2 3" xfId="11452" xr:uid="{DB8B9045-BC21-478A-8C9C-5FB89DAD0C18}"/>
    <cellStyle name="Normal 2 4 2 3 3 3 3" xfId="5096" xr:uid="{00000000-0005-0000-0000-0000FF0E0000}"/>
    <cellStyle name="Normal 2 4 2 3 3 3 3 2" xfId="13525" xr:uid="{3FDCDD33-281A-453D-9728-609E8F6D1083}"/>
    <cellStyle name="Normal 2 4 2 3 3 3 4" xfId="9307" xr:uid="{63B4B6F4-BD41-4296-862E-4EA097BBC9CB}"/>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1845F437-F31B-4501-B54F-13B30965C3BF}"/>
    <cellStyle name="Normal 2 4 2 3 3 4 2 3" xfId="11865" xr:uid="{16B6D248-206B-41A6-8427-59921A8AD255}"/>
    <cellStyle name="Normal 2 4 2 3 3 4 3" xfId="5509" xr:uid="{00000000-0005-0000-0000-0000030F0000}"/>
    <cellStyle name="Normal 2 4 2 3 3 4 3 2" xfId="13938" xr:uid="{7EC8C5AA-72CB-4940-81F6-0781CD2EE0BE}"/>
    <cellStyle name="Normal 2 4 2 3 3 4 4" xfId="9720" xr:uid="{1B673573-C37D-4E80-B6A8-AA195061A579}"/>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0C2053B1-CA7D-426A-B72E-0B28E45AA040}"/>
    <cellStyle name="Normal 2 4 2 3 3 5 2 3" xfId="12278" xr:uid="{2945C2AE-CFFC-4169-A0F1-A9EA818F0CA8}"/>
    <cellStyle name="Normal 2 4 2 3 3 5 3" xfId="5922" xr:uid="{00000000-0005-0000-0000-0000070F0000}"/>
    <cellStyle name="Normal 2 4 2 3 3 5 3 2" xfId="14351" xr:uid="{F1FB96C6-C9D1-48E0-8DA0-2B50462553FF}"/>
    <cellStyle name="Normal 2 4 2 3 3 5 4" xfId="10133" xr:uid="{AB15240B-1147-481D-9409-193E7F52B607}"/>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12F3A963-DA8A-4073-A896-67ABAEA62F2D}"/>
    <cellStyle name="Normal 2 4 2 3 3 6 2 3" xfId="12691" xr:uid="{4C4D5E69-B1B8-47A8-8B1D-8D60ADD1A0FC}"/>
    <cellStyle name="Normal 2 4 2 3 3 6 3" xfId="6335" xr:uid="{00000000-0005-0000-0000-00000B0F0000}"/>
    <cellStyle name="Normal 2 4 2 3 3 6 3 2" xfId="14764" xr:uid="{6364FCB9-0513-4772-9B90-B5A0D7E379FC}"/>
    <cellStyle name="Normal 2 4 2 3 3 6 4" xfId="10546" xr:uid="{A1F15F88-B05F-467E-ADD5-56C96C7DC130}"/>
    <cellStyle name="Normal 2 4 2 3 3 7" xfId="2463" xr:uid="{00000000-0005-0000-0000-00000C0F0000}"/>
    <cellStyle name="Normal 2 4 2 3 3 7 2" xfId="6748" xr:uid="{00000000-0005-0000-0000-00000D0F0000}"/>
    <cellStyle name="Normal 2 4 2 3 3 7 2 2" xfId="15177" xr:uid="{55A639E8-8FC5-43B3-B367-FACE8A9CBE09}"/>
    <cellStyle name="Normal 2 4 2 3 3 7 3" xfId="10959" xr:uid="{037D9D81-FB2D-4DC5-ABF2-34042E122368}"/>
    <cellStyle name="Normal 2 4 2 3 3 8" xfId="4682" xr:uid="{00000000-0005-0000-0000-00000E0F0000}"/>
    <cellStyle name="Normal 2 4 2 3 3 8 2" xfId="13111" xr:uid="{A26F9C8A-0D35-4434-85AD-5CC213EA36A7}"/>
    <cellStyle name="Normal 2 4 2 3 3 9" xfId="8893" xr:uid="{D404B79A-CC66-4B96-B655-345ABEBBDDED}"/>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DA0CA51B-167A-45C7-891A-0955F2933430}"/>
    <cellStyle name="Normal 2 4 2 3 4 2 2 3" xfId="11454" xr:uid="{76F4736F-5661-4914-B824-021922730557}"/>
    <cellStyle name="Normal 2 4 2 3 4 2 3" xfId="5098" xr:uid="{00000000-0005-0000-0000-0000130F0000}"/>
    <cellStyle name="Normal 2 4 2 3 4 2 3 2" xfId="13527" xr:uid="{6C086A6A-9AA3-4060-9BEF-4C25F5475414}"/>
    <cellStyle name="Normal 2 4 2 3 4 2 4" xfId="9309" xr:uid="{99E22642-85D2-4C03-861C-3B0F5EEDDC1E}"/>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8D286638-666F-4F3D-A8BD-DEB3D445A90A}"/>
    <cellStyle name="Normal 2 4 2 3 4 3 2 3" xfId="11867" xr:uid="{F31D6312-6488-4ECA-A4EF-A2E5C5FA66D7}"/>
    <cellStyle name="Normal 2 4 2 3 4 3 3" xfId="5511" xr:uid="{00000000-0005-0000-0000-0000170F0000}"/>
    <cellStyle name="Normal 2 4 2 3 4 3 3 2" xfId="13940" xr:uid="{F2A1D5A1-FE14-4CD6-8303-FACC741448A3}"/>
    <cellStyle name="Normal 2 4 2 3 4 3 4" xfId="9722" xr:uid="{E5E62E52-B28E-4E96-A68C-25AC46BD45EE}"/>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7B94CA81-1A75-4663-9D1F-2AF1985A5945}"/>
    <cellStyle name="Normal 2 4 2 3 4 4 2 3" xfId="12280" xr:uid="{01ACCCBB-7E6E-49C5-ABEF-4BC3858D3217}"/>
    <cellStyle name="Normal 2 4 2 3 4 4 3" xfId="5924" xr:uid="{00000000-0005-0000-0000-00001B0F0000}"/>
    <cellStyle name="Normal 2 4 2 3 4 4 3 2" xfId="14353" xr:uid="{ADEF3571-B5FD-4BF7-8C8F-ABF863C7FE71}"/>
    <cellStyle name="Normal 2 4 2 3 4 4 4" xfId="10135" xr:uid="{C3778F37-2599-4939-ABE9-91AF59C50EE4}"/>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152EAF3F-783B-4DED-9D63-ED597C5835A8}"/>
    <cellStyle name="Normal 2 4 2 3 4 5 2 3" xfId="12693" xr:uid="{A0B2D926-B16E-4E0C-AA71-55E7A84EFD5F}"/>
    <cellStyle name="Normal 2 4 2 3 4 5 3" xfId="6337" xr:uid="{00000000-0005-0000-0000-00001F0F0000}"/>
    <cellStyle name="Normal 2 4 2 3 4 5 3 2" xfId="14766" xr:uid="{B28BA255-CBB0-464A-B332-DFE4682404CE}"/>
    <cellStyle name="Normal 2 4 2 3 4 5 4" xfId="10548" xr:uid="{7F119643-636E-4E33-93F6-11B24EC42796}"/>
    <cellStyle name="Normal 2 4 2 3 4 6" xfId="2465" xr:uid="{00000000-0005-0000-0000-0000200F0000}"/>
    <cellStyle name="Normal 2 4 2 3 4 6 2" xfId="6750" xr:uid="{00000000-0005-0000-0000-0000210F0000}"/>
    <cellStyle name="Normal 2 4 2 3 4 6 2 2" xfId="15179" xr:uid="{A5B47ACF-D4C1-42E4-84F4-53F3F940BB11}"/>
    <cellStyle name="Normal 2 4 2 3 4 6 3" xfId="10961" xr:uid="{559F67EA-59D5-4D98-A5D7-BBFFA9A819A7}"/>
    <cellStyle name="Normal 2 4 2 3 4 7" xfId="4684" xr:uid="{00000000-0005-0000-0000-0000220F0000}"/>
    <cellStyle name="Normal 2 4 2 3 4 7 2" xfId="13113" xr:uid="{135BE09E-2999-4C5F-85A6-37144D62DC0E}"/>
    <cellStyle name="Normal 2 4 2 3 4 8" xfId="8895" xr:uid="{45D405A3-84E6-4371-9782-DC9D2BCDA415}"/>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5731448E-116B-4C7F-A7CA-CD4EBFF3E923}"/>
    <cellStyle name="Normal 2 4 2 3 5 2 3" xfId="11447" xr:uid="{A8F34DCF-DF65-43FF-BF20-FF50C9ECBA6D}"/>
    <cellStyle name="Normal 2 4 2 3 5 3" xfId="5091" xr:uid="{00000000-0005-0000-0000-0000260F0000}"/>
    <cellStyle name="Normal 2 4 2 3 5 3 2" xfId="13520" xr:uid="{2B5FEFEB-8F08-4D6C-BD59-0261FB8A006F}"/>
    <cellStyle name="Normal 2 4 2 3 5 4" xfId="9302" xr:uid="{2B8DDB0F-938D-4D45-AD52-ABC220C17D87}"/>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D76FEAEE-40B0-48B3-BF5B-BC9FDF2EF222}"/>
    <cellStyle name="Normal 2 4 2 3 6 2 3" xfId="11860" xr:uid="{A86BE4C1-15F6-4081-90BE-5A7F67A80E09}"/>
    <cellStyle name="Normal 2 4 2 3 6 3" xfId="5504" xr:uid="{00000000-0005-0000-0000-00002A0F0000}"/>
    <cellStyle name="Normal 2 4 2 3 6 3 2" xfId="13933" xr:uid="{F1247FE7-D0B6-4B80-9C0C-247A344EAA82}"/>
    <cellStyle name="Normal 2 4 2 3 6 4" xfId="9715" xr:uid="{94656F81-E8C2-4B09-BF57-4A2C9A1442A9}"/>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E82AF0F3-B557-4C05-811D-12D2B1499C6D}"/>
    <cellStyle name="Normal 2 4 2 3 7 2 3" xfId="12273" xr:uid="{AFA850AB-F685-4DB3-B56A-F1F61BB51792}"/>
    <cellStyle name="Normal 2 4 2 3 7 3" xfId="5917" xr:uid="{00000000-0005-0000-0000-00002E0F0000}"/>
    <cellStyle name="Normal 2 4 2 3 7 3 2" xfId="14346" xr:uid="{A2FBD261-BFB4-45C8-9C13-19D81EA0A6E4}"/>
    <cellStyle name="Normal 2 4 2 3 7 4" xfId="10128" xr:uid="{68A9A97F-9906-40DF-94BE-936EF22E5143}"/>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739ACCAB-CEF6-4F0C-BE33-E6FA838B88AB}"/>
    <cellStyle name="Normal 2 4 2 3 8 2 3" xfId="12686" xr:uid="{DDACC5FB-7DD0-40A7-A125-2CDAB49E2217}"/>
    <cellStyle name="Normal 2 4 2 3 8 3" xfId="6330" xr:uid="{00000000-0005-0000-0000-0000320F0000}"/>
    <cellStyle name="Normal 2 4 2 3 8 3 2" xfId="14759" xr:uid="{197C997F-3A36-4CB5-B77C-223ED659DADC}"/>
    <cellStyle name="Normal 2 4 2 3 8 4" xfId="10541" xr:uid="{2ED1503A-CBBA-4714-9322-F6B3D4593792}"/>
    <cellStyle name="Normal 2 4 2 3 9" xfId="2458" xr:uid="{00000000-0005-0000-0000-0000330F0000}"/>
    <cellStyle name="Normal 2 4 2 3 9 2" xfId="6743" xr:uid="{00000000-0005-0000-0000-0000340F0000}"/>
    <cellStyle name="Normal 2 4 2 3 9 2 2" xfId="15172" xr:uid="{4846944D-F9D7-4777-9B46-5C087669C27E}"/>
    <cellStyle name="Normal 2 4 2 3 9 3" xfId="10954" xr:uid="{DE6ABC8E-472C-4848-BF9D-AEF9C1D0236F}"/>
    <cellStyle name="Normal 2 4 2 4" xfId="289" xr:uid="{00000000-0005-0000-0000-0000350F0000}"/>
    <cellStyle name="Normal 2 4 2 4 10" xfId="8896" xr:uid="{C51244BF-B763-4720-B2EE-0AF2C26F8CC2}"/>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D7594E25-C9F3-44FF-B7B3-3DF3F8922324}"/>
    <cellStyle name="Normal 2 4 2 4 2 2 2 2 3" xfId="11457" xr:uid="{F1AB9B1E-4A9D-4216-8194-2C008699024A}"/>
    <cellStyle name="Normal 2 4 2 4 2 2 2 3" xfId="5101" xr:uid="{00000000-0005-0000-0000-00003B0F0000}"/>
    <cellStyle name="Normal 2 4 2 4 2 2 2 3 2" xfId="13530" xr:uid="{0DD79E8D-1975-4EC7-A8FE-FDA7652352D9}"/>
    <cellStyle name="Normal 2 4 2 4 2 2 2 4" xfId="9312" xr:uid="{3162501E-D8BE-402D-9DEC-615E40A09113}"/>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D0DE39EF-48DC-4351-9B75-03DA6F56FDA9}"/>
    <cellStyle name="Normal 2 4 2 4 2 2 3 2 3" xfId="11870" xr:uid="{B5EAAD64-7AEC-43FD-926A-CB7A3F86662E}"/>
    <cellStyle name="Normal 2 4 2 4 2 2 3 3" xfId="5514" xr:uid="{00000000-0005-0000-0000-00003F0F0000}"/>
    <cellStyle name="Normal 2 4 2 4 2 2 3 3 2" xfId="13943" xr:uid="{F476240A-73B2-4B94-8180-58CFBCEC3BEF}"/>
    <cellStyle name="Normal 2 4 2 4 2 2 3 4" xfId="9725" xr:uid="{2278B21C-8405-425E-B47F-D5E74CBCD3E9}"/>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FAC938E3-5A84-48AB-9917-3D1AFC3A8162}"/>
    <cellStyle name="Normal 2 4 2 4 2 2 4 2 3" xfId="12283" xr:uid="{9F09F51C-FF3D-4ED0-AC3F-4B119A8EC2C7}"/>
    <cellStyle name="Normal 2 4 2 4 2 2 4 3" xfId="5927" xr:uid="{00000000-0005-0000-0000-0000430F0000}"/>
    <cellStyle name="Normal 2 4 2 4 2 2 4 3 2" xfId="14356" xr:uid="{736C34A4-7225-4E13-93CD-CA057603337A}"/>
    <cellStyle name="Normal 2 4 2 4 2 2 4 4" xfId="10138" xr:uid="{F42F8314-3B5C-4237-AABC-CEB5B11DB8B5}"/>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E1592C14-2C73-4D7B-B270-E68E53C9D218}"/>
    <cellStyle name="Normal 2 4 2 4 2 2 5 2 3" xfId="12696" xr:uid="{E71A72AD-FA17-4FFD-8C00-6CA9FEAFD7F3}"/>
    <cellStyle name="Normal 2 4 2 4 2 2 5 3" xfId="6340" xr:uid="{00000000-0005-0000-0000-0000470F0000}"/>
    <cellStyle name="Normal 2 4 2 4 2 2 5 3 2" xfId="14769" xr:uid="{EBA97DA3-3C62-490A-A850-88AB8517083A}"/>
    <cellStyle name="Normal 2 4 2 4 2 2 5 4" xfId="10551" xr:uid="{8FB57565-758D-4A17-A7F1-609C51A315DB}"/>
    <cellStyle name="Normal 2 4 2 4 2 2 6" xfId="2468" xr:uid="{00000000-0005-0000-0000-0000480F0000}"/>
    <cellStyle name="Normal 2 4 2 4 2 2 6 2" xfId="6753" xr:uid="{00000000-0005-0000-0000-0000490F0000}"/>
    <cellStyle name="Normal 2 4 2 4 2 2 6 2 2" xfId="15182" xr:uid="{1EDBA336-414A-4A43-B1C7-14C07781AE86}"/>
    <cellStyle name="Normal 2 4 2 4 2 2 6 3" xfId="10964" xr:uid="{4A0A7B86-3A43-4C11-8B56-0C23DA9CDB0F}"/>
    <cellStyle name="Normal 2 4 2 4 2 2 7" xfId="4687" xr:uid="{00000000-0005-0000-0000-00004A0F0000}"/>
    <cellStyle name="Normal 2 4 2 4 2 2 7 2" xfId="13116" xr:uid="{44493504-3804-4D48-B7CC-0163FA22E4AE}"/>
    <cellStyle name="Normal 2 4 2 4 2 2 8" xfId="8898" xr:uid="{F0F7563D-498D-474B-B5F3-537304881F95}"/>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66CA7543-AC43-4CFD-83B6-8D45B9AF7954}"/>
    <cellStyle name="Normal 2 4 2 4 2 3 2 3" xfId="11456" xr:uid="{7FB3FFD9-F94A-495C-865C-E5ED761D2ED5}"/>
    <cellStyle name="Normal 2 4 2 4 2 3 3" xfId="5100" xr:uid="{00000000-0005-0000-0000-00004E0F0000}"/>
    <cellStyle name="Normal 2 4 2 4 2 3 3 2" xfId="13529" xr:uid="{F328407A-E399-43BD-91F9-A245ADD580C5}"/>
    <cellStyle name="Normal 2 4 2 4 2 3 4" xfId="9311" xr:uid="{57E0963E-364D-4577-9826-AA8FEECE9C29}"/>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AD151D40-67F2-4725-ABEF-4BF7E5CE18F9}"/>
    <cellStyle name="Normal 2 4 2 4 2 4 2 3" xfId="11869" xr:uid="{DCFFE796-90B5-451D-92BA-29C6FFFAFCC5}"/>
    <cellStyle name="Normal 2 4 2 4 2 4 3" xfId="5513" xr:uid="{00000000-0005-0000-0000-0000520F0000}"/>
    <cellStyle name="Normal 2 4 2 4 2 4 3 2" xfId="13942" xr:uid="{E577329C-8BE3-4CC5-B066-39EF365BF4C4}"/>
    <cellStyle name="Normal 2 4 2 4 2 4 4" xfId="9724" xr:uid="{888F286B-B40A-4057-BD8B-7C560D2963A2}"/>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60A27342-468A-432F-802E-43E5346697AC}"/>
    <cellStyle name="Normal 2 4 2 4 2 5 2 3" xfId="12282" xr:uid="{A1898875-0CB7-40A2-8BBD-22BBF515FE3F}"/>
    <cellStyle name="Normal 2 4 2 4 2 5 3" xfId="5926" xr:uid="{00000000-0005-0000-0000-0000560F0000}"/>
    <cellStyle name="Normal 2 4 2 4 2 5 3 2" xfId="14355" xr:uid="{0840F175-489B-49D3-881E-C0A98F18162C}"/>
    <cellStyle name="Normal 2 4 2 4 2 5 4" xfId="10137" xr:uid="{6FE9FA80-E36F-40D2-9BB8-783E6AF23E0B}"/>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73E1A907-5EF8-4C45-A32E-5657AD6D63A2}"/>
    <cellStyle name="Normal 2 4 2 4 2 6 2 3" xfId="12695" xr:uid="{5065CF38-746F-41E2-B8A0-828322D19E70}"/>
    <cellStyle name="Normal 2 4 2 4 2 6 3" xfId="6339" xr:uid="{00000000-0005-0000-0000-00005A0F0000}"/>
    <cellStyle name="Normal 2 4 2 4 2 6 3 2" xfId="14768" xr:uid="{E9C06BC5-65B0-4BCC-8D0A-E5DC07289332}"/>
    <cellStyle name="Normal 2 4 2 4 2 6 4" xfId="10550" xr:uid="{4635A9E6-D4A6-4BC5-B13B-D9B6DEB52252}"/>
    <cellStyle name="Normal 2 4 2 4 2 7" xfId="2467" xr:uid="{00000000-0005-0000-0000-00005B0F0000}"/>
    <cellStyle name="Normal 2 4 2 4 2 7 2" xfId="6752" xr:uid="{00000000-0005-0000-0000-00005C0F0000}"/>
    <cellStyle name="Normal 2 4 2 4 2 7 2 2" xfId="15181" xr:uid="{2A10AE8E-1A2F-4CC2-9975-DD57914A8C9B}"/>
    <cellStyle name="Normal 2 4 2 4 2 7 3" xfId="10963" xr:uid="{13E5A1DF-4CE4-404A-BA56-EAD83401CCBD}"/>
    <cellStyle name="Normal 2 4 2 4 2 8" xfId="4686" xr:uid="{00000000-0005-0000-0000-00005D0F0000}"/>
    <cellStyle name="Normal 2 4 2 4 2 8 2" xfId="13115" xr:uid="{4D08B38B-7B2E-440B-94A7-FC91CBB0FC26}"/>
    <cellStyle name="Normal 2 4 2 4 2 9" xfId="8897" xr:uid="{4860A694-6539-40DE-968A-DF4A93B0FA9C}"/>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8AE30180-96B7-4EDD-84CC-60E85A3F3E09}"/>
    <cellStyle name="Normal 2 4 2 4 3 2 2 3" xfId="11458" xr:uid="{7FF6D805-11E0-44C1-9D8E-285FBBEA2967}"/>
    <cellStyle name="Normal 2 4 2 4 3 2 3" xfId="5102" xr:uid="{00000000-0005-0000-0000-0000620F0000}"/>
    <cellStyle name="Normal 2 4 2 4 3 2 3 2" xfId="13531" xr:uid="{4A8A7190-3C92-46A7-9CF1-D1B5B688A7EA}"/>
    <cellStyle name="Normal 2 4 2 4 3 2 4" xfId="9313" xr:uid="{C40CCC43-CDD7-4DF6-BE06-4C532D4A613F}"/>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D2F54D3-550A-48A0-97D5-C186D669767F}"/>
    <cellStyle name="Normal 2 4 2 4 3 3 2 3" xfId="11871" xr:uid="{B6677475-5B93-473E-8186-43DF2249546F}"/>
    <cellStyle name="Normal 2 4 2 4 3 3 3" xfId="5515" xr:uid="{00000000-0005-0000-0000-0000660F0000}"/>
    <cellStyle name="Normal 2 4 2 4 3 3 3 2" xfId="13944" xr:uid="{7EDE2574-092F-451C-8772-894ECD86978F}"/>
    <cellStyle name="Normal 2 4 2 4 3 3 4" xfId="9726" xr:uid="{B19AA3E0-E72B-4FE6-ABD7-C4E2BC1E9FC6}"/>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9C5EBC3D-7D09-4E8B-B24C-91F3739BBC19}"/>
    <cellStyle name="Normal 2 4 2 4 3 4 2 3" xfId="12284" xr:uid="{864DBF2C-2447-4532-A10F-823FC38A6496}"/>
    <cellStyle name="Normal 2 4 2 4 3 4 3" xfId="5928" xr:uid="{00000000-0005-0000-0000-00006A0F0000}"/>
    <cellStyle name="Normal 2 4 2 4 3 4 3 2" xfId="14357" xr:uid="{144D60D4-FA19-4B7E-990E-BBA460C31C28}"/>
    <cellStyle name="Normal 2 4 2 4 3 4 4" xfId="10139" xr:uid="{730F536D-B474-4750-B2ED-C8866CA2238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3758B96A-C5B4-47B0-9D74-841AF04EA152}"/>
    <cellStyle name="Normal 2 4 2 4 3 5 2 3" xfId="12697" xr:uid="{7E77E906-01F4-4E0A-9C89-FDF6B4C5EDBE}"/>
    <cellStyle name="Normal 2 4 2 4 3 5 3" xfId="6341" xr:uid="{00000000-0005-0000-0000-00006E0F0000}"/>
    <cellStyle name="Normal 2 4 2 4 3 5 3 2" xfId="14770" xr:uid="{B1C488AC-9A65-4AB4-8C85-D7697D7AA7EA}"/>
    <cellStyle name="Normal 2 4 2 4 3 5 4" xfId="10552" xr:uid="{8D98208C-B64D-4D53-AA3C-96361364D19D}"/>
    <cellStyle name="Normal 2 4 2 4 3 6" xfId="2469" xr:uid="{00000000-0005-0000-0000-00006F0F0000}"/>
    <cellStyle name="Normal 2 4 2 4 3 6 2" xfId="6754" xr:uid="{00000000-0005-0000-0000-0000700F0000}"/>
    <cellStyle name="Normal 2 4 2 4 3 6 2 2" xfId="15183" xr:uid="{EF7021F9-3EE6-4419-BE5E-FD7D91D08A35}"/>
    <cellStyle name="Normal 2 4 2 4 3 6 3" xfId="10965" xr:uid="{7424819E-84B7-423F-A2F9-3A5E7238A1CD}"/>
    <cellStyle name="Normal 2 4 2 4 3 7" xfId="4688" xr:uid="{00000000-0005-0000-0000-0000710F0000}"/>
    <cellStyle name="Normal 2 4 2 4 3 7 2" xfId="13117" xr:uid="{81492FA1-6BA4-47A3-8CF3-D2851DEA5461}"/>
    <cellStyle name="Normal 2 4 2 4 3 8" xfId="8899" xr:uid="{DC688E66-2EE9-404D-A448-A1A8A45A6A3E}"/>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43D93C08-7CE5-4E57-A533-15ECEEC1B406}"/>
    <cellStyle name="Normal 2 4 2 4 4 2 3" xfId="11455" xr:uid="{BC246D41-DF64-405C-B0AB-9F0D3E358AEB}"/>
    <cellStyle name="Normal 2 4 2 4 4 3" xfId="5099" xr:uid="{00000000-0005-0000-0000-0000750F0000}"/>
    <cellStyle name="Normal 2 4 2 4 4 3 2" xfId="13528" xr:uid="{BAD16AA4-8B9B-449F-9F1C-D633CEC7389C}"/>
    <cellStyle name="Normal 2 4 2 4 4 4" xfId="9310" xr:uid="{9ABABBCD-1591-41A6-9221-B6C0BB8BDE5B}"/>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E15463E0-CF71-4855-9F5D-3947E3E7E20A}"/>
    <cellStyle name="Normal 2 4 2 4 5 2 3" xfId="11868" xr:uid="{20AFFD6B-0D3F-4858-A6BB-3AA5138641EA}"/>
    <cellStyle name="Normal 2 4 2 4 5 3" xfId="5512" xr:uid="{00000000-0005-0000-0000-0000790F0000}"/>
    <cellStyle name="Normal 2 4 2 4 5 3 2" xfId="13941" xr:uid="{31490F2C-0BB6-4267-A9BA-C89E7CF82B99}"/>
    <cellStyle name="Normal 2 4 2 4 5 4" xfId="9723" xr:uid="{98571174-21C6-4F1E-8DBB-AE555E4BACC5}"/>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112D3304-C1CA-4321-9895-C27EEAAC2A43}"/>
    <cellStyle name="Normal 2 4 2 4 6 2 3" xfId="12281" xr:uid="{BF0E7E7E-DF32-45AA-BF16-214CD55A6AAA}"/>
    <cellStyle name="Normal 2 4 2 4 6 3" xfId="5925" xr:uid="{00000000-0005-0000-0000-00007D0F0000}"/>
    <cellStyle name="Normal 2 4 2 4 6 3 2" xfId="14354" xr:uid="{30F8E15C-BA80-4A43-BABC-3221B165576E}"/>
    <cellStyle name="Normal 2 4 2 4 6 4" xfId="10136" xr:uid="{46B147DD-3342-4C41-A5BA-A94F6F665E81}"/>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0AC947D6-DFBA-4F50-88E7-E189C1A7C3A0}"/>
    <cellStyle name="Normal 2 4 2 4 7 2 3" xfId="12694" xr:uid="{EF0A0873-D274-4865-B571-C8E5512B0C4A}"/>
    <cellStyle name="Normal 2 4 2 4 7 3" xfId="6338" xr:uid="{00000000-0005-0000-0000-0000810F0000}"/>
    <cellStyle name="Normal 2 4 2 4 7 3 2" xfId="14767" xr:uid="{8239FC22-815B-4F01-8106-A522AB3EE9D7}"/>
    <cellStyle name="Normal 2 4 2 4 7 4" xfId="10549" xr:uid="{3CB4EAC4-67CF-4CEE-B90B-390636622F72}"/>
    <cellStyle name="Normal 2 4 2 4 8" xfId="2466" xr:uid="{00000000-0005-0000-0000-0000820F0000}"/>
    <cellStyle name="Normal 2 4 2 4 8 2" xfId="6751" xr:uid="{00000000-0005-0000-0000-0000830F0000}"/>
    <cellStyle name="Normal 2 4 2 4 8 2 2" xfId="15180" xr:uid="{D32C4618-8FD2-47D4-8D35-5A9B177B3F69}"/>
    <cellStyle name="Normal 2 4 2 4 8 3" xfId="10962" xr:uid="{53F1AD05-83B4-4382-9062-AFCD4C28F9B4}"/>
    <cellStyle name="Normal 2 4 2 4 9" xfId="4685" xr:uid="{00000000-0005-0000-0000-0000840F0000}"/>
    <cellStyle name="Normal 2 4 2 4 9 2" xfId="13114" xr:uid="{86036506-9B2F-4909-8FA8-73AD8A5E469A}"/>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CF5D9281-8B40-4CEB-96AA-92EFDE8F04D3}"/>
    <cellStyle name="Normal 2 4 2 5 2 2 2 3" xfId="11460" xr:uid="{B59E085B-E54A-46F3-A7C5-3468DF9ACE40}"/>
    <cellStyle name="Normal 2 4 2 5 2 2 3" xfId="5104" xr:uid="{00000000-0005-0000-0000-00008A0F0000}"/>
    <cellStyle name="Normal 2 4 2 5 2 2 3 2" xfId="13533" xr:uid="{7D5B8A25-229A-4734-8014-4991A5B2BA3B}"/>
    <cellStyle name="Normal 2 4 2 5 2 2 4" xfId="9315" xr:uid="{ED675F20-7EDB-4B8D-9A8B-042273614C57}"/>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F88064BC-1637-4CAF-BD8E-F178F6A0ABE0}"/>
    <cellStyle name="Normal 2 4 2 5 2 3 2 3" xfId="11873" xr:uid="{58074277-7EDD-4CA6-9879-A4B47C67437C}"/>
    <cellStyle name="Normal 2 4 2 5 2 3 3" xfId="5517" xr:uid="{00000000-0005-0000-0000-00008E0F0000}"/>
    <cellStyle name="Normal 2 4 2 5 2 3 3 2" xfId="13946" xr:uid="{07E9C483-7378-435D-9168-ABA1D13465FD}"/>
    <cellStyle name="Normal 2 4 2 5 2 3 4" xfId="9728" xr:uid="{1FC76C34-89AA-4BAA-87F1-3A430FD2E9CF}"/>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A426AFB1-C014-4FBC-AA4D-219B6A3BFBC6}"/>
    <cellStyle name="Normal 2 4 2 5 2 4 2 3" xfId="12286" xr:uid="{C97BC7A9-46FF-41E0-A5E2-7AB8B20D1A4D}"/>
    <cellStyle name="Normal 2 4 2 5 2 4 3" xfId="5930" xr:uid="{00000000-0005-0000-0000-0000920F0000}"/>
    <cellStyle name="Normal 2 4 2 5 2 4 3 2" xfId="14359" xr:uid="{97D8E267-FB31-4F28-8538-492D74FBC3D2}"/>
    <cellStyle name="Normal 2 4 2 5 2 4 4" xfId="10141" xr:uid="{19D8B246-21B4-4C9D-9048-D8CB6BDFAB8E}"/>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F7B37997-D67F-4F39-9BBC-C694AD4FAA4F}"/>
    <cellStyle name="Normal 2 4 2 5 2 5 2 3" xfId="12699" xr:uid="{76C99FFC-65DA-4205-87B1-02261943473B}"/>
    <cellStyle name="Normal 2 4 2 5 2 5 3" xfId="6343" xr:uid="{00000000-0005-0000-0000-0000960F0000}"/>
    <cellStyle name="Normal 2 4 2 5 2 5 3 2" xfId="14772" xr:uid="{9612980B-4492-4BF5-9B01-B1FA26F289CD}"/>
    <cellStyle name="Normal 2 4 2 5 2 5 4" xfId="10554" xr:uid="{8BF4648F-FE92-437F-AF10-328B039FD730}"/>
    <cellStyle name="Normal 2 4 2 5 2 6" xfId="2471" xr:uid="{00000000-0005-0000-0000-0000970F0000}"/>
    <cellStyle name="Normal 2 4 2 5 2 6 2" xfId="6756" xr:uid="{00000000-0005-0000-0000-0000980F0000}"/>
    <cellStyle name="Normal 2 4 2 5 2 6 2 2" xfId="15185" xr:uid="{B2FDFD12-9106-478E-B786-7DAB22320D79}"/>
    <cellStyle name="Normal 2 4 2 5 2 6 3" xfId="10967" xr:uid="{05FAAD57-C4F3-4E14-ACFB-BE07C079F742}"/>
    <cellStyle name="Normal 2 4 2 5 2 7" xfId="4690" xr:uid="{00000000-0005-0000-0000-0000990F0000}"/>
    <cellStyle name="Normal 2 4 2 5 2 7 2" xfId="13119" xr:uid="{6780C89D-BCFE-4274-BBD6-C5AA0DC33A00}"/>
    <cellStyle name="Normal 2 4 2 5 2 8" xfId="8901" xr:uid="{D56FF168-D181-414D-8126-5BC2CB4406EE}"/>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088B3308-4308-496B-90E6-2BD231943B68}"/>
    <cellStyle name="Normal 2 4 2 5 3 2 3" xfId="11459" xr:uid="{30B80C07-205E-40A0-9144-0AD2CB14F0AB}"/>
    <cellStyle name="Normal 2 4 2 5 3 3" xfId="5103" xr:uid="{00000000-0005-0000-0000-00009D0F0000}"/>
    <cellStyle name="Normal 2 4 2 5 3 3 2" xfId="13532" xr:uid="{A34581DD-158D-4070-84E4-06A0A98BA2D1}"/>
    <cellStyle name="Normal 2 4 2 5 3 4" xfId="9314" xr:uid="{FC098319-5705-4F76-B996-024231F34C67}"/>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3FF2C06C-AECB-4689-81A7-5FC1520C3DFE}"/>
    <cellStyle name="Normal 2 4 2 5 4 2 3" xfId="11872" xr:uid="{B21C5730-8EB1-473D-BC1D-2F507738E3A8}"/>
    <cellStyle name="Normal 2 4 2 5 4 3" xfId="5516" xr:uid="{00000000-0005-0000-0000-0000A10F0000}"/>
    <cellStyle name="Normal 2 4 2 5 4 3 2" xfId="13945" xr:uid="{854C6E3E-E2E1-4AB8-B0B1-4C4BCAD8D965}"/>
    <cellStyle name="Normal 2 4 2 5 4 4" xfId="9727" xr:uid="{FA32BAF8-0E61-43AE-86A3-EFC66FE0AA22}"/>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2670D30B-9000-42B1-9185-7FBC4E4A1165}"/>
    <cellStyle name="Normal 2 4 2 5 5 2 3" xfId="12285" xr:uid="{869682C8-C044-41CE-A40B-4DE20E98029F}"/>
    <cellStyle name="Normal 2 4 2 5 5 3" xfId="5929" xr:uid="{00000000-0005-0000-0000-0000A50F0000}"/>
    <cellStyle name="Normal 2 4 2 5 5 3 2" xfId="14358" xr:uid="{2764D7B6-FABC-4B78-859A-422FDD3C7410}"/>
    <cellStyle name="Normal 2 4 2 5 5 4" xfId="10140" xr:uid="{1A74E5DF-E6B7-41CF-8CCB-50941C27D642}"/>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C50F10B4-7CE6-4A5C-9892-DA3F39C05419}"/>
    <cellStyle name="Normal 2 4 2 5 6 2 3" xfId="12698" xr:uid="{618031E2-A46C-4438-A46C-D3EB5AEF7F9C}"/>
    <cellStyle name="Normal 2 4 2 5 6 3" xfId="6342" xr:uid="{00000000-0005-0000-0000-0000A90F0000}"/>
    <cellStyle name="Normal 2 4 2 5 6 3 2" xfId="14771" xr:uid="{C63F2C3F-99D9-49C5-BBA9-5B6AF3C56829}"/>
    <cellStyle name="Normal 2 4 2 5 6 4" xfId="10553" xr:uid="{E6334E70-C3F8-4952-A338-6EFAA5DE76AA}"/>
    <cellStyle name="Normal 2 4 2 5 7" xfId="2470" xr:uid="{00000000-0005-0000-0000-0000AA0F0000}"/>
    <cellStyle name="Normal 2 4 2 5 7 2" xfId="6755" xr:uid="{00000000-0005-0000-0000-0000AB0F0000}"/>
    <cellStyle name="Normal 2 4 2 5 7 2 2" xfId="15184" xr:uid="{399A165D-AAF2-4341-86A9-4B5FE822DCD7}"/>
    <cellStyle name="Normal 2 4 2 5 7 3" xfId="10966" xr:uid="{EA146D94-CA9E-429B-A114-51A20840B02C}"/>
    <cellStyle name="Normal 2 4 2 5 8" xfId="4689" xr:uid="{00000000-0005-0000-0000-0000AC0F0000}"/>
    <cellStyle name="Normal 2 4 2 5 8 2" xfId="13118" xr:uid="{491968E3-9B8D-4E8B-A3FE-DDF0D7306983}"/>
    <cellStyle name="Normal 2 4 2 5 9" xfId="8900" xr:uid="{C5F46651-B409-46E0-AF65-52A15F7BAC93}"/>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86259DE6-B4FA-4EB9-9C70-C3056B2AD066}"/>
    <cellStyle name="Normal 2 4 2 6 2 2 3" xfId="11461" xr:uid="{217A3B9A-89A0-4607-BB16-D3CEEB617CE1}"/>
    <cellStyle name="Normal 2 4 2 6 2 3" xfId="5105" xr:uid="{00000000-0005-0000-0000-0000B10F0000}"/>
    <cellStyle name="Normal 2 4 2 6 2 3 2" xfId="13534" xr:uid="{BA5AE2CC-62F8-410B-9C6E-46314A0D6048}"/>
    <cellStyle name="Normal 2 4 2 6 2 4" xfId="9316" xr:uid="{A3C30A0D-539E-4B16-A73F-A4B4D0F8669B}"/>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92922D1E-0884-4C5D-AB49-8ED7A5F257B3}"/>
    <cellStyle name="Normal 2 4 2 6 3 2 3" xfId="11874" xr:uid="{764A5D33-C20C-4971-91E9-A0BFAFDC81EB}"/>
    <cellStyle name="Normal 2 4 2 6 3 3" xfId="5518" xr:uid="{00000000-0005-0000-0000-0000B50F0000}"/>
    <cellStyle name="Normal 2 4 2 6 3 3 2" xfId="13947" xr:uid="{CD489BD2-3384-4AF0-93F8-05BB761934E1}"/>
    <cellStyle name="Normal 2 4 2 6 3 4" xfId="9729" xr:uid="{4BC3FD7D-DBD8-4D81-8212-1FD0124B5B3A}"/>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DA556911-727B-4BBE-ACBB-E3B3DDAED5E0}"/>
    <cellStyle name="Normal 2 4 2 6 4 2 3" xfId="12287" xr:uid="{4680695E-F33A-4708-A7C0-91F69CBBB250}"/>
    <cellStyle name="Normal 2 4 2 6 4 3" xfId="5931" xr:uid="{00000000-0005-0000-0000-0000B90F0000}"/>
    <cellStyle name="Normal 2 4 2 6 4 3 2" xfId="14360" xr:uid="{379BCF2F-9F1E-4E51-939D-762963D57B49}"/>
    <cellStyle name="Normal 2 4 2 6 4 4" xfId="10142" xr:uid="{48ABF11D-7158-48F7-BDCF-9E47BD828688}"/>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61C40111-4D2A-4D81-AE17-1332820976E0}"/>
    <cellStyle name="Normal 2 4 2 6 5 2 3" xfId="12700" xr:uid="{52E56AEB-5F1F-4D7A-A2F3-6495CCA9FF16}"/>
    <cellStyle name="Normal 2 4 2 6 5 3" xfId="6344" xr:uid="{00000000-0005-0000-0000-0000BD0F0000}"/>
    <cellStyle name="Normal 2 4 2 6 5 3 2" xfId="14773" xr:uid="{C355D0FC-5BA3-493D-861D-34A8C87CCC9F}"/>
    <cellStyle name="Normal 2 4 2 6 5 4" xfId="10555" xr:uid="{92CD0B2E-D4AD-4825-AB20-9287A8F9DCD8}"/>
    <cellStyle name="Normal 2 4 2 6 6" xfId="2472" xr:uid="{00000000-0005-0000-0000-0000BE0F0000}"/>
    <cellStyle name="Normal 2 4 2 6 6 2" xfId="6757" xr:uid="{00000000-0005-0000-0000-0000BF0F0000}"/>
    <cellStyle name="Normal 2 4 2 6 6 2 2" xfId="15186" xr:uid="{6EB9736C-4298-4DB3-B8A1-615F29F47754}"/>
    <cellStyle name="Normal 2 4 2 6 6 3" xfId="10968" xr:uid="{E586F35F-3562-4981-A910-8A39CE247693}"/>
    <cellStyle name="Normal 2 4 2 6 7" xfId="4691" xr:uid="{00000000-0005-0000-0000-0000C00F0000}"/>
    <cellStyle name="Normal 2 4 2 6 7 2" xfId="13120" xr:uid="{84F75B29-B748-43E6-B0E9-A3294932E526}"/>
    <cellStyle name="Normal 2 4 2 6 8" xfId="8902" xr:uid="{05045013-4DFF-4B21-A8D0-A73C8195BA85}"/>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C15B90DD-CBC4-4DF6-B424-4C1491998269}"/>
    <cellStyle name="Normal 2 4 2 7 2 3" xfId="11446" xr:uid="{11A6B2BC-75B6-4A0B-AC30-EB9558C25331}"/>
    <cellStyle name="Normal 2 4 2 7 3" xfId="5090" xr:uid="{00000000-0005-0000-0000-0000C40F0000}"/>
    <cellStyle name="Normal 2 4 2 7 3 2" xfId="13519" xr:uid="{A753DAE4-F02D-4EC5-A22C-E77D804BD050}"/>
    <cellStyle name="Normal 2 4 2 7 4" xfId="9301" xr:uid="{096CED84-1292-4696-A302-4F70E54CFA97}"/>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54AB2D6A-5C49-442A-936A-A685813AED3B}"/>
    <cellStyle name="Normal 2 4 2 8 2 3" xfId="11859" xr:uid="{4AC9F883-BB16-41E4-B8A5-D675FD990022}"/>
    <cellStyle name="Normal 2 4 2 8 3" xfId="5503" xr:uid="{00000000-0005-0000-0000-0000C80F0000}"/>
    <cellStyle name="Normal 2 4 2 8 3 2" xfId="13932" xr:uid="{7BC988DB-3A42-4189-AA78-0B352F2A3F6C}"/>
    <cellStyle name="Normal 2 4 2 8 4" xfId="9714" xr:uid="{03BD0F97-E130-44A0-AA6F-2C3F84C1BD59}"/>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B9FD40E7-78CD-4E9F-89DB-3846EE6DBEC7}"/>
    <cellStyle name="Normal 2 4 2 9 2 3" xfId="12272" xr:uid="{83749776-1F9C-40F2-BFF3-994D8918DF2D}"/>
    <cellStyle name="Normal 2 4 2 9 3" xfId="5916" xr:uid="{00000000-0005-0000-0000-0000CC0F0000}"/>
    <cellStyle name="Normal 2 4 2 9 3 2" xfId="14345" xr:uid="{647FF732-0A00-4755-AE89-0E7A58C2AC80}"/>
    <cellStyle name="Normal 2 4 2 9 4" xfId="10127" xr:uid="{2B13BFAE-855B-4137-96DC-A80383556683}"/>
    <cellStyle name="Normal 2 4 3" xfId="296" xr:uid="{00000000-0005-0000-0000-0000CD0F0000}"/>
    <cellStyle name="Normal 2 4 3 10" xfId="8903" xr:uid="{EB9A345F-BA2B-4EE9-91FF-1A0F2D5F778E}"/>
    <cellStyle name="Normal 2 4 3 2" xfId="297" xr:uid="{00000000-0005-0000-0000-0000CE0F0000}"/>
    <cellStyle name="Normal 2 4 3 3" xfId="298" xr:uid="{00000000-0005-0000-0000-0000CF0F0000}"/>
    <cellStyle name="Normal 2 4 3 3 10" xfId="8904" xr:uid="{2226D51A-7FE6-4A69-8E60-B4F2B9FCE889}"/>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8448F8E3-846A-498B-AEF1-9D4354AC1646}"/>
    <cellStyle name="Normal 2 4 3 3 2 2 2 2 3" xfId="11465" xr:uid="{A87B0EC6-9E75-4F78-A977-24EBEA1B0304}"/>
    <cellStyle name="Normal 2 4 3 3 2 2 2 3" xfId="5109" xr:uid="{00000000-0005-0000-0000-0000D50F0000}"/>
    <cellStyle name="Normal 2 4 3 3 2 2 2 3 2" xfId="13538" xr:uid="{B2A21B44-8209-480C-B7E2-233E1437895A}"/>
    <cellStyle name="Normal 2 4 3 3 2 2 2 4" xfId="9320" xr:uid="{5ED9AB83-CD3E-49AB-B94C-AF3B5C83B2ED}"/>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0A1E64AF-27BF-403A-8403-97C1CD8B2750}"/>
    <cellStyle name="Normal 2 4 3 3 2 2 3 2 3" xfId="11878" xr:uid="{820F20E5-E812-4832-91D3-34BBA155F4E8}"/>
    <cellStyle name="Normal 2 4 3 3 2 2 3 3" xfId="5522" xr:uid="{00000000-0005-0000-0000-0000D90F0000}"/>
    <cellStyle name="Normal 2 4 3 3 2 2 3 3 2" xfId="13951" xr:uid="{0A239A44-A159-476A-A7ED-8667C598DB53}"/>
    <cellStyle name="Normal 2 4 3 3 2 2 3 4" xfId="9733" xr:uid="{2D8C340F-7EA4-4BE4-9EFF-AEA75C8A5C44}"/>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4ECFC061-7EFD-40CD-BD4F-7E197DF663AF}"/>
    <cellStyle name="Normal 2 4 3 3 2 2 4 2 3" xfId="12291" xr:uid="{54B5AEEC-ED4C-4286-AC78-1F3E9637137E}"/>
    <cellStyle name="Normal 2 4 3 3 2 2 4 3" xfId="5935" xr:uid="{00000000-0005-0000-0000-0000DD0F0000}"/>
    <cellStyle name="Normal 2 4 3 3 2 2 4 3 2" xfId="14364" xr:uid="{7C60CE08-B70C-4A79-9732-46BA8ADD8315}"/>
    <cellStyle name="Normal 2 4 3 3 2 2 4 4" xfId="10146" xr:uid="{31FDDD27-185A-433A-BC9D-CCD17F5846F5}"/>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74E1E9BD-F748-44BB-A818-B40DC6216461}"/>
    <cellStyle name="Normal 2 4 3 3 2 2 5 2 3" xfId="12704" xr:uid="{FEB06224-0A57-4F48-BD51-1C5141A200D8}"/>
    <cellStyle name="Normal 2 4 3 3 2 2 5 3" xfId="6348" xr:uid="{00000000-0005-0000-0000-0000E10F0000}"/>
    <cellStyle name="Normal 2 4 3 3 2 2 5 3 2" xfId="14777" xr:uid="{4FC616DC-8A00-4FD9-86E7-5475DF07D041}"/>
    <cellStyle name="Normal 2 4 3 3 2 2 5 4" xfId="10559" xr:uid="{A62882D4-8E13-4360-B0ED-A62DA763273F}"/>
    <cellStyle name="Normal 2 4 3 3 2 2 6" xfId="2476" xr:uid="{00000000-0005-0000-0000-0000E20F0000}"/>
    <cellStyle name="Normal 2 4 3 3 2 2 6 2" xfId="6761" xr:uid="{00000000-0005-0000-0000-0000E30F0000}"/>
    <cellStyle name="Normal 2 4 3 3 2 2 6 2 2" xfId="15190" xr:uid="{9F331806-E824-4598-9DC8-B8CFCAEDDFA7}"/>
    <cellStyle name="Normal 2 4 3 3 2 2 6 3" xfId="10972" xr:uid="{8CF73B96-964C-4624-8926-E7FCF2465D57}"/>
    <cellStyle name="Normal 2 4 3 3 2 2 7" xfId="4695" xr:uid="{00000000-0005-0000-0000-0000E40F0000}"/>
    <cellStyle name="Normal 2 4 3 3 2 2 7 2" xfId="13124" xr:uid="{4C80BF53-2305-4EF9-8530-9ED495819E5D}"/>
    <cellStyle name="Normal 2 4 3 3 2 2 8" xfId="8906" xr:uid="{01399D17-FA13-4548-ADBD-198C1CCB34FA}"/>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F42919B1-DC8D-44F1-A78C-3DFA9C1AA249}"/>
    <cellStyle name="Normal 2 4 3 3 2 3 2 3" xfId="11464" xr:uid="{D001F5B0-0858-4317-BE2F-17612F18D0F7}"/>
    <cellStyle name="Normal 2 4 3 3 2 3 3" xfId="5108" xr:uid="{00000000-0005-0000-0000-0000E80F0000}"/>
    <cellStyle name="Normal 2 4 3 3 2 3 3 2" xfId="13537" xr:uid="{03302AE3-6837-449B-B8F5-3869E208EE73}"/>
    <cellStyle name="Normal 2 4 3 3 2 3 4" xfId="9319" xr:uid="{B0B63C4E-CDB9-435C-9077-26E911B3B9B8}"/>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061F73E6-7C1E-4A5B-BAF4-472A7D9EE01F}"/>
    <cellStyle name="Normal 2 4 3 3 2 4 2 3" xfId="11877" xr:uid="{69C6963C-1C63-4818-A244-31749EA4AB4C}"/>
    <cellStyle name="Normal 2 4 3 3 2 4 3" xfId="5521" xr:uid="{00000000-0005-0000-0000-0000EC0F0000}"/>
    <cellStyle name="Normal 2 4 3 3 2 4 3 2" xfId="13950" xr:uid="{59BC708D-D53C-4C40-B4B8-EBB109D89A1D}"/>
    <cellStyle name="Normal 2 4 3 3 2 4 4" xfId="9732" xr:uid="{C06CEEF9-DDDE-4DF2-B7C8-D08E1A352FEE}"/>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D081C652-9939-4E13-A116-40561AF4520F}"/>
    <cellStyle name="Normal 2 4 3 3 2 5 2 3" xfId="12290" xr:uid="{4A5A3F63-4FF6-400A-85A9-C39A46D93C2F}"/>
    <cellStyle name="Normal 2 4 3 3 2 5 3" xfId="5934" xr:uid="{00000000-0005-0000-0000-0000F00F0000}"/>
    <cellStyle name="Normal 2 4 3 3 2 5 3 2" xfId="14363" xr:uid="{13DAC5FF-E326-403C-9E72-27BF89941D48}"/>
    <cellStyle name="Normal 2 4 3 3 2 5 4" xfId="10145" xr:uid="{FBA5EC8E-F8C5-4523-A55A-9C8CCB5E0E32}"/>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40F4879E-84CA-4F59-940A-CB235E32EAC9}"/>
    <cellStyle name="Normal 2 4 3 3 2 6 2 3" xfId="12703" xr:uid="{FD5B9502-1041-4C24-BF5E-3527B7577A14}"/>
    <cellStyle name="Normal 2 4 3 3 2 6 3" xfId="6347" xr:uid="{00000000-0005-0000-0000-0000F40F0000}"/>
    <cellStyle name="Normal 2 4 3 3 2 6 3 2" xfId="14776" xr:uid="{5ED3B273-F747-4160-9012-06B61C671FCB}"/>
    <cellStyle name="Normal 2 4 3 3 2 6 4" xfId="10558" xr:uid="{51AC5180-0200-4CC1-A0E3-8CF3F5F2C2E2}"/>
    <cellStyle name="Normal 2 4 3 3 2 7" xfId="2475" xr:uid="{00000000-0005-0000-0000-0000F50F0000}"/>
    <cellStyle name="Normal 2 4 3 3 2 7 2" xfId="6760" xr:uid="{00000000-0005-0000-0000-0000F60F0000}"/>
    <cellStyle name="Normal 2 4 3 3 2 7 2 2" xfId="15189" xr:uid="{A5FCBE7D-8083-49A1-96A0-7D239FC28F85}"/>
    <cellStyle name="Normal 2 4 3 3 2 7 3" xfId="10971" xr:uid="{6BCD88BD-7CDF-4174-8CD3-B553BACD1D89}"/>
    <cellStyle name="Normal 2 4 3 3 2 8" xfId="4694" xr:uid="{00000000-0005-0000-0000-0000F70F0000}"/>
    <cellStyle name="Normal 2 4 3 3 2 8 2" xfId="13123" xr:uid="{26FF09D9-0990-47F1-8A36-463189CBDA8F}"/>
    <cellStyle name="Normal 2 4 3 3 2 9" xfId="8905" xr:uid="{6F9C49F2-CDEA-4BC2-8DF7-81C6752F340A}"/>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1A7B1A40-CEA2-48BA-BB01-882DC1B0C033}"/>
    <cellStyle name="Normal 2 4 3 3 3 2 2 3" xfId="11466" xr:uid="{8BCB415E-92E3-42C4-ACF1-3BCBA32584BB}"/>
    <cellStyle name="Normal 2 4 3 3 3 2 3" xfId="5110" xr:uid="{00000000-0005-0000-0000-0000FC0F0000}"/>
    <cellStyle name="Normal 2 4 3 3 3 2 3 2" xfId="13539" xr:uid="{02FFD9E1-CEF6-4979-AFE7-D2D97E9EB619}"/>
    <cellStyle name="Normal 2 4 3 3 3 2 4" xfId="9321" xr:uid="{3DA7E05A-2E94-429E-BB39-2BDA3A16DBEA}"/>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C2144572-5F77-4CF9-80CB-1746269C2DED}"/>
    <cellStyle name="Normal 2 4 3 3 3 3 2 3" xfId="11879" xr:uid="{033A4CFD-3A3B-4639-8DAF-1477519B24E0}"/>
    <cellStyle name="Normal 2 4 3 3 3 3 3" xfId="5523" xr:uid="{00000000-0005-0000-0000-000000100000}"/>
    <cellStyle name="Normal 2 4 3 3 3 3 3 2" xfId="13952" xr:uid="{9A85954B-0E61-4F1E-BBD3-A221C76FEB9B}"/>
    <cellStyle name="Normal 2 4 3 3 3 3 4" xfId="9734" xr:uid="{90715644-8E83-4325-9728-51EDE7ADC8CF}"/>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34D53579-26AB-43C7-8A24-9EB6FA0E1F48}"/>
    <cellStyle name="Normal 2 4 3 3 3 4 2 3" xfId="12292" xr:uid="{D38C8E41-3238-4B46-A246-C4A871F9EBED}"/>
    <cellStyle name="Normal 2 4 3 3 3 4 3" xfId="5936" xr:uid="{00000000-0005-0000-0000-000004100000}"/>
    <cellStyle name="Normal 2 4 3 3 3 4 3 2" xfId="14365" xr:uid="{8ADB4F70-9A9F-478B-AC55-26DD3329DB10}"/>
    <cellStyle name="Normal 2 4 3 3 3 4 4" xfId="10147" xr:uid="{008B3A82-C0FA-436E-859E-2FB77997B498}"/>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5E64BC7C-81C0-4E96-9191-5573B7AD728A}"/>
    <cellStyle name="Normal 2 4 3 3 3 5 2 3" xfId="12705" xr:uid="{D1848A65-44B8-4DB5-80FC-0BB736D72BF1}"/>
    <cellStyle name="Normal 2 4 3 3 3 5 3" xfId="6349" xr:uid="{00000000-0005-0000-0000-000008100000}"/>
    <cellStyle name="Normal 2 4 3 3 3 5 3 2" xfId="14778" xr:uid="{12AC612D-D139-43DA-A2B2-1A9760708CC0}"/>
    <cellStyle name="Normal 2 4 3 3 3 5 4" xfId="10560" xr:uid="{A5105B53-4EA1-41DD-AC32-D686CC3C3829}"/>
    <cellStyle name="Normal 2 4 3 3 3 6" xfId="2477" xr:uid="{00000000-0005-0000-0000-000009100000}"/>
    <cellStyle name="Normal 2 4 3 3 3 6 2" xfId="6762" xr:uid="{00000000-0005-0000-0000-00000A100000}"/>
    <cellStyle name="Normal 2 4 3 3 3 6 2 2" xfId="15191" xr:uid="{498B7C74-9093-447F-8B13-EA70296847DE}"/>
    <cellStyle name="Normal 2 4 3 3 3 6 3" xfId="10973" xr:uid="{A311252A-0E44-4760-9A1A-EF593AA2C675}"/>
    <cellStyle name="Normal 2 4 3 3 3 7" xfId="4696" xr:uid="{00000000-0005-0000-0000-00000B100000}"/>
    <cellStyle name="Normal 2 4 3 3 3 7 2" xfId="13125" xr:uid="{92A0E6D6-9799-4375-AB9D-13D17F70571F}"/>
    <cellStyle name="Normal 2 4 3 3 3 8" xfId="8907" xr:uid="{162A2C7C-339A-4CB5-8FB9-2BA98D96ECE4}"/>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80B41ADB-407F-4339-B303-8ADF21ECDFD2}"/>
    <cellStyle name="Normal 2 4 3 3 4 2 3" xfId="11463" xr:uid="{84516D4B-6DAD-443A-85C0-454E9EF2BB51}"/>
    <cellStyle name="Normal 2 4 3 3 4 3" xfId="5107" xr:uid="{00000000-0005-0000-0000-00000F100000}"/>
    <cellStyle name="Normal 2 4 3 3 4 3 2" xfId="13536" xr:uid="{8F521E9C-8B8A-4CB7-98EF-8D3900EE13AA}"/>
    <cellStyle name="Normal 2 4 3 3 4 4" xfId="9318" xr:uid="{3A7A7FCF-F58D-466E-B27C-62C6F2EEA629}"/>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2BE1DC0D-5E02-40AC-85DC-3A81C8F0FCBF}"/>
    <cellStyle name="Normal 2 4 3 3 5 2 3" xfId="11876" xr:uid="{CEB1D578-BB07-487E-8870-A2A13AB42AFF}"/>
    <cellStyle name="Normal 2 4 3 3 5 3" xfId="5520" xr:uid="{00000000-0005-0000-0000-000013100000}"/>
    <cellStyle name="Normal 2 4 3 3 5 3 2" xfId="13949" xr:uid="{E7EA0E75-8FF1-4154-8C25-F091BE2B1CF4}"/>
    <cellStyle name="Normal 2 4 3 3 5 4" xfId="9731" xr:uid="{8F219590-8F63-45C8-B07D-832106BDF983}"/>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300BE2D4-6A65-465A-BB91-817E2EEC11A7}"/>
    <cellStyle name="Normal 2 4 3 3 6 2 3" xfId="12289" xr:uid="{776A3A86-E644-4C3F-B535-AA5194AF0449}"/>
    <cellStyle name="Normal 2 4 3 3 6 3" xfId="5933" xr:uid="{00000000-0005-0000-0000-000017100000}"/>
    <cellStyle name="Normal 2 4 3 3 6 3 2" xfId="14362" xr:uid="{2BB016BB-855E-4131-B44D-870C1A0745F2}"/>
    <cellStyle name="Normal 2 4 3 3 6 4" xfId="10144" xr:uid="{CF42E347-2800-4FB7-A335-E19E970710A6}"/>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F6E433A0-34D3-4452-A1CF-BB34C90E0C7B}"/>
    <cellStyle name="Normal 2 4 3 3 7 2 3" xfId="12702" xr:uid="{38B24A41-0305-42C3-89F7-DD320CBCF39D}"/>
    <cellStyle name="Normal 2 4 3 3 7 3" xfId="6346" xr:uid="{00000000-0005-0000-0000-00001B100000}"/>
    <cellStyle name="Normal 2 4 3 3 7 3 2" xfId="14775" xr:uid="{3A11B3CE-235E-4867-938C-C63FA56D9999}"/>
    <cellStyle name="Normal 2 4 3 3 7 4" xfId="10557" xr:uid="{FF78C21E-3CC6-4366-BDEC-1028E30718ED}"/>
    <cellStyle name="Normal 2 4 3 3 8" xfId="2474" xr:uid="{00000000-0005-0000-0000-00001C100000}"/>
    <cellStyle name="Normal 2 4 3 3 8 2" xfId="6759" xr:uid="{00000000-0005-0000-0000-00001D100000}"/>
    <cellStyle name="Normal 2 4 3 3 8 2 2" xfId="15188" xr:uid="{158877DD-AA6A-4155-A42E-1ABBACF40104}"/>
    <cellStyle name="Normal 2 4 3 3 8 3" xfId="10970" xr:uid="{8327D823-329D-4635-876A-5B32648DBC11}"/>
    <cellStyle name="Normal 2 4 3 3 9" xfId="4693" xr:uid="{00000000-0005-0000-0000-00001E100000}"/>
    <cellStyle name="Normal 2 4 3 3 9 2" xfId="13122" xr:uid="{42D5D89E-D411-43B9-83D9-AE0363630C5C}"/>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8B78CDD1-B789-469D-81FB-22D9127FA817}"/>
    <cellStyle name="Normal 2 4 3 4 2 3" xfId="11462" xr:uid="{2030A923-F337-4EA7-AC3C-5518389CB917}"/>
    <cellStyle name="Normal 2 4 3 4 3" xfId="5106" xr:uid="{00000000-0005-0000-0000-000022100000}"/>
    <cellStyle name="Normal 2 4 3 4 3 2" xfId="13535" xr:uid="{2DFF7587-CB30-4E81-99B7-14219C7D2AB9}"/>
    <cellStyle name="Normal 2 4 3 4 4" xfId="9317" xr:uid="{76E2E019-4AB2-4EAC-B4B6-B1F123B91C4D}"/>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0CC2FC39-33F8-48D9-9ACE-A9D2C8F1FB80}"/>
    <cellStyle name="Normal 2 4 3 5 2 3" xfId="11875" xr:uid="{3296252E-8460-4A28-9C59-89D8D30A26B3}"/>
    <cellStyle name="Normal 2 4 3 5 3" xfId="5519" xr:uid="{00000000-0005-0000-0000-000026100000}"/>
    <cellStyle name="Normal 2 4 3 5 3 2" xfId="13948" xr:uid="{ABDE1A41-5025-4FAE-BCC8-9A7F2136A9D8}"/>
    <cellStyle name="Normal 2 4 3 5 4" xfId="9730" xr:uid="{D83D98E4-EF2B-46F5-A25A-9C0D20165AD4}"/>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18142130-BBEB-4F53-86DD-A971883384A2}"/>
    <cellStyle name="Normal 2 4 3 6 2 3" xfId="12288" xr:uid="{32DEAD81-1FC4-427D-9CDC-9A9C1105F524}"/>
    <cellStyle name="Normal 2 4 3 6 3" xfId="5932" xr:uid="{00000000-0005-0000-0000-00002A100000}"/>
    <cellStyle name="Normal 2 4 3 6 3 2" xfId="14361" xr:uid="{978DD36D-6618-42C8-AEF1-BDC5423AB01D}"/>
    <cellStyle name="Normal 2 4 3 6 4" xfId="10143" xr:uid="{83863FA1-8DF3-4EC1-B1DA-2EC318DF24FC}"/>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CFDF0E89-BC1F-4E75-8939-6089C84C011A}"/>
    <cellStyle name="Normal 2 4 3 7 2 3" xfId="12701" xr:uid="{DD6C8D1E-96F9-450E-8A67-C0A38840B4CF}"/>
    <cellStyle name="Normal 2 4 3 7 3" xfId="6345" xr:uid="{00000000-0005-0000-0000-00002E100000}"/>
    <cellStyle name="Normal 2 4 3 7 3 2" xfId="14774" xr:uid="{4AF85B90-9D0F-4BD5-AC87-03E70872B6B6}"/>
    <cellStyle name="Normal 2 4 3 7 4" xfId="10556" xr:uid="{CF530822-DDC2-4376-8D4F-771C00E6B3AE}"/>
    <cellStyle name="Normal 2 4 3 8" xfId="2473" xr:uid="{00000000-0005-0000-0000-00002F100000}"/>
    <cellStyle name="Normal 2 4 3 8 2" xfId="6758" xr:uid="{00000000-0005-0000-0000-000030100000}"/>
    <cellStyle name="Normal 2 4 3 8 2 2" xfId="15187" xr:uid="{37DD27D3-0FC2-4844-93DC-29731630DEF4}"/>
    <cellStyle name="Normal 2 4 3 8 3" xfId="10969" xr:uid="{D5F9B62B-43F5-4ED9-A7A4-339F1021F60F}"/>
    <cellStyle name="Normal 2 4 3 9" xfId="4692" xr:uid="{00000000-0005-0000-0000-000031100000}"/>
    <cellStyle name="Normal 2 4 3 9 2" xfId="13121" xr:uid="{4042FCAD-262F-4115-A428-8255A610191C}"/>
    <cellStyle name="Normal 2 4 4" xfId="302" xr:uid="{00000000-0005-0000-0000-000032100000}"/>
    <cellStyle name="Normal 2 4 5" xfId="303" xr:uid="{00000000-0005-0000-0000-000033100000}"/>
    <cellStyle name="Normal 2 4 5 10" xfId="4697" xr:uid="{00000000-0005-0000-0000-000034100000}"/>
    <cellStyle name="Normal 2 4 5 10 2" xfId="13126" xr:uid="{250E4BAB-2375-43E2-B751-04C48FDF8DC1}"/>
    <cellStyle name="Normal 2 4 5 11" xfId="8908" xr:uid="{A4837D03-8F9A-40DB-A8D2-61DBF4FF3D0E}"/>
    <cellStyle name="Normal 2 4 5 2" xfId="304" xr:uid="{00000000-0005-0000-0000-000035100000}"/>
    <cellStyle name="Normal 2 4 5 2 10" xfId="8909" xr:uid="{7BB6D947-876D-484B-A832-1EF1490A538A}"/>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0519CE0A-EBE2-45F5-9E29-ADCE78DF85C5}"/>
    <cellStyle name="Normal 2 4 5 2 2 2 2 2 3" xfId="11470" xr:uid="{49125212-E12F-47B6-9AA2-DB3B1EC894D7}"/>
    <cellStyle name="Normal 2 4 5 2 2 2 2 3" xfId="5114" xr:uid="{00000000-0005-0000-0000-00003B100000}"/>
    <cellStyle name="Normal 2 4 5 2 2 2 2 3 2" xfId="13543" xr:uid="{D3356107-CBE3-4527-B945-EE434631DB60}"/>
    <cellStyle name="Normal 2 4 5 2 2 2 2 4" xfId="9325" xr:uid="{D2B2ED4A-1509-4FC7-A347-1A3F82D9EA33}"/>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3483EDBD-C270-4F59-BC8D-3588BCAE2110}"/>
    <cellStyle name="Normal 2 4 5 2 2 2 3 2 3" xfId="11883" xr:uid="{0AE4B162-0D91-46EF-8270-5BD0F6186C85}"/>
    <cellStyle name="Normal 2 4 5 2 2 2 3 3" xfId="5527" xr:uid="{00000000-0005-0000-0000-00003F100000}"/>
    <cellStyle name="Normal 2 4 5 2 2 2 3 3 2" xfId="13956" xr:uid="{6C70A1AD-1AA4-4D62-B708-038F063DB6E9}"/>
    <cellStyle name="Normal 2 4 5 2 2 2 3 4" xfId="9738" xr:uid="{CE9C19FD-AE1A-41B7-AA54-A814AF8A71A2}"/>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864E7757-BB6C-46DF-BD7C-45DC1C4BB178}"/>
    <cellStyle name="Normal 2 4 5 2 2 2 4 2 3" xfId="12296" xr:uid="{9403031E-0F8C-46DB-B468-26AC19BA1069}"/>
    <cellStyle name="Normal 2 4 5 2 2 2 4 3" xfId="5940" xr:uid="{00000000-0005-0000-0000-000043100000}"/>
    <cellStyle name="Normal 2 4 5 2 2 2 4 3 2" xfId="14369" xr:uid="{BEDAE5CA-46E7-4922-8532-BFEA21145685}"/>
    <cellStyle name="Normal 2 4 5 2 2 2 4 4" xfId="10151" xr:uid="{4EEB3CE2-4265-4D1B-902D-57F279807E0B}"/>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D409498A-7C9D-4736-AC6A-0629933C1871}"/>
    <cellStyle name="Normal 2 4 5 2 2 2 5 2 3" xfId="12709" xr:uid="{D4E3133E-7C3F-4948-99FD-73BC81F30205}"/>
    <cellStyle name="Normal 2 4 5 2 2 2 5 3" xfId="6353" xr:uid="{00000000-0005-0000-0000-000047100000}"/>
    <cellStyle name="Normal 2 4 5 2 2 2 5 3 2" xfId="14782" xr:uid="{AFEA7597-F0C0-4B72-A8E5-BE3D5C8CC97D}"/>
    <cellStyle name="Normal 2 4 5 2 2 2 5 4" xfId="10564" xr:uid="{7CF41EF7-6486-4E51-9E34-0C8C74911539}"/>
    <cellStyle name="Normal 2 4 5 2 2 2 6" xfId="2481" xr:uid="{00000000-0005-0000-0000-000048100000}"/>
    <cellStyle name="Normal 2 4 5 2 2 2 6 2" xfId="6766" xr:uid="{00000000-0005-0000-0000-000049100000}"/>
    <cellStyle name="Normal 2 4 5 2 2 2 6 2 2" xfId="15195" xr:uid="{A4813FDE-E12D-4B19-AC5E-EAA7690E1C74}"/>
    <cellStyle name="Normal 2 4 5 2 2 2 6 3" xfId="10977" xr:uid="{DD2B04A7-7796-4C5E-8AF4-29AF0AF9C89F}"/>
    <cellStyle name="Normal 2 4 5 2 2 2 7" xfId="4700" xr:uid="{00000000-0005-0000-0000-00004A100000}"/>
    <cellStyle name="Normal 2 4 5 2 2 2 7 2" xfId="13129" xr:uid="{DAF6966F-3127-4213-805A-0ABD985489C9}"/>
    <cellStyle name="Normal 2 4 5 2 2 2 8" xfId="8911" xr:uid="{30E2052F-9157-49EE-84C4-685855E07C9E}"/>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51676735-5775-472C-8EE3-F01C0A98AC59}"/>
    <cellStyle name="Normal 2 4 5 2 2 3 2 3" xfId="11469" xr:uid="{05AD32AB-DA86-4F75-B2C7-107C32A2A507}"/>
    <cellStyle name="Normal 2 4 5 2 2 3 3" xfId="5113" xr:uid="{00000000-0005-0000-0000-00004E100000}"/>
    <cellStyle name="Normal 2 4 5 2 2 3 3 2" xfId="13542" xr:uid="{7841DE18-AAAF-4D26-B91E-5EC92FFE6E95}"/>
    <cellStyle name="Normal 2 4 5 2 2 3 4" xfId="9324" xr:uid="{FD99DFEE-C7CA-4BD2-9B9C-4978117315B9}"/>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F08F9FB3-2A16-406B-9D86-126393BD75CC}"/>
    <cellStyle name="Normal 2 4 5 2 2 4 2 3" xfId="11882" xr:uid="{3704C2CF-E42B-4407-8F07-AFB93EFC5C75}"/>
    <cellStyle name="Normal 2 4 5 2 2 4 3" xfId="5526" xr:uid="{00000000-0005-0000-0000-000052100000}"/>
    <cellStyle name="Normal 2 4 5 2 2 4 3 2" xfId="13955" xr:uid="{2D180BE5-ABF8-4F13-9549-C5FD75B5FA52}"/>
    <cellStyle name="Normal 2 4 5 2 2 4 4" xfId="9737" xr:uid="{86EB1919-3A76-4C9F-8633-D1DD01FDE046}"/>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4A8090CC-BB53-4E0C-AE55-029CC9DAB2E1}"/>
    <cellStyle name="Normal 2 4 5 2 2 5 2 3" xfId="12295" xr:uid="{55871CEA-11EA-467D-8E75-C169E6225E0F}"/>
    <cellStyle name="Normal 2 4 5 2 2 5 3" xfId="5939" xr:uid="{00000000-0005-0000-0000-000056100000}"/>
    <cellStyle name="Normal 2 4 5 2 2 5 3 2" xfId="14368" xr:uid="{F402907B-7B72-4ACE-A5E3-DC162B1030F5}"/>
    <cellStyle name="Normal 2 4 5 2 2 5 4" xfId="10150" xr:uid="{96CE02BE-242D-49EB-8376-623FC2B99996}"/>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F5F80BD3-C84C-4F52-B641-A6A548008F36}"/>
    <cellStyle name="Normal 2 4 5 2 2 6 2 3" xfId="12708" xr:uid="{1AEDCF52-3BA8-461F-8870-4CDCDFA1740A}"/>
    <cellStyle name="Normal 2 4 5 2 2 6 3" xfId="6352" xr:uid="{00000000-0005-0000-0000-00005A100000}"/>
    <cellStyle name="Normal 2 4 5 2 2 6 3 2" xfId="14781" xr:uid="{97529313-3ACF-4749-B8EA-399E7829295B}"/>
    <cellStyle name="Normal 2 4 5 2 2 6 4" xfId="10563" xr:uid="{DF0B1693-023B-4A8A-9C61-FCD38F401E2B}"/>
    <cellStyle name="Normal 2 4 5 2 2 7" xfId="2480" xr:uid="{00000000-0005-0000-0000-00005B100000}"/>
    <cellStyle name="Normal 2 4 5 2 2 7 2" xfId="6765" xr:uid="{00000000-0005-0000-0000-00005C100000}"/>
    <cellStyle name="Normal 2 4 5 2 2 7 2 2" xfId="15194" xr:uid="{2B5F351B-969E-4230-A316-48444B9F6CCF}"/>
    <cellStyle name="Normal 2 4 5 2 2 7 3" xfId="10976" xr:uid="{9DDCEBEE-C028-450C-9EED-B6F243002F64}"/>
    <cellStyle name="Normal 2 4 5 2 2 8" xfId="4699" xr:uid="{00000000-0005-0000-0000-00005D100000}"/>
    <cellStyle name="Normal 2 4 5 2 2 8 2" xfId="13128" xr:uid="{B868BF07-DBC6-4E1A-8FCC-46A672E58556}"/>
    <cellStyle name="Normal 2 4 5 2 2 9" xfId="8910" xr:uid="{A1CED557-5B35-4A6A-95B8-36A6E7394B79}"/>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A20F4025-795D-441E-B736-14B7C1F1EF0E}"/>
    <cellStyle name="Normal 2 4 5 2 3 2 2 3" xfId="11471" xr:uid="{D336D9CF-4C57-42B7-8709-6400FA00B836}"/>
    <cellStyle name="Normal 2 4 5 2 3 2 3" xfId="5115" xr:uid="{00000000-0005-0000-0000-000062100000}"/>
    <cellStyle name="Normal 2 4 5 2 3 2 3 2" xfId="13544" xr:uid="{9A209E74-3816-47A0-95FE-DC6171C6B4A8}"/>
    <cellStyle name="Normal 2 4 5 2 3 2 4" xfId="9326" xr:uid="{53D9D0C6-02D0-403A-8978-FCFC08C2C3EE}"/>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3D208154-5B27-4A3A-8E67-D1225E2945C6}"/>
    <cellStyle name="Normal 2 4 5 2 3 3 2 3" xfId="11884" xr:uid="{31F627A7-76EE-4065-8D43-1D1872A67159}"/>
    <cellStyle name="Normal 2 4 5 2 3 3 3" xfId="5528" xr:uid="{00000000-0005-0000-0000-000066100000}"/>
    <cellStyle name="Normal 2 4 5 2 3 3 3 2" xfId="13957" xr:uid="{315E29B6-C288-4396-AF06-9413C0F10C68}"/>
    <cellStyle name="Normal 2 4 5 2 3 3 4" xfId="9739" xr:uid="{610D45A1-CBAB-4C11-9C8E-BD3F3FF55D3A}"/>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47C0C58C-141C-467A-AE1E-8F5F59B860B0}"/>
    <cellStyle name="Normal 2 4 5 2 3 4 2 3" xfId="12297" xr:uid="{3106A4F0-70F8-416D-84D0-41C20DAE4ED6}"/>
    <cellStyle name="Normal 2 4 5 2 3 4 3" xfId="5941" xr:uid="{00000000-0005-0000-0000-00006A100000}"/>
    <cellStyle name="Normal 2 4 5 2 3 4 3 2" xfId="14370" xr:uid="{ABB395FB-B6C8-4FD7-896D-71E3C18A636F}"/>
    <cellStyle name="Normal 2 4 5 2 3 4 4" xfId="10152" xr:uid="{066444ED-70E5-4072-AD3D-C9CC45D9AFF5}"/>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D55670D0-766C-4031-A9F1-8CEC038D3B33}"/>
    <cellStyle name="Normal 2 4 5 2 3 5 2 3" xfId="12710" xr:uid="{D49330D1-208C-4600-8FEC-353E378BDF77}"/>
    <cellStyle name="Normal 2 4 5 2 3 5 3" xfId="6354" xr:uid="{00000000-0005-0000-0000-00006E100000}"/>
    <cellStyle name="Normal 2 4 5 2 3 5 3 2" xfId="14783" xr:uid="{E8707DF4-928D-42A3-80D5-B2CC1B01067B}"/>
    <cellStyle name="Normal 2 4 5 2 3 5 4" xfId="10565" xr:uid="{0E9246F0-C323-4E6D-AB8B-002CB2F51C73}"/>
    <cellStyle name="Normal 2 4 5 2 3 6" xfId="2482" xr:uid="{00000000-0005-0000-0000-00006F100000}"/>
    <cellStyle name="Normal 2 4 5 2 3 6 2" xfId="6767" xr:uid="{00000000-0005-0000-0000-000070100000}"/>
    <cellStyle name="Normal 2 4 5 2 3 6 2 2" xfId="15196" xr:uid="{EAA6BFDA-5B98-4B6C-AF90-77B5940925BE}"/>
    <cellStyle name="Normal 2 4 5 2 3 6 3" xfId="10978" xr:uid="{784748A2-8C12-4BDE-B12E-AB2DC52A671F}"/>
    <cellStyle name="Normal 2 4 5 2 3 7" xfId="4701" xr:uid="{00000000-0005-0000-0000-000071100000}"/>
    <cellStyle name="Normal 2 4 5 2 3 7 2" xfId="13130" xr:uid="{35FE4111-F21D-4A03-A077-45D9539F3E05}"/>
    <cellStyle name="Normal 2 4 5 2 3 8" xfId="8912" xr:uid="{E4536569-DCBD-4FF9-BF58-E6756E0C0C1B}"/>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B784D364-CD5E-41E0-9669-960CE36BF618}"/>
    <cellStyle name="Normal 2 4 5 2 4 2 3" xfId="11468" xr:uid="{A9A9D04F-DFD1-445D-8ECD-4715DCCA587B}"/>
    <cellStyle name="Normal 2 4 5 2 4 3" xfId="5112" xr:uid="{00000000-0005-0000-0000-000075100000}"/>
    <cellStyle name="Normal 2 4 5 2 4 3 2" xfId="13541" xr:uid="{48353787-556C-4FC1-9FA4-9F0DE8CFFE09}"/>
    <cellStyle name="Normal 2 4 5 2 4 4" xfId="9323" xr:uid="{A650D905-D9A7-4F66-99D7-38C7A117584D}"/>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DC79C012-E90F-4459-B365-45B36C148905}"/>
    <cellStyle name="Normal 2 4 5 2 5 2 3" xfId="11881" xr:uid="{ABE3CBE0-35EA-451D-99FD-54E0A6CC1112}"/>
    <cellStyle name="Normal 2 4 5 2 5 3" xfId="5525" xr:uid="{00000000-0005-0000-0000-000079100000}"/>
    <cellStyle name="Normal 2 4 5 2 5 3 2" xfId="13954" xr:uid="{47ED2083-4CA3-47AC-84BD-F5D71C17D8F5}"/>
    <cellStyle name="Normal 2 4 5 2 5 4" xfId="9736" xr:uid="{B2C5815C-3470-4D41-84F8-2A8FAB7415FB}"/>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5CDF6FE9-9AD0-4C1F-8510-6E4935E61879}"/>
    <cellStyle name="Normal 2 4 5 2 6 2 3" xfId="12294" xr:uid="{B21362CB-7C1E-486D-A7A4-B525FBB43034}"/>
    <cellStyle name="Normal 2 4 5 2 6 3" xfId="5938" xr:uid="{00000000-0005-0000-0000-00007D100000}"/>
    <cellStyle name="Normal 2 4 5 2 6 3 2" xfId="14367" xr:uid="{7BD25C5C-9D6D-4EE1-93FC-971053720652}"/>
    <cellStyle name="Normal 2 4 5 2 6 4" xfId="10149" xr:uid="{C37F61CE-E8CB-445B-A28E-40365B1B15DA}"/>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D7C3A869-01F3-45BE-BA91-062C5BBF06F6}"/>
    <cellStyle name="Normal 2 4 5 2 7 2 3" xfId="12707" xr:uid="{C51D11AD-87A4-44CF-9DB2-4EA507834278}"/>
    <cellStyle name="Normal 2 4 5 2 7 3" xfId="6351" xr:uid="{00000000-0005-0000-0000-000081100000}"/>
    <cellStyle name="Normal 2 4 5 2 7 3 2" xfId="14780" xr:uid="{F034BEBA-9A8E-41C8-878C-D80D52CE6BF0}"/>
    <cellStyle name="Normal 2 4 5 2 7 4" xfId="10562" xr:uid="{0E0CEF6C-9CBE-4AE6-8A67-A5BCB13535DB}"/>
    <cellStyle name="Normal 2 4 5 2 8" xfId="2479" xr:uid="{00000000-0005-0000-0000-000082100000}"/>
    <cellStyle name="Normal 2 4 5 2 8 2" xfId="6764" xr:uid="{00000000-0005-0000-0000-000083100000}"/>
    <cellStyle name="Normal 2 4 5 2 8 2 2" xfId="15193" xr:uid="{2541E1D9-D91A-482E-B3F0-5EA4146E73B6}"/>
    <cellStyle name="Normal 2 4 5 2 8 3" xfId="10975" xr:uid="{7819E151-A398-4614-AC36-F15441DDC883}"/>
    <cellStyle name="Normal 2 4 5 2 9" xfId="4698" xr:uid="{00000000-0005-0000-0000-000084100000}"/>
    <cellStyle name="Normal 2 4 5 2 9 2" xfId="13127" xr:uid="{E471CF34-08A7-4646-816F-29172E93989E}"/>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94671D85-3F47-46AD-80BD-3DFDCB4462B9}"/>
    <cellStyle name="Normal 2 4 5 3 2 2 2 3" xfId="11473" xr:uid="{A92EF9D0-301E-4E38-A403-DE3B0E0C03F7}"/>
    <cellStyle name="Normal 2 4 5 3 2 2 3" xfId="5117" xr:uid="{00000000-0005-0000-0000-00008A100000}"/>
    <cellStyle name="Normal 2 4 5 3 2 2 3 2" xfId="13546" xr:uid="{823C3842-6207-4ADB-A4BE-EC8756443192}"/>
    <cellStyle name="Normal 2 4 5 3 2 2 4" xfId="9328" xr:uid="{5256C617-F90D-4148-97B2-B32673B35A77}"/>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6CA3C29F-C668-4FC8-837D-69A51399F43C}"/>
    <cellStyle name="Normal 2 4 5 3 2 3 2 3" xfId="11886" xr:uid="{7115C50B-3D60-4F51-AD56-D57205D232D5}"/>
    <cellStyle name="Normal 2 4 5 3 2 3 3" xfId="5530" xr:uid="{00000000-0005-0000-0000-00008E100000}"/>
    <cellStyle name="Normal 2 4 5 3 2 3 3 2" xfId="13959" xr:uid="{3A30BDA1-F092-47CD-8DDC-F2DA74A830D3}"/>
    <cellStyle name="Normal 2 4 5 3 2 3 4" xfId="9741" xr:uid="{C69E41B5-A616-4DBF-B88D-54C1A1314C18}"/>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C71F393A-3C48-4D90-B1C3-70B74BCF8231}"/>
    <cellStyle name="Normal 2 4 5 3 2 4 2 3" xfId="12299" xr:uid="{A2814D3B-0057-40B9-B90B-902265253928}"/>
    <cellStyle name="Normal 2 4 5 3 2 4 3" xfId="5943" xr:uid="{00000000-0005-0000-0000-000092100000}"/>
    <cellStyle name="Normal 2 4 5 3 2 4 3 2" xfId="14372" xr:uid="{E3B4708C-1613-46B9-968C-040232E5AC33}"/>
    <cellStyle name="Normal 2 4 5 3 2 4 4" xfId="10154" xr:uid="{318ADC60-8E18-4A20-AC57-914538DBB345}"/>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AB1213D2-20AF-43C6-AEC1-1DC730F51E1E}"/>
    <cellStyle name="Normal 2 4 5 3 2 5 2 3" xfId="12712" xr:uid="{2A101287-2986-4584-9B8B-06199FA31A44}"/>
    <cellStyle name="Normal 2 4 5 3 2 5 3" xfId="6356" xr:uid="{00000000-0005-0000-0000-000096100000}"/>
    <cellStyle name="Normal 2 4 5 3 2 5 3 2" xfId="14785" xr:uid="{FA69A090-DA95-4FDD-8B42-04ED478785E6}"/>
    <cellStyle name="Normal 2 4 5 3 2 5 4" xfId="10567" xr:uid="{10C87C84-F873-4CF7-BDF2-67AD29062A10}"/>
    <cellStyle name="Normal 2 4 5 3 2 6" xfId="2484" xr:uid="{00000000-0005-0000-0000-000097100000}"/>
    <cellStyle name="Normal 2 4 5 3 2 6 2" xfId="6769" xr:uid="{00000000-0005-0000-0000-000098100000}"/>
    <cellStyle name="Normal 2 4 5 3 2 6 2 2" xfId="15198" xr:uid="{FFC02F2D-09FF-4F76-95EC-6323203E8B64}"/>
    <cellStyle name="Normal 2 4 5 3 2 6 3" xfId="10980" xr:uid="{F0257ADC-8BEF-43B4-9D6C-B4488F0D693B}"/>
    <cellStyle name="Normal 2 4 5 3 2 7" xfId="4703" xr:uid="{00000000-0005-0000-0000-000099100000}"/>
    <cellStyle name="Normal 2 4 5 3 2 7 2" xfId="13132" xr:uid="{33DE610A-F811-4C94-822D-6E78AEBFAC52}"/>
    <cellStyle name="Normal 2 4 5 3 2 8" xfId="8914" xr:uid="{794AA769-BF94-48D4-8014-84769DC971EE}"/>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28DDB50D-4561-467A-8437-539340CECC8D}"/>
    <cellStyle name="Normal 2 4 5 3 3 2 3" xfId="11472" xr:uid="{99370100-DBFF-413A-8B78-B791F5F40471}"/>
    <cellStyle name="Normal 2 4 5 3 3 3" xfId="5116" xr:uid="{00000000-0005-0000-0000-00009D100000}"/>
    <cellStyle name="Normal 2 4 5 3 3 3 2" xfId="13545" xr:uid="{FF241368-DFA3-43C5-B3DF-DA96E0C5660C}"/>
    <cellStyle name="Normal 2 4 5 3 3 4" xfId="9327" xr:uid="{8DF31BBC-2380-4E61-B5BC-03EB44E0DB5D}"/>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FBA3D03C-7A17-421C-9A33-66CA2E76D34C}"/>
    <cellStyle name="Normal 2 4 5 3 4 2 3" xfId="11885" xr:uid="{D64E2C22-B423-4948-B5DE-DC5CDED795CF}"/>
    <cellStyle name="Normal 2 4 5 3 4 3" xfId="5529" xr:uid="{00000000-0005-0000-0000-0000A1100000}"/>
    <cellStyle name="Normal 2 4 5 3 4 3 2" xfId="13958" xr:uid="{996C58F6-C8E5-4309-BCA4-09CBB3934E8C}"/>
    <cellStyle name="Normal 2 4 5 3 4 4" xfId="9740" xr:uid="{770E5FED-C570-4642-A5D7-6DD3520FCD60}"/>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0DDB7C7C-9C22-4C47-9F82-94700A133AA0}"/>
    <cellStyle name="Normal 2 4 5 3 5 2 3" xfId="12298" xr:uid="{EF1181D7-E05F-4CB4-BBAC-22BA20653F22}"/>
    <cellStyle name="Normal 2 4 5 3 5 3" xfId="5942" xr:uid="{00000000-0005-0000-0000-0000A5100000}"/>
    <cellStyle name="Normal 2 4 5 3 5 3 2" xfId="14371" xr:uid="{DF221F4D-F948-4F83-8C3A-825C0313AA03}"/>
    <cellStyle name="Normal 2 4 5 3 5 4" xfId="10153" xr:uid="{9B02619F-78B5-4361-814A-F62912ACE536}"/>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9C0B2526-E430-469A-A61B-CDBD3D2F6DE2}"/>
    <cellStyle name="Normal 2 4 5 3 6 2 3" xfId="12711" xr:uid="{27376DE0-1A27-43D9-A38D-893F579D300F}"/>
    <cellStyle name="Normal 2 4 5 3 6 3" xfId="6355" xr:uid="{00000000-0005-0000-0000-0000A9100000}"/>
    <cellStyle name="Normal 2 4 5 3 6 3 2" xfId="14784" xr:uid="{632A46DA-52FF-40C5-86F3-4A5284D980CB}"/>
    <cellStyle name="Normal 2 4 5 3 6 4" xfId="10566" xr:uid="{6310B7DE-FA40-45D1-AE76-0386F76020E0}"/>
    <cellStyle name="Normal 2 4 5 3 7" xfId="2483" xr:uid="{00000000-0005-0000-0000-0000AA100000}"/>
    <cellStyle name="Normal 2 4 5 3 7 2" xfId="6768" xr:uid="{00000000-0005-0000-0000-0000AB100000}"/>
    <cellStyle name="Normal 2 4 5 3 7 2 2" xfId="15197" xr:uid="{F171151E-0E79-4E82-B108-B19CDC7F044D}"/>
    <cellStyle name="Normal 2 4 5 3 7 3" xfId="10979" xr:uid="{97F07E63-F26B-4463-9371-C252229463FC}"/>
    <cellStyle name="Normal 2 4 5 3 8" xfId="4702" xr:uid="{00000000-0005-0000-0000-0000AC100000}"/>
    <cellStyle name="Normal 2 4 5 3 8 2" xfId="13131" xr:uid="{76395572-67F0-48DD-B93C-CA4255D00FF5}"/>
    <cellStyle name="Normal 2 4 5 3 9" xfId="8913" xr:uid="{3DC32D14-0062-4D6F-BCC8-7AE216210211}"/>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28E031ED-2DB7-48C6-9167-FF0F03E3F1A3}"/>
    <cellStyle name="Normal 2 4 5 4 2 2 3" xfId="11474" xr:uid="{3E45F6A8-4B70-4485-88BD-E40A2A942154}"/>
    <cellStyle name="Normal 2 4 5 4 2 3" xfId="5118" xr:uid="{00000000-0005-0000-0000-0000B1100000}"/>
    <cellStyle name="Normal 2 4 5 4 2 3 2" xfId="13547" xr:uid="{F6460CCF-51D6-4932-97AD-F408DAD6AFA9}"/>
    <cellStyle name="Normal 2 4 5 4 2 4" xfId="9329" xr:uid="{23780C7D-B848-419B-8EEB-146E1BABA2EC}"/>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D9223CE9-2A07-4AB9-9118-D98F29D88E96}"/>
    <cellStyle name="Normal 2 4 5 4 3 2 3" xfId="11887" xr:uid="{7D0C8A4B-7CD6-4D2E-B9B7-98AC993D6DEB}"/>
    <cellStyle name="Normal 2 4 5 4 3 3" xfId="5531" xr:uid="{00000000-0005-0000-0000-0000B5100000}"/>
    <cellStyle name="Normal 2 4 5 4 3 3 2" xfId="13960" xr:uid="{B57F3273-E0A3-4E27-B807-359103B4FE09}"/>
    <cellStyle name="Normal 2 4 5 4 3 4" xfId="9742" xr:uid="{B78A3D8C-0EBD-456C-92C4-E7E99F2A302A}"/>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8B6A2BA4-942F-4875-A53C-172BE71990EA}"/>
    <cellStyle name="Normal 2 4 5 4 4 2 3" xfId="12300" xr:uid="{A8E7D637-5F0F-4A2A-8C71-CCC355565C29}"/>
    <cellStyle name="Normal 2 4 5 4 4 3" xfId="5944" xr:uid="{00000000-0005-0000-0000-0000B9100000}"/>
    <cellStyle name="Normal 2 4 5 4 4 3 2" xfId="14373" xr:uid="{7579C41F-B70C-4566-82C9-C2840F44831B}"/>
    <cellStyle name="Normal 2 4 5 4 4 4" xfId="10155" xr:uid="{AB77EEF4-F718-4906-AF54-9CEC3C848B33}"/>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46CFE9E3-206D-436B-9169-D3CD0352083C}"/>
    <cellStyle name="Normal 2 4 5 4 5 2 3" xfId="12713" xr:uid="{20F7CA57-AC90-4FD4-BCE4-6D5F5394BA54}"/>
    <cellStyle name="Normal 2 4 5 4 5 3" xfId="6357" xr:uid="{00000000-0005-0000-0000-0000BD100000}"/>
    <cellStyle name="Normal 2 4 5 4 5 3 2" xfId="14786" xr:uid="{3F51B192-AD6B-45D9-AFC3-31024C322F28}"/>
    <cellStyle name="Normal 2 4 5 4 5 4" xfId="10568" xr:uid="{C93EE4B2-857B-43A7-AB91-EF283CC65939}"/>
    <cellStyle name="Normal 2 4 5 4 6" xfId="2485" xr:uid="{00000000-0005-0000-0000-0000BE100000}"/>
    <cellStyle name="Normal 2 4 5 4 6 2" xfId="6770" xr:uid="{00000000-0005-0000-0000-0000BF100000}"/>
    <cellStyle name="Normal 2 4 5 4 6 2 2" xfId="15199" xr:uid="{969DBB48-0678-48C8-B2EF-ED424C3458A6}"/>
    <cellStyle name="Normal 2 4 5 4 6 3" xfId="10981" xr:uid="{431E4FA0-A514-418C-8DBE-02EB13CF4441}"/>
    <cellStyle name="Normal 2 4 5 4 7" xfId="4704" xr:uid="{00000000-0005-0000-0000-0000C0100000}"/>
    <cellStyle name="Normal 2 4 5 4 7 2" xfId="13133" xr:uid="{65E07724-3D4D-471E-B75A-DEF15DC93C55}"/>
    <cellStyle name="Normal 2 4 5 4 8" xfId="8915" xr:uid="{B5EE6122-218C-4D11-858F-550A809F68C9}"/>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DE2AF5C5-BD6D-4B62-A8D2-F86569402594}"/>
    <cellStyle name="Normal 2 4 5 5 2 3" xfId="11467" xr:uid="{257BEEAF-A44C-4B3F-8B56-568CB77F3BEF}"/>
    <cellStyle name="Normal 2 4 5 5 3" xfId="5111" xr:uid="{00000000-0005-0000-0000-0000C4100000}"/>
    <cellStyle name="Normal 2 4 5 5 3 2" xfId="13540" xr:uid="{DC3BA855-85B2-4368-8C0E-4503BA1606AF}"/>
    <cellStyle name="Normal 2 4 5 5 4" xfId="9322" xr:uid="{9B88A6BA-8BCA-461A-A5C7-2D0A74B128E2}"/>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EE56C10A-B3CF-401F-8955-D52EA47F7A42}"/>
    <cellStyle name="Normal 2 4 5 6 2 3" xfId="11880" xr:uid="{65688E00-2CB3-47D3-830C-585BB9EF536E}"/>
    <cellStyle name="Normal 2 4 5 6 3" xfId="5524" xr:uid="{00000000-0005-0000-0000-0000C8100000}"/>
    <cellStyle name="Normal 2 4 5 6 3 2" xfId="13953" xr:uid="{C36E5DE2-10AD-4E6C-A3D2-FE5CF7F6F7FB}"/>
    <cellStyle name="Normal 2 4 5 6 4" xfId="9735" xr:uid="{73A67295-49CA-4B75-BF02-E1F0B6E1F185}"/>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E7F0970B-89FD-4F55-B622-9E081403271F}"/>
    <cellStyle name="Normal 2 4 5 7 2 3" xfId="12293" xr:uid="{AA6704A7-9744-4892-B4BC-6B75DC7AFB9A}"/>
    <cellStyle name="Normal 2 4 5 7 3" xfId="5937" xr:uid="{00000000-0005-0000-0000-0000CC100000}"/>
    <cellStyle name="Normal 2 4 5 7 3 2" xfId="14366" xr:uid="{320F8471-C6FD-4CEF-92BC-C1090285E4D5}"/>
    <cellStyle name="Normal 2 4 5 7 4" xfId="10148" xr:uid="{7B6F2400-0A08-4F80-A6B7-D6108707E7EC}"/>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02C43185-AA08-4186-85C7-D4B1CAA73839}"/>
    <cellStyle name="Normal 2 4 5 8 2 3" xfId="12706" xr:uid="{5AEFEEDB-623F-416A-A616-A1719C301541}"/>
    <cellStyle name="Normal 2 4 5 8 3" xfId="6350" xr:uid="{00000000-0005-0000-0000-0000D0100000}"/>
    <cellStyle name="Normal 2 4 5 8 3 2" xfId="14779" xr:uid="{B7988DAD-D155-456A-AA23-FC5B911838BA}"/>
    <cellStyle name="Normal 2 4 5 8 4" xfId="10561" xr:uid="{D00426BF-7818-4404-8618-28C65CE6DADB}"/>
    <cellStyle name="Normal 2 4 5 9" xfId="2478" xr:uid="{00000000-0005-0000-0000-0000D1100000}"/>
    <cellStyle name="Normal 2 4 5 9 2" xfId="6763" xr:uid="{00000000-0005-0000-0000-0000D2100000}"/>
    <cellStyle name="Normal 2 4 5 9 2 2" xfId="15192" xr:uid="{E69217A5-9CC7-433C-999A-34BE0A000991}"/>
    <cellStyle name="Normal 2 4 5 9 3" xfId="10974" xr:uid="{2320D62F-455F-4E15-B1E7-0033D0C1A0A6}"/>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B609DF64-BA8B-49E3-994E-95C8B36E8B6F}"/>
    <cellStyle name="Normal 2 4 7 2 2 2 3" xfId="11476" xr:uid="{AD00A064-85D6-407F-9A27-F4E0CDEB55C1}"/>
    <cellStyle name="Normal 2 4 7 2 2 3" xfId="5120" xr:uid="{00000000-0005-0000-0000-0000D9100000}"/>
    <cellStyle name="Normal 2 4 7 2 2 3 2" xfId="13549" xr:uid="{1918E9F5-5C25-42A0-8BBF-1FD9A7FFF99E}"/>
    <cellStyle name="Normal 2 4 7 2 2 4" xfId="9331" xr:uid="{D9E7ED6F-0F2F-4C4A-8DE7-C5AFB121366E}"/>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E08E7302-6734-4FF6-B411-700CE59BF2BF}"/>
    <cellStyle name="Normal 2 4 7 2 3 2 3" xfId="11889" xr:uid="{F387900F-3F30-4C9E-A00C-C8994719951A}"/>
    <cellStyle name="Normal 2 4 7 2 3 3" xfId="5533" xr:uid="{00000000-0005-0000-0000-0000DD100000}"/>
    <cellStyle name="Normal 2 4 7 2 3 3 2" xfId="13962" xr:uid="{404D72A7-3799-4841-99F1-79050AF0EE27}"/>
    <cellStyle name="Normal 2 4 7 2 3 4" xfId="9744" xr:uid="{E78BE832-87F2-40A5-B713-726DD9F70746}"/>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A1DF33F0-B30F-4976-9FAE-4341D362FFA1}"/>
    <cellStyle name="Normal 2 4 7 2 4 2 3" xfId="12302" xr:uid="{D27DD51F-C786-47A5-B9EB-16A0726BA27D}"/>
    <cellStyle name="Normal 2 4 7 2 4 3" xfId="5946" xr:uid="{00000000-0005-0000-0000-0000E1100000}"/>
    <cellStyle name="Normal 2 4 7 2 4 3 2" xfId="14375" xr:uid="{C93F5069-535F-4F64-989A-D269468527EC}"/>
    <cellStyle name="Normal 2 4 7 2 4 4" xfId="10157" xr:uid="{FD02FB07-A403-4E52-88BA-C59F45B1816C}"/>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85180B51-EF42-49F9-B32C-897F9AD34D6E}"/>
    <cellStyle name="Normal 2 4 7 2 5 2 3" xfId="12715" xr:uid="{B0E91925-D06F-467F-A372-A99B7DC86DF6}"/>
    <cellStyle name="Normal 2 4 7 2 5 3" xfId="6359" xr:uid="{00000000-0005-0000-0000-0000E5100000}"/>
    <cellStyle name="Normal 2 4 7 2 5 3 2" xfId="14788" xr:uid="{25F38D1A-357F-4C04-AE52-D371DD867538}"/>
    <cellStyle name="Normal 2 4 7 2 5 4" xfId="10570" xr:uid="{152ED1D6-760D-4133-B464-37911A77AB0A}"/>
    <cellStyle name="Normal 2 4 7 2 6" xfId="2487" xr:uid="{00000000-0005-0000-0000-0000E6100000}"/>
    <cellStyle name="Normal 2 4 7 2 6 2" xfId="6772" xr:uid="{00000000-0005-0000-0000-0000E7100000}"/>
    <cellStyle name="Normal 2 4 7 2 6 2 2" xfId="15201" xr:uid="{458F2E1B-1F50-430A-9D1F-D3ECA062138C}"/>
    <cellStyle name="Normal 2 4 7 2 6 3" xfId="10983" xr:uid="{BFC16E1F-0AA2-4797-8921-6CBFDC9F7537}"/>
    <cellStyle name="Normal 2 4 7 2 7" xfId="4706" xr:uid="{00000000-0005-0000-0000-0000E8100000}"/>
    <cellStyle name="Normal 2 4 7 2 7 2" xfId="13135" xr:uid="{B3976EE8-E13F-47AE-AB83-AA23994D036E}"/>
    <cellStyle name="Normal 2 4 7 2 8" xfId="8917" xr:uid="{98AF8CBA-4DDA-4739-8EF1-207BA746D0D7}"/>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B6FF0A1B-0501-4C59-9295-CE8BC726BB46}"/>
    <cellStyle name="Normal 2 4 7 3 2 3" xfId="11475" xr:uid="{76F5D376-74EB-426E-82BC-9F1F3C4BAA14}"/>
    <cellStyle name="Normal 2 4 7 3 3" xfId="5119" xr:uid="{00000000-0005-0000-0000-0000EC100000}"/>
    <cellStyle name="Normal 2 4 7 3 3 2" xfId="13548" xr:uid="{FD41CA2F-F7A3-4313-8E6E-779C51F59B1E}"/>
    <cellStyle name="Normal 2 4 7 3 4" xfId="9330" xr:uid="{7D5A60D3-6F7F-4A6E-859E-7AA526352375}"/>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23652825-E2C4-4EBB-922D-FE204E3F4842}"/>
    <cellStyle name="Normal 2 4 7 4 2 3" xfId="11888" xr:uid="{81377B6C-89EC-47E5-AC04-B8F85FB94B80}"/>
    <cellStyle name="Normal 2 4 7 4 3" xfId="5532" xr:uid="{00000000-0005-0000-0000-0000F0100000}"/>
    <cellStyle name="Normal 2 4 7 4 3 2" xfId="13961" xr:uid="{5210B407-AA54-410B-AA63-5D91B71FEF41}"/>
    <cellStyle name="Normal 2 4 7 4 4" xfId="9743" xr:uid="{3EC8D0B6-8110-4C1E-897A-5C29252A7988}"/>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8DB2F980-897C-452A-9508-34084448A985}"/>
    <cellStyle name="Normal 2 4 7 5 2 3" xfId="12301" xr:uid="{0848A4B5-5544-4633-8C65-8A555F08A29C}"/>
    <cellStyle name="Normal 2 4 7 5 3" xfId="5945" xr:uid="{00000000-0005-0000-0000-0000F4100000}"/>
    <cellStyle name="Normal 2 4 7 5 3 2" xfId="14374" xr:uid="{E07E74BE-A729-4921-9366-95E0D7C7E893}"/>
    <cellStyle name="Normal 2 4 7 5 4" xfId="10156" xr:uid="{3B71C1A1-0D1F-4D33-94B6-56E2A258DFA3}"/>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3CDE4156-43D7-44A9-92C1-31B958481CE7}"/>
    <cellStyle name="Normal 2 4 7 6 2 3" xfId="12714" xr:uid="{AF4221EC-4C99-4579-B15C-046341F5ABC9}"/>
    <cellStyle name="Normal 2 4 7 6 3" xfId="6358" xr:uid="{00000000-0005-0000-0000-0000F8100000}"/>
    <cellStyle name="Normal 2 4 7 6 3 2" xfId="14787" xr:uid="{2215D0E5-E363-4B0A-BD38-55BB54A446BF}"/>
    <cellStyle name="Normal 2 4 7 6 4" xfId="10569" xr:uid="{8949C9A3-C54E-4A1E-AF34-5CE1AA88398E}"/>
    <cellStyle name="Normal 2 4 7 7" xfId="2486" xr:uid="{00000000-0005-0000-0000-0000F9100000}"/>
    <cellStyle name="Normal 2 4 7 7 2" xfId="6771" xr:uid="{00000000-0005-0000-0000-0000FA100000}"/>
    <cellStyle name="Normal 2 4 7 7 2 2" xfId="15200" xr:uid="{FF361832-C434-4924-91CD-2FAE032131C2}"/>
    <cellStyle name="Normal 2 4 7 7 3" xfId="10982" xr:uid="{79FEDFE3-A856-4814-986B-48FD4284FB7D}"/>
    <cellStyle name="Normal 2 4 7 8" xfId="4705" xr:uid="{00000000-0005-0000-0000-0000FB100000}"/>
    <cellStyle name="Normal 2 4 7 8 2" xfId="13134" xr:uid="{D60089CA-4E22-4B6C-B084-65053CD2AA4B}"/>
    <cellStyle name="Normal 2 4 7 9" xfId="8916" xr:uid="{7E1CD095-6DDB-4EC4-9DA3-7109DB5D308B}"/>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682CE147-3F2A-4F5E-88AE-7B0EC0186887}"/>
    <cellStyle name="Normal 2 4 8 2 2 3" xfId="11477" xr:uid="{831FB0BD-CE77-456B-AB11-6308BFFCE999}"/>
    <cellStyle name="Normal 2 4 8 2 3" xfId="5121" xr:uid="{00000000-0005-0000-0000-000000110000}"/>
    <cellStyle name="Normal 2 4 8 2 3 2" xfId="13550" xr:uid="{0087AAF5-189D-4DE7-9D8E-538046F9E598}"/>
    <cellStyle name="Normal 2 4 8 2 4" xfId="9332" xr:uid="{755FBA73-DC57-438A-8A0A-AD2EDBC4401D}"/>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486CC095-73C5-4E54-9F08-8EFA25652F4E}"/>
    <cellStyle name="Normal 2 4 8 3 2 3" xfId="11890" xr:uid="{26609C96-2507-42CA-A6FC-914928A19564}"/>
    <cellStyle name="Normal 2 4 8 3 3" xfId="5534" xr:uid="{00000000-0005-0000-0000-000004110000}"/>
    <cellStyle name="Normal 2 4 8 3 3 2" xfId="13963" xr:uid="{718D0C84-4027-452A-B3A8-F7DFD32260A2}"/>
    <cellStyle name="Normal 2 4 8 3 4" xfId="9745" xr:uid="{27900CD1-BB55-4E07-9205-55A1F8FACE80}"/>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4D4E4602-C639-4EB2-AAF4-321B8D2CCC36}"/>
    <cellStyle name="Normal 2 4 8 4 2 3" xfId="12303" xr:uid="{D17F5904-8654-44BD-8724-D3B28E6FC5B3}"/>
    <cellStyle name="Normal 2 4 8 4 3" xfId="5947" xr:uid="{00000000-0005-0000-0000-000008110000}"/>
    <cellStyle name="Normal 2 4 8 4 3 2" xfId="14376" xr:uid="{43431CB5-6C19-4613-81A8-1CBB654D2790}"/>
    <cellStyle name="Normal 2 4 8 4 4" xfId="10158" xr:uid="{95EE291E-5039-4EFA-B52A-026E018391E7}"/>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6FB8D695-0888-49EB-B4C6-075D571516AF}"/>
    <cellStyle name="Normal 2 4 8 5 2 3" xfId="12716" xr:uid="{7910C97E-4DEF-4C9E-AB60-AE9675D8D231}"/>
    <cellStyle name="Normal 2 4 8 5 3" xfId="6360" xr:uid="{00000000-0005-0000-0000-00000C110000}"/>
    <cellStyle name="Normal 2 4 8 5 3 2" xfId="14789" xr:uid="{EC5047BB-B6E0-40B8-8043-814FB92344AD}"/>
    <cellStyle name="Normal 2 4 8 5 4" xfId="10571" xr:uid="{440C8506-B4CF-488F-B9F4-6BF9F722F9D8}"/>
    <cellStyle name="Normal 2 4 8 6" xfId="2488" xr:uid="{00000000-0005-0000-0000-00000D110000}"/>
    <cellStyle name="Normal 2 4 8 6 2" xfId="6773" xr:uid="{00000000-0005-0000-0000-00000E110000}"/>
    <cellStyle name="Normal 2 4 8 6 2 2" xfId="15202" xr:uid="{2C412F4D-3006-4193-8697-9A1CBF48FD8B}"/>
    <cellStyle name="Normal 2 4 8 6 3" xfId="10984" xr:uid="{D8342AE7-EE1C-46E9-B4B1-39FD83969332}"/>
    <cellStyle name="Normal 2 4 8 7" xfId="4707" xr:uid="{00000000-0005-0000-0000-00000F110000}"/>
    <cellStyle name="Normal 2 4 8 7 2" xfId="13136" xr:uid="{EBC52201-F54A-4B18-8485-789F504C646C}"/>
    <cellStyle name="Normal 2 4 8 8" xfId="8918" xr:uid="{2A4F9C76-E039-4B1C-80D6-5327340E8F91}"/>
    <cellStyle name="Normal 2 5" xfId="315" xr:uid="{00000000-0005-0000-0000-000010110000}"/>
    <cellStyle name="Normal 2 5 10" xfId="4708" xr:uid="{00000000-0005-0000-0000-000011110000}"/>
    <cellStyle name="Normal 2 5 10 2" xfId="13137" xr:uid="{6280F2CE-F393-49A8-8AFB-FF360066EC04}"/>
    <cellStyle name="Normal 2 5 11" xfId="8919" xr:uid="{408C639F-18A5-4E93-99A2-267A81AD4FA0}"/>
    <cellStyle name="Normal 2 5 2" xfId="316" xr:uid="{00000000-0005-0000-0000-000012110000}"/>
    <cellStyle name="Normal 2 5 3" xfId="317" xr:uid="{00000000-0005-0000-0000-000013110000}"/>
    <cellStyle name="Normal 2 5 4" xfId="318" xr:uid="{00000000-0005-0000-0000-000014110000}"/>
    <cellStyle name="Normal 2 5 4 10" xfId="8920" xr:uid="{1FD5BD84-E80B-42DD-B126-5A0896C82C69}"/>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EFB0059A-714E-40E5-9BDF-BCB7F52FF5E2}"/>
    <cellStyle name="Normal 2 5 4 2 2 2 2 3" xfId="11481" xr:uid="{F1BC5E60-86ED-484A-9F97-C2BCE0495B77}"/>
    <cellStyle name="Normal 2 5 4 2 2 2 3" xfId="5125" xr:uid="{00000000-0005-0000-0000-00001A110000}"/>
    <cellStyle name="Normal 2 5 4 2 2 2 3 2" xfId="13554" xr:uid="{4F584928-345F-4F9D-87C3-3EF1DA861845}"/>
    <cellStyle name="Normal 2 5 4 2 2 2 4" xfId="9336" xr:uid="{AD093A4B-C554-4CA5-998D-A9DB629CA8A4}"/>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81B4932A-D752-432A-8ECC-FCC594FE6372}"/>
    <cellStyle name="Normal 2 5 4 2 2 3 2 3" xfId="11894" xr:uid="{7928B456-BB55-49CA-A5E0-7A6CCFD39DB8}"/>
    <cellStyle name="Normal 2 5 4 2 2 3 3" xfId="5538" xr:uid="{00000000-0005-0000-0000-00001E110000}"/>
    <cellStyle name="Normal 2 5 4 2 2 3 3 2" xfId="13967" xr:uid="{9BC39A51-A0C5-4DB4-84BF-C7CB8B7E5804}"/>
    <cellStyle name="Normal 2 5 4 2 2 3 4" xfId="9749" xr:uid="{23DE54F2-C72A-4BD6-ABF1-A2041B81AFBB}"/>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1A95D088-8B9B-45E1-ADFB-67BF49232319}"/>
    <cellStyle name="Normal 2 5 4 2 2 4 2 3" xfId="12307" xr:uid="{86BD609F-D0D9-460A-9B39-CA7E908E1E8E}"/>
    <cellStyle name="Normal 2 5 4 2 2 4 3" xfId="5951" xr:uid="{00000000-0005-0000-0000-000022110000}"/>
    <cellStyle name="Normal 2 5 4 2 2 4 3 2" xfId="14380" xr:uid="{3190DDC6-ACD1-4C41-AEE4-4118CB44228B}"/>
    <cellStyle name="Normal 2 5 4 2 2 4 4" xfId="10162" xr:uid="{DF9E4D2E-8E89-49BA-B1B4-543FB627D734}"/>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15519838-C248-45BE-A804-674588721C48}"/>
    <cellStyle name="Normal 2 5 4 2 2 5 2 3" xfId="12720" xr:uid="{99CD5BA2-1DEC-45AA-9B72-26E9D94D927C}"/>
    <cellStyle name="Normal 2 5 4 2 2 5 3" xfId="6364" xr:uid="{00000000-0005-0000-0000-000026110000}"/>
    <cellStyle name="Normal 2 5 4 2 2 5 3 2" xfId="14793" xr:uid="{F3F38A70-6C0F-45E7-98C2-5ACB70AD2C81}"/>
    <cellStyle name="Normal 2 5 4 2 2 5 4" xfId="10575" xr:uid="{C9001C32-4851-4268-860E-C12D1317D353}"/>
    <cellStyle name="Normal 2 5 4 2 2 6" xfId="2492" xr:uid="{00000000-0005-0000-0000-000027110000}"/>
    <cellStyle name="Normal 2 5 4 2 2 6 2" xfId="6777" xr:uid="{00000000-0005-0000-0000-000028110000}"/>
    <cellStyle name="Normal 2 5 4 2 2 6 2 2" xfId="15206" xr:uid="{814678A0-E4E7-4B83-A7B4-B7BFD43A1851}"/>
    <cellStyle name="Normal 2 5 4 2 2 6 3" xfId="10988" xr:uid="{78484065-F7DD-439A-819D-7204BC850766}"/>
    <cellStyle name="Normal 2 5 4 2 2 7" xfId="4711" xr:uid="{00000000-0005-0000-0000-000029110000}"/>
    <cellStyle name="Normal 2 5 4 2 2 7 2" xfId="13140" xr:uid="{6B0FF3EA-9D49-4F48-BB82-9FD4D03686F5}"/>
    <cellStyle name="Normal 2 5 4 2 2 8" xfId="8922" xr:uid="{6F716F17-D336-4440-BAA7-28B13818E980}"/>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2E31ED40-6B51-4846-BE9D-93254ECA7D36}"/>
    <cellStyle name="Normal 2 5 4 2 3 2 3" xfId="11480" xr:uid="{06E7D3CF-B773-472D-B20F-BF0828A0ACDF}"/>
    <cellStyle name="Normal 2 5 4 2 3 3" xfId="5124" xr:uid="{00000000-0005-0000-0000-00002D110000}"/>
    <cellStyle name="Normal 2 5 4 2 3 3 2" xfId="13553" xr:uid="{D09B3303-FC9A-448F-96DE-F0E2BE7E2226}"/>
    <cellStyle name="Normal 2 5 4 2 3 4" xfId="9335" xr:uid="{34B45CA7-0EF3-4146-A847-6114B7A092D2}"/>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0194B1C2-F3D3-4CF4-8C8E-F788BFEEC6A1}"/>
    <cellStyle name="Normal 2 5 4 2 4 2 3" xfId="11893" xr:uid="{42796623-AED2-4D9E-A1B2-72027C8905C2}"/>
    <cellStyle name="Normal 2 5 4 2 4 3" xfId="5537" xr:uid="{00000000-0005-0000-0000-000031110000}"/>
    <cellStyle name="Normal 2 5 4 2 4 3 2" xfId="13966" xr:uid="{1BF318E9-5D2B-457D-AE8C-03503C459AF0}"/>
    <cellStyle name="Normal 2 5 4 2 4 4" xfId="9748" xr:uid="{D3020745-4216-4A88-9082-FB2E004CE1C9}"/>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91734673-68BC-490A-87E8-E2F0F916F713}"/>
    <cellStyle name="Normal 2 5 4 2 5 2 3" xfId="12306" xr:uid="{7556AAAA-9A03-40A8-AC5C-4E0A315411D8}"/>
    <cellStyle name="Normal 2 5 4 2 5 3" xfId="5950" xr:uid="{00000000-0005-0000-0000-000035110000}"/>
    <cellStyle name="Normal 2 5 4 2 5 3 2" xfId="14379" xr:uid="{391CF9E5-6EB7-4999-B144-4D125713033A}"/>
    <cellStyle name="Normal 2 5 4 2 5 4" xfId="10161" xr:uid="{9B19FDDC-C835-441F-A27D-072F19354251}"/>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A5FAAEA5-CCEA-4C78-8B2C-BB37B5F69EDC}"/>
    <cellStyle name="Normal 2 5 4 2 6 2 3" xfId="12719" xr:uid="{5268DF48-E7DE-4637-BA66-637930CBF281}"/>
    <cellStyle name="Normal 2 5 4 2 6 3" xfId="6363" xr:uid="{00000000-0005-0000-0000-000039110000}"/>
    <cellStyle name="Normal 2 5 4 2 6 3 2" xfId="14792" xr:uid="{81D424E2-D032-484C-BD43-6AA04F992A78}"/>
    <cellStyle name="Normal 2 5 4 2 6 4" xfId="10574" xr:uid="{57341E41-F913-40EE-AD98-E59B23E0C01A}"/>
    <cellStyle name="Normal 2 5 4 2 7" xfId="2491" xr:uid="{00000000-0005-0000-0000-00003A110000}"/>
    <cellStyle name="Normal 2 5 4 2 7 2" xfId="6776" xr:uid="{00000000-0005-0000-0000-00003B110000}"/>
    <cellStyle name="Normal 2 5 4 2 7 2 2" xfId="15205" xr:uid="{5C18B943-FAA9-4B2F-9978-56DA32DF38C9}"/>
    <cellStyle name="Normal 2 5 4 2 7 3" xfId="10987" xr:uid="{FB23B645-E897-454F-914B-E62B95732D06}"/>
    <cellStyle name="Normal 2 5 4 2 8" xfId="4710" xr:uid="{00000000-0005-0000-0000-00003C110000}"/>
    <cellStyle name="Normal 2 5 4 2 8 2" xfId="13139" xr:uid="{77C068E4-C212-4556-AD61-217FD6040863}"/>
    <cellStyle name="Normal 2 5 4 2 9" xfId="8921" xr:uid="{A61A7EFF-E0E8-429D-9CB8-1A372882481D}"/>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064DC887-4002-414C-BA12-96538CBFE9A3}"/>
    <cellStyle name="Normal 2 5 4 3 2 2 3" xfId="11482" xr:uid="{57FE5B6C-6A9B-4E77-8B55-03E095443CD7}"/>
    <cellStyle name="Normal 2 5 4 3 2 3" xfId="5126" xr:uid="{00000000-0005-0000-0000-000041110000}"/>
    <cellStyle name="Normal 2 5 4 3 2 3 2" xfId="13555" xr:uid="{68E1345D-32EE-439E-B42F-347CE3152967}"/>
    <cellStyle name="Normal 2 5 4 3 2 4" xfId="9337" xr:uid="{B5A8499A-9D4F-4EE4-B6E4-BE28D198B1B3}"/>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36FD9300-4CEB-4B81-A56A-5EB3DB841E61}"/>
    <cellStyle name="Normal 2 5 4 3 3 2 3" xfId="11895" xr:uid="{1542A16E-3F3E-44D8-9840-4C53A001F10E}"/>
    <cellStyle name="Normal 2 5 4 3 3 3" xfId="5539" xr:uid="{00000000-0005-0000-0000-000045110000}"/>
    <cellStyle name="Normal 2 5 4 3 3 3 2" xfId="13968" xr:uid="{E7B51F2C-F34D-4FE8-8B82-8EC625C2225C}"/>
    <cellStyle name="Normal 2 5 4 3 3 4" xfId="9750" xr:uid="{B2FA572E-9421-4FF2-9EC0-C1829E884AD1}"/>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3683246C-0C4B-499A-8BBF-67939D419A30}"/>
    <cellStyle name="Normal 2 5 4 3 4 2 3" xfId="12308" xr:uid="{5BB5C634-06AE-444B-92BF-7CE6C29182D9}"/>
    <cellStyle name="Normal 2 5 4 3 4 3" xfId="5952" xr:uid="{00000000-0005-0000-0000-000049110000}"/>
    <cellStyle name="Normal 2 5 4 3 4 3 2" xfId="14381" xr:uid="{55377D65-EF17-481B-B18B-47FD6B02C8C2}"/>
    <cellStyle name="Normal 2 5 4 3 4 4" xfId="10163" xr:uid="{67B0BF56-9C09-4334-B1C4-6B0513919EA7}"/>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B78C31ED-35A0-40DB-8C59-8B9E8A9CE48B}"/>
    <cellStyle name="Normal 2 5 4 3 5 2 3" xfId="12721" xr:uid="{7C0F6B0A-3C38-4D53-817B-30FA99BA2A1A}"/>
    <cellStyle name="Normal 2 5 4 3 5 3" xfId="6365" xr:uid="{00000000-0005-0000-0000-00004D110000}"/>
    <cellStyle name="Normal 2 5 4 3 5 3 2" xfId="14794" xr:uid="{4FC98E43-6398-4219-8E5D-10D2CA239574}"/>
    <cellStyle name="Normal 2 5 4 3 5 4" xfId="10576" xr:uid="{4991B606-75EC-482B-8794-37FF9749F38D}"/>
    <cellStyle name="Normal 2 5 4 3 6" xfId="2493" xr:uid="{00000000-0005-0000-0000-00004E110000}"/>
    <cellStyle name="Normal 2 5 4 3 6 2" xfId="6778" xr:uid="{00000000-0005-0000-0000-00004F110000}"/>
    <cellStyle name="Normal 2 5 4 3 6 2 2" xfId="15207" xr:uid="{3AAEE1E4-4604-48B8-9923-E7F271A79AF4}"/>
    <cellStyle name="Normal 2 5 4 3 6 3" xfId="10989" xr:uid="{18F70B91-1718-4789-9435-E61BB06ABE63}"/>
    <cellStyle name="Normal 2 5 4 3 7" xfId="4712" xr:uid="{00000000-0005-0000-0000-000050110000}"/>
    <cellStyle name="Normal 2 5 4 3 7 2" xfId="13141" xr:uid="{C8590DAC-45AB-4E47-AF00-82A1FB7F75E5}"/>
    <cellStyle name="Normal 2 5 4 3 8" xfId="8923" xr:uid="{8E38215E-33CD-40FB-9B68-CA63AB7032F9}"/>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D1385A07-8416-429D-B4BB-047A6BE71ACE}"/>
    <cellStyle name="Normal 2 5 4 4 2 3" xfId="11479" xr:uid="{564077A1-C6DB-4A80-AA1F-DCC6B8787FC7}"/>
    <cellStyle name="Normal 2 5 4 4 3" xfId="5123" xr:uid="{00000000-0005-0000-0000-000054110000}"/>
    <cellStyle name="Normal 2 5 4 4 3 2" xfId="13552" xr:uid="{A4DDB087-18B2-402A-9C0F-4C9CE1356F0F}"/>
    <cellStyle name="Normal 2 5 4 4 4" xfId="9334" xr:uid="{AD4EAF29-F360-48CC-BB04-CB7A70CAA1D9}"/>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9071A5FA-2B4D-41D0-B184-3087B8F008D5}"/>
    <cellStyle name="Normal 2 5 4 5 2 3" xfId="11892" xr:uid="{B4FA5067-80ED-437B-B58E-E379D8921115}"/>
    <cellStyle name="Normal 2 5 4 5 3" xfId="5536" xr:uid="{00000000-0005-0000-0000-000058110000}"/>
    <cellStyle name="Normal 2 5 4 5 3 2" xfId="13965" xr:uid="{33D5DABB-5AAE-4F3C-B500-1B4A82863758}"/>
    <cellStyle name="Normal 2 5 4 5 4" xfId="9747" xr:uid="{0FCA3C23-E552-450D-97B4-EE7EB61EF4ED}"/>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D015B5E1-1C4D-4C81-9955-FD6630F94317}"/>
    <cellStyle name="Normal 2 5 4 6 2 3" xfId="12305" xr:uid="{5C2493B2-BDB7-41B8-8D70-FE078D4B0EAF}"/>
    <cellStyle name="Normal 2 5 4 6 3" xfId="5949" xr:uid="{00000000-0005-0000-0000-00005C110000}"/>
    <cellStyle name="Normal 2 5 4 6 3 2" xfId="14378" xr:uid="{9A81F83E-744A-44EC-9A7B-3387CD38B80C}"/>
    <cellStyle name="Normal 2 5 4 6 4" xfId="10160" xr:uid="{9953BB51-5860-4F32-B397-B324DE68084B}"/>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BDE19153-666A-4EA9-9AB7-391634696638}"/>
    <cellStyle name="Normal 2 5 4 7 2 3" xfId="12718" xr:uid="{399D7669-5C5C-46DC-BFD7-B075D899F299}"/>
    <cellStyle name="Normal 2 5 4 7 3" xfId="6362" xr:uid="{00000000-0005-0000-0000-000060110000}"/>
    <cellStyle name="Normal 2 5 4 7 3 2" xfId="14791" xr:uid="{8B1B1838-3AB8-4B56-8A4D-7DD61CD11978}"/>
    <cellStyle name="Normal 2 5 4 7 4" xfId="10573" xr:uid="{D53FF4D8-0009-450E-972F-8CCC0B371E4E}"/>
    <cellStyle name="Normal 2 5 4 8" xfId="2490" xr:uid="{00000000-0005-0000-0000-000061110000}"/>
    <cellStyle name="Normal 2 5 4 8 2" xfId="6775" xr:uid="{00000000-0005-0000-0000-000062110000}"/>
    <cellStyle name="Normal 2 5 4 8 2 2" xfId="15204" xr:uid="{8A312087-91F5-43DC-989E-5F5906B94223}"/>
    <cellStyle name="Normal 2 5 4 8 3" xfId="10986" xr:uid="{5C02C5B3-E185-47CE-A358-F52179E51EDD}"/>
    <cellStyle name="Normal 2 5 4 9" xfId="4709" xr:uid="{00000000-0005-0000-0000-000063110000}"/>
    <cellStyle name="Normal 2 5 4 9 2" xfId="13138" xr:uid="{4F03BBAF-A73D-47A4-8562-4950BD7A0670}"/>
    <cellStyle name="Normal 2 5 5" xfId="804" xr:uid="{00000000-0005-0000-0000-000064110000}"/>
    <cellStyle name="Normal 2 5 5 2" xfId="3043" xr:uid="{00000000-0005-0000-0000-000065110000}"/>
    <cellStyle name="Normal 2 5 5 2 2" xfId="7267" xr:uid="{00000000-0005-0000-0000-000066110000}"/>
    <cellStyle name="Normal 2 5 5 2 2 2" xfId="15696" xr:uid="{2B9ADBAD-DB1F-4A13-863C-3789067A20A4}"/>
    <cellStyle name="Normal 2 5 5 2 3" xfId="11478" xr:uid="{9AE5182F-7D58-474D-B895-BA38649743AF}"/>
    <cellStyle name="Normal 2 5 5 3" xfId="5122" xr:uid="{00000000-0005-0000-0000-000067110000}"/>
    <cellStyle name="Normal 2 5 5 3 2" xfId="13551" xr:uid="{854BF20A-F012-4516-A50B-A7488C4498DB}"/>
    <cellStyle name="Normal 2 5 5 4" xfId="9333" xr:uid="{E6B0C14F-CE7B-4F11-9A4D-930E188F4A38}"/>
    <cellStyle name="Normal 2 5 6" xfId="1226" xr:uid="{00000000-0005-0000-0000-000068110000}"/>
    <cellStyle name="Normal 2 5 6 2" xfId="3456" xr:uid="{00000000-0005-0000-0000-000069110000}"/>
    <cellStyle name="Normal 2 5 6 2 2" xfId="7680" xr:uid="{00000000-0005-0000-0000-00006A110000}"/>
    <cellStyle name="Normal 2 5 6 2 2 2" xfId="16109" xr:uid="{0BDE029A-A28A-42B9-ADF9-9AFF81022193}"/>
    <cellStyle name="Normal 2 5 6 2 3" xfId="11891" xr:uid="{B6D0F299-4A57-45DD-8D6C-8FD88FEA6985}"/>
    <cellStyle name="Normal 2 5 6 3" xfId="5535" xr:uid="{00000000-0005-0000-0000-00006B110000}"/>
    <cellStyle name="Normal 2 5 6 3 2" xfId="13964" xr:uid="{B8797AF6-B23E-4899-8597-F041245D5B3E}"/>
    <cellStyle name="Normal 2 5 6 4" xfId="9746" xr:uid="{914AC080-3A85-4C2C-A9DA-6CE411C98DC3}"/>
    <cellStyle name="Normal 2 5 7" xfId="1639" xr:uid="{00000000-0005-0000-0000-00006C110000}"/>
    <cellStyle name="Normal 2 5 7 2" xfId="3869" xr:uid="{00000000-0005-0000-0000-00006D110000}"/>
    <cellStyle name="Normal 2 5 7 2 2" xfId="8093" xr:uid="{00000000-0005-0000-0000-00006E110000}"/>
    <cellStyle name="Normal 2 5 7 2 2 2" xfId="16522" xr:uid="{5F39794B-8ECA-4E0A-9941-6797743FD060}"/>
    <cellStyle name="Normal 2 5 7 2 3" xfId="12304" xr:uid="{9F49D9BE-B180-4AE0-BFA3-A2529DE82BAB}"/>
    <cellStyle name="Normal 2 5 7 3" xfId="5948" xr:uid="{00000000-0005-0000-0000-00006F110000}"/>
    <cellStyle name="Normal 2 5 7 3 2" xfId="14377" xr:uid="{18E5901F-FB9F-4C3B-82B1-5CEF7E475639}"/>
    <cellStyle name="Normal 2 5 7 4" xfId="10159" xr:uid="{EA10D60F-81E2-4CDD-86A8-CE23CB74061B}"/>
    <cellStyle name="Normal 2 5 8" xfId="2053" xr:uid="{00000000-0005-0000-0000-000070110000}"/>
    <cellStyle name="Normal 2 5 8 2" xfId="4282" xr:uid="{00000000-0005-0000-0000-000071110000}"/>
    <cellStyle name="Normal 2 5 8 2 2" xfId="8506" xr:uid="{00000000-0005-0000-0000-000072110000}"/>
    <cellStyle name="Normal 2 5 8 2 2 2" xfId="16935" xr:uid="{0074CECD-8F51-42CB-9E2D-7E0AE8EE1138}"/>
    <cellStyle name="Normal 2 5 8 2 3" xfId="12717" xr:uid="{242B5279-3578-465F-94EB-9A48530E8F1F}"/>
    <cellStyle name="Normal 2 5 8 3" xfId="6361" xr:uid="{00000000-0005-0000-0000-000073110000}"/>
    <cellStyle name="Normal 2 5 8 3 2" xfId="14790" xr:uid="{9D7034C7-BE5D-4A39-96A2-04CEA28FCDDC}"/>
    <cellStyle name="Normal 2 5 8 4" xfId="10572" xr:uid="{FAA4FD5D-1736-4F17-9A7C-6A9A6C196837}"/>
    <cellStyle name="Normal 2 5 9" xfId="2489" xr:uid="{00000000-0005-0000-0000-000074110000}"/>
    <cellStyle name="Normal 2 5 9 2" xfId="6774" xr:uid="{00000000-0005-0000-0000-000075110000}"/>
    <cellStyle name="Normal 2 5 9 2 2" xfId="15203" xr:uid="{A519FFAD-CED6-4762-A261-69BE0D2BD1B3}"/>
    <cellStyle name="Normal 2 5 9 3" xfId="10985" xr:uid="{9F2A49DC-D440-412D-A91B-EDECD5420293}"/>
    <cellStyle name="Normal 2 6" xfId="322" xr:uid="{00000000-0005-0000-0000-000076110000}"/>
    <cellStyle name="Normal 2 7" xfId="770" xr:uid="{00000000-0005-0000-0000-000077110000}"/>
    <cellStyle name="Normal 2 8" xfId="4496" xr:uid="{00000000-0005-0000-0000-000078110000}"/>
    <cellStyle name="Normal 2 8 2" xfId="12929" xr:uid="{DD16A057-B55F-406D-801A-C6217B7A2389}"/>
    <cellStyle name="Normal 3" xfId="323" xr:uid="{00000000-0005-0000-0000-000079110000}"/>
    <cellStyle name="Normal 3 2" xfId="324" xr:uid="{00000000-0005-0000-0000-00007A110000}"/>
    <cellStyle name="Normal 3 2 10" xfId="8924" xr:uid="{B8F895AB-647D-4C8C-A37C-6C65BD88B4AB}"/>
    <cellStyle name="Normal 3 2 2" xfId="325" xr:uid="{00000000-0005-0000-0000-00007B110000}"/>
    <cellStyle name="Normal 3 2 2 2" xfId="811" xr:uid="{00000000-0005-0000-0000-00007C110000}"/>
    <cellStyle name="Normal 3 2 3" xfId="326" xr:uid="{00000000-0005-0000-0000-00007D110000}"/>
    <cellStyle name="Normal 3 2 3 10" xfId="8925" xr:uid="{C6F477CB-0696-49E6-ACFB-B757A71B36B3}"/>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3136ECEA-1322-4BB4-A256-897E9C08778D}"/>
    <cellStyle name="Normal 3 2 3 2 2 2 2 3" xfId="11486" xr:uid="{A33EB02A-B00F-4904-A413-F985BE88DA96}"/>
    <cellStyle name="Normal 3 2 3 2 2 2 3" xfId="5130" xr:uid="{00000000-0005-0000-0000-000083110000}"/>
    <cellStyle name="Normal 3 2 3 2 2 2 3 2" xfId="13559" xr:uid="{A27398D5-A82C-4786-9095-355F535B5A1B}"/>
    <cellStyle name="Normal 3 2 3 2 2 2 4" xfId="9341" xr:uid="{0EC7AEA0-0735-4E16-AB28-439AF4AFBFCD}"/>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49BE0A55-74FF-47B7-906D-62C5417EF5B6}"/>
    <cellStyle name="Normal 3 2 3 2 2 3 2 3" xfId="11899" xr:uid="{60ADB825-2ADB-48CD-8FD1-99506E2DA6CE}"/>
    <cellStyle name="Normal 3 2 3 2 2 3 3" xfId="5543" xr:uid="{00000000-0005-0000-0000-000087110000}"/>
    <cellStyle name="Normal 3 2 3 2 2 3 3 2" xfId="13972" xr:uid="{369A2E6F-2851-4D61-AA2D-276241C76F83}"/>
    <cellStyle name="Normal 3 2 3 2 2 3 4" xfId="9754" xr:uid="{DF0C64B9-2613-4EAE-8F78-90807AFB0194}"/>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3D36ACD8-5D66-41BD-B4C9-65B116AB2086}"/>
    <cellStyle name="Normal 3 2 3 2 2 4 2 3" xfId="12312" xr:uid="{930C67D9-9E72-4D70-BAF4-BDB20D24791F}"/>
    <cellStyle name="Normal 3 2 3 2 2 4 3" xfId="5956" xr:uid="{00000000-0005-0000-0000-00008B110000}"/>
    <cellStyle name="Normal 3 2 3 2 2 4 3 2" xfId="14385" xr:uid="{0A5AAB59-C7C0-4D5D-A4D7-EB21ABE09EF8}"/>
    <cellStyle name="Normal 3 2 3 2 2 4 4" xfId="10167" xr:uid="{E41A1C7F-A483-4C16-A70A-62E50C1B43D7}"/>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C73FA3E9-0AD1-4212-8F3C-0471D4E3AF21}"/>
    <cellStyle name="Normal 3 2 3 2 2 5 2 3" xfId="12725" xr:uid="{158D29F9-B4D2-4BC3-8778-2FE40B3B3848}"/>
    <cellStyle name="Normal 3 2 3 2 2 5 3" xfId="6369" xr:uid="{00000000-0005-0000-0000-00008F110000}"/>
    <cellStyle name="Normal 3 2 3 2 2 5 3 2" xfId="14798" xr:uid="{53252EA9-F73B-4311-B5F2-7B066D109795}"/>
    <cellStyle name="Normal 3 2 3 2 2 5 4" xfId="10580" xr:uid="{75C06FFD-001A-4EB4-9305-59A0547CE188}"/>
    <cellStyle name="Normal 3 2 3 2 2 6" xfId="2497" xr:uid="{00000000-0005-0000-0000-000090110000}"/>
    <cellStyle name="Normal 3 2 3 2 2 6 2" xfId="6782" xr:uid="{00000000-0005-0000-0000-000091110000}"/>
    <cellStyle name="Normal 3 2 3 2 2 6 2 2" xfId="15211" xr:uid="{5864771D-540A-449A-8DE4-0CBDD43C50A3}"/>
    <cellStyle name="Normal 3 2 3 2 2 6 3" xfId="10993" xr:uid="{27077367-7C67-47A2-A72C-ADF2C3F28F25}"/>
    <cellStyle name="Normal 3 2 3 2 2 7" xfId="4716" xr:uid="{00000000-0005-0000-0000-000092110000}"/>
    <cellStyle name="Normal 3 2 3 2 2 7 2" xfId="13145" xr:uid="{41CF69D5-BA23-4742-BC8B-F82CA6F0488D}"/>
    <cellStyle name="Normal 3 2 3 2 2 8" xfId="8927" xr:uid="{F56254F4-CE89-41A7-AFC8-00535CC8DD65}"/>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AB742DD5-70FB-46CB-BB4A-C5A316FE45B1}"/>
    <cellStyle name="Normal 3 2 3 2 3 2 3" xfId="11485" xr:uid="{9C103619-5AA4-44F6-A26A-2D796275EA28}"/>
    <cellStyle name="Normal 3 2 3 2 3 3" xfId="5129" xr:uid="{00000000-0005-0000-0000-000096110000}"/>
    <cellStyle name="Normal 3 2 3 2 3 3 2" xfId="13558" xr:uid="{D4426D78-C901-4D15-AD67-1A96DCBAB910}"/>
    <cellStyle name="Normal 3 2 3 2 3 4" xfId="9340" xr:uid="{1A3EAF61-6805-4D71-9809-AE868BDCF739}"/>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EE03211D-9508-4FD0-B2E8-BC147F815EAE}"/>
    <cellStyle name="Normal 3 2 3 2 4 2 3" xfId="11898" xr:uid="{1F00AFCB-621C-4FD1-96EF-B0CCAE87396A}"/>
    <cellStyle name="Normal 3 2 3 2 4 3" xfId="5542" xr:uid="{00000000-0005-0000-0000-00009A110000}"/>
    <cellStyle name="Normal 3 2 3 2 4 3 2" xfId="13971" xr:uid="{3AE4D8DD-4271-4548-8486-BF0239F3BC86}"/>
    <cellStyle name="Normal 3 2 3 2 4 4" xfId="9753" xr:uid="{7EE723DE-BC3E-4CBE-9A56-8420C2BB1F3B}"/>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1FFB9D93-916A-4B57-BF02-9B1EB8400FFB}"/>
    <cellStyle name="Normal 3 2 3 2 5 2 3" xfId="12311" xr:uid="{46A6B3A0-0FD9-4D85-977F-E56D808BB7EF}"/>
    <cellStyle name="Normal 3 2 3 2 5 3" xfId="5955" xr:uid="{00000000-0005-0000-0000-00009E110000}"/>
    <cellStyle name="Normal 3 2 3 2 5 3 2" xfId="14384" xr:uid="{3D7BBC4A-0720-4401-9383-9941882FDDCC}"/>
    <cellStyle name="Normal 3 2 3 2 5 4" xfId="10166" xr:uid="{6B605004-0E9D-414E-A28A-F70CC6109761}"/>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AE829D8E-D7FA-483E-B2E8-3854FE18E1C3}"/>
    <cellStyle name="Normal 3 2 3 2 6 2 3" xfId="12724" xr:uid="{B69844DC-626E-41F1-A5C2-E1E62EA03CD0}"/>
    <cellStyle name="Normal 3 2 3 2 6 3" xfId="6368" xr:uid="{00000000-0005-0000-0000-0000A2110000}"/>
    <cellStyle name="Normal 3 2 3 2 6 3 2" xfId="14797" xr:uid="{17D60D9D-52A0-4484-86A0-3F0243D9EE70}"/>
    <cellStyle name="Normal 3 2 3 2 6 4" xfId="10579" xr:uid="{3982E762-73C9-4DAC-923A-0D69D3F877C9}"/>
    <cellStyle name="Normal 3 2 3 2 7" xfId="2496" xr:uid="{00000000-0005-0000-0000-0000A3110000}"/>
    <cellStyle name="Normal 3 2 3 2 7 2" xfId="6781" xr:uid="{00000000-0005-0000-0000-0000A4110000}"/>
    <cellStyle name="Normal 3 2 3 2 7 2 2" xfId="15210" xr:uid="{FB7B276C-615D-48D8-81F5-6719F78D1601}"/>
    <cellStyle name="Normal 3 2 3 2 7 3" xfId="10992" xr:uid="{A5197593-B330-4BFB-8746-54DB5D537D2C}"/>
    <cellStyle name="Normal 3 2 3 2 8" xfId="4715" xr:uid="{00000000-0005-0000-0000-0000A5110000}"/>
    <cellStyle name="Normal 3 2 3 2 8 2" xfId="13144" xr:uid="{0250C6C9-70A5-48D3-A21F-030A692AB89F}"/>
    <cellStyle name="Normal 3 2 3 2 9" xfId="8926" xr:uid="{CC52290F-3D35-4D45-AEB4-A2B9799F8532}"/>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5A1F0E97-748E-4B6B-A441-F6B54F88A994}"/>
    <cellStyle name="Normal 3 2 3 3 2 2 3" xfId="11487" xr:uid="{A4C5345A-7DA1-4336-ABDF-8B4C011313AF}"/>
    <cellStyle name="Normal 3 2 3 3 2 3" xfId="5131" xr:uid="{00000000-0005-0000-0000-0000AA110000}"/>
    <cellStyle name="Normal 3 2 3 3 2 3 2" xfId="13560" xr:uid="{745A17DA-13FB-4E50-9E61-0172717B249A}"/>
    <cellStyle name="Normal 3 2 3 3 2 4" xfId="9342" xr:uid="{8E6EEFFC-7344-4D8F-9E15-0C586ED56A7D}"/>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1DC443D5-11A0-4F89-BB65-10A2B71E7E8A}"/>
    <cellStyle name="Normal 3 2 3 3 3 2 3" xfId="11900" xr:uid="{A3235D30-2077-49B7-86E0-479A42DB58E8}"/>
    <cellStyle name="Normal 3 2 3 3 3 3" xfId="5544" xr:uid="{00000000-0005-0000-0000-0000AE110000}"/>
    <cellStyle name="Normal 3 2 3 3 3 3 2" xfId="13973" xr:uid="{B3E84237-23E6-4D88-B619-D8AA2A2C1FA2}"/>
    <cellStyle name="Normal 3 2 3 3 3 4" xfId="9755" xr:uid="{7D5B5269-37D0-48A0-8B63-2EC8EDAA75D2}"/>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26D1DC02-E99C-4AD0-BE5E-46A8A4D92A2C}"/>
    <cellStyle name="Normal 3 2 3 3 4 2 3" xfId="12313" xr:uid="{B7FDC624-373E-4695-A787-75CF0873BA0A}"/>
    <cellStyle name="Normal 3 2 3 3 4 3" xfId="5957" xr:uid="{00000000-0005-0000-0000-0000B2110000}"/>
    <cellStyle name="Normal 3 2 3 3 4 3 2" xfId="14386" xr:uid="{ADC02BFC-A138-4FD3-B6E7-1A6EB3292DD5}"/>
    <cellStyle name="Normal 3 2 3 3 4 4" xfId="10168" xr:uid="{CB943D30-C8EA-45D5-9CFC-E23AF8AC1CA6}"/>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1D063721-E693-4B51-BB21-3F5E5125EBE2}"/>
    <cellStyle name="Normal 3 2 3 3 5 2 3" xfId="12726" xr:uid="{183E2177-CB6A-44E9-B130-2FA98B6C2576}"/>
    <cellStyle name="Normal 3 2 3 3 5 3" xfId="6370" xr:uid="{00000000-0005-0000-0000-0000B6110000}"/>
    <cellStyle name="Normal 3 2 3 3 5 3 2" xfId="14799" xr:uid="{7A62BB19-3D7D-4080-BF85-667CBD1920CC}"/>
    <cellStyle name="Normal 3 2 3 3 5 4" xfId="10581" xr:uid="{B1DF9E32-7EE2-4833-BBA2-F2AD48609BA7}"/>
    <cellStyle name="Normal 3 2 3 3 6" xfId="2498" xr:uid="{00000000-0005-0000-0000-0000B7110000}"/>
    <cellStyle name="Normal 3 2 3 3 6 2" xfId="6783" xr:uid="{00000000-0005-0000-0000-0000B8110000}"/>
    <cellStyle name="Normal 3 2 3 3 6 2 2" xfId="15212" xr:uid="{1D75204F-454E-43A8-80F2-203D9ACBE72E}"/>
    <cellStyle name="Normal 3 2 3 3 6 3" xfId="10994" xr:uid="{2EB4D067-4AE0-49AA-9A0D-7FB116E6BFBF}"/>
    <cellStyle name="Normal 3 2 3 3 7" xfId="4717" xr:uid="{00000000-0005-0000-0000-0000B9110000}"/>
    <cellStyle name="Normal 3 2 3 3 7 2" xfId="13146" xr:uid="{47211D14-3AC3-4DCF-8A9B-658E4560CDFA}"/>
    <cellStyle name="Normal 3 2 3 3 8" xfId="8928" xr:uid="{C9120E75-F797-434C-A9C7-F1615FCC82C8}"/>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27A58590-6B74-47AA-9B94-1F31AF0F15D1}"/>
    <cellStyle name="Normal 3 2 3 4 2 3" xfId="11484" xr:uid="{78F7E29B-DC9C-4987-BC9D-2DA1BFFBEEA8}"/>
    <cellStyle name="Normal 3 2 3 4 3" xfId="5128" xr:uid="{00000000-0005-0000-0000-0000BD110000}"/>
    <cellStyle name="Normal 3 2 3 4 3 2" xfId="13557" xr:uid="{853A4E0D-B580-4CBF-A9D5-3C50CA1C0EC0}"/>
    <cellStyle name="Normal 3 2 3 4 4" xfId="9339" xr:uid="{2929B9B1-4889-45BC-B20F-418BE2838BD0}"/>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FF68655E-1D79-41C8-8EFB-01DE107225A6}"/>
    <cellStyle name="Normal 3 2 3 5 2 3" xfId="11897" xr:uid="{AD72CB48-3E97-476B-8105-EC4A2EEA4B06}"/>
    <cellStyle name="Normal 3 2 3 5 3" xfId="5541" xr:uid="{00000000-0005-0000-0000-0000C1110000}"/>
    <cellStyle name="Normal 3 2 3 5 3 2" xfId="13970" xr:uid="{EDDE6319-0279-43B9-9F2B-B1754626671A}"/>
    <cellStyle name="Normal 3 2 3 5 4" xfId="9752" xr:uid="{0BD02CCE-66C0-421C-A002-50827D6DCF70}"/>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5AC5EA6D-0A58-4E8B-BEF1-59515BF09BA1}"/>
    <cellStyle name="Normal 3 2 3 6 2 3" xfId="12310" xr:uid="{65283D64-8296-491E-81DA-54232AB79AD9}"/>
    <cellStyle name="Normal 3 2 3 6 3" xfId="5954" xr:uid="{00000000-0005-0000-0000-0000C5110000}"/>
    <cellStyle name="Normal 3 2 3 6 3 2" xfId="14383" xr:uid="{7CFBE1F7-6D8E-45D9-AAD3-C4269B6D4CE4}"/>
    <cellStyle name="Normal 3 2 3 6 4" xfId="10165" xr:uid="{74DF3EEC-6DE4-4BA7-966C-41BECDF63651}"/>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1518FB1A-D5DC-4410-B93D-B62CC525D157}"/>
    <cellStyle name="Normal 3 2 3 7 2 3" xfId="12723" xr:uid="{9997D203-9502-4590-9609-B6DEC70CD4D3}"/>
    <cellStyle name="Normal 3 2 3 7 3" xfId="6367" xr:uid="{00000000-0005-0000-0000-0000C9110000}"/>
    <cellStyle name="Normal 3 2 3 7 3 2" xfId="14796" xr:uid="{2775789E-359D-4A93-857D-9C6789BA19F9}"/>
    <cellStyle name="Normal 3 2 3 7 4" xfId="10578" xr:uid="{88234924-6F45-483F-99C3-34DCFCA2CDF6}"/>
    <cellStyle name="Normal 3 2 3 8" xfId="2495" xr:uid="{00000000-0005-0000-0000-0000CA110000}"/>
    <cellStyle name="Normal 3 2 3 8 2" xfId="6780" xr:uid="{00000000-0005-0000-0000-0000CB110000}"/>
    <cellStyle name="Normal 3 2 3 8 2 2" xfId="15209" xr:uid="{9113DB73-E4C4-4309-BE5E-95D5CF908675}"/>
    <cellStyle name="Normal 3 2 3 8 3" xfId="10991" xr:uid="{BBA6D3C7-C86A-4CE3-8B74-779469465709}"/>
    <cellStyle name="Normal 3 2 3 9" xfId="4714" xr:uid="{00000000-0005-0000-0000-0000CC110000}"/>
    <cellStyle name="Normal 3 2 3 9 2" xfId="13143" xr:uid="{ECA220BF-3AD0-49AD-9EC4-BE2B69CC9B54}"/>
    <cellStyle name="Normal 3 2 4" xfId="810" xr:uid="{00000000-0005-0000-0000-0000CD110000}"/>
    <cellStyle name="Normal 3 2 4 2" xfId="3048" xr:uid="{00000000-0005-0000-0000-0000CE110000}"/>
    <cellStyle name="Normal 3 2 4 2 2" xfId="7272" xr:uid="{00000000-0005-0000-0000-0000CF110000}"/>
    <cellStyle name="Normal 3 2 4 2 2 2" xfId="15701" xr:uid="{D1D3DF04-8E06-4936-A08F-F472676B470D}"/>
    <cellStyle name="Normal 3 2 4 2 3" xfId="11483" xr:uid="{7BDD8A96-6C1D-4FE3-88A6-856E12528104}"/>
    <cellStyle name="Normal 3 2 4 3" xfId="5127" xr:uid="{00000000-0005-0000-0000-0000D0110000}"/>
    <cellStyle name="Normal 3 2 4 3 2" xfId="13556" xr:uid="{8691D9D2-843F-4EF5-92C4-A132C71A4F5E}"/>
    <cellStyle name="Normal 3 2 4 4" xfId="9338" xr:uid="{EC741BD8-853C-4827-9FDE-711B48882095}"/>
    <cellStyle name="Normal 3 2 5" xfId="1231" xr:uid="{00000000-0005-0000-0000-0000D1110000}"/>
    <cellStyle name="Normal 3 2 5 2" xfId="3461" xr:uid="{00000000-0005-0000-0000-0000D2110000}"/>
    <cellStyle name="Normal 3 2 5 2 2" xfId="7685" xr:uid="{00000000-0005-0000-0000-0000D3110000}"/>
    <cellStyle name="Normal 3 2 5 2 2 2" xfId="16114" xr:uid="{EDC1712E-6AA6-476F-9D3F-96CBD2E8F12D}"/>
    <cellStyle name="Normal 3 2 5 2 3" xfId="11896" xr:uid="{20A3E3EA-1D0C-4624-8C9F-B26C84A30E36}"/>
    <cellStyle name="Normal 3 2 5 3" xfId="5540" xr:uid="{00000000-0005-0000-0000-0000D4110000}"/>
    <cellStyle name="Normal 3 2 5 3 2" xfId="13969" xr:uid="{1F19CC6F-505C-46B4-8924-9D25E22C6AED}"/>
    <cellStyle name="Normal 3 2 5 4" xfId="9751" xr:uid="{9927B4AF-AE21-4CB3-840F-1F73AA6CC2B1}"/>
    <cellStyle name="Normal 3 2 6" xfId="1644" xr:uid="{00000000-0005-0000-0000-0000D5110000}"/>
    <cellStyle name="Normal 3 2 6 2" xfId="3874" xr:uid="{00000000-0005-0000-0000-0000D6110000}"/>
    <cellStyle name="Normal 3 2 6 2 2" xfId="8098" xr:uid="{00000000-0005-0000-0000-0000D7110000}"/>
    <cellStyle name="Normal 3 2 6 2 2 2" xfId="16527" xr:uid="{5746FE98-E6AB-48C8-AF50-152CE4561357}"/>
    <cellStyle name="Normal 3 2 6 2 3" xfId="12309" xr:uid="{8E7F684C-FBF8-45A6-BF9C-FB2EEF2DEE68}"/>
    <cellStyle name="Normal 3 2 6 3" xfId="5953" xr:uid="{00000000-0005-0000-0000-0000D8110000}"/>
    <cellStyle name="Normal 3 2 6 3 2" xfId="14382" xr:uid="{90D1CFFA-B1BB-44DA-A1D1-25D3B07C0745}"/>
    <cellStyle name="Normal 3 2 6 4" xfId="10164" xr:uid="{4D404393-4B0C-4A75-BACA-09259181307D}"/>
    <cellStyle name="Normal 3 2 7" xfId="2058" xr:uid="{00000000-0005-0000-0000-0000D9110000}"/>
    <cellStyle name="Normal 3 2 7 2" xfId="4287" xr:uid="{00000000-0005-0000-0000-0000DA110000}"/>
    <cellStyle name="Normal 3 2 7 2 2" xfId="8511" xr:uid="{00000000-0005-0000-0000-0000DB110000}"/>
    <cellStyle name="Normal 3 2 7 2 2 2" xfId="16940" xr:uid="{1E51BB64-CE28-4E94-B009-D2CA01F5FDAD}"/>
    <cellStyle name="Normal 3 2 7 2 3" xfId="12722" xr:uid="{5EE867E8-89CD-4485-ABDC-1599312664B2}"/>
    <cellStyle name="Normal 3 2 7 3" xfId="6366" xr:uid="{00000000-0005-0000-0000-0000DC110000}"/>
    <cellStyle name="Normal 3 2 7 3 2" xfId="14795" xr:uid="{410FDF6E-A69E-434D-B64D-729B02B9B3FD}"/>
    <cellStyle name="Normal 3 2 7 4" xfId="10577" xr:uid="{8F5883CF-69BB-401C-9E14-47CF470CAFC3}"/>
    <cellStyle name="Normal 3 2 8" xfId="2494" xr:uid="{00000000-0005-0000-0000-0000DD110000}"/>
    <cellStyle name="Normal 3 2 8 2" xfId="6779" xr:uid="{00000000-0005-0000-0000-0000DE110000}"/>
    <cellStyle name="Normal 3 2 8 2 2" xfId="15208" xr:uid="{395309E4-A9AB-4EE2-8D55-9509254E36E9}"/>
    <cellStyle name="Normal 3 2 8 3" xfId="10990" xr:uid="{E3C555A7-A0B5-43AC-95E7-58609D2E0CD3}"/>
    <cellStyle name="Normal 3 2 9" xfId="4713" xr:uid="{00000000-0005-0000-0000-0000DF110000}"/>
    <cellStyle name="Normal 3 2 9 2" xfId="13142" xr:uid="{BED24328-4CA2-46DB-8F03-8FBBCC60D73C}"/>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571C47EE-5367-4A16-8940-A43C021828D3}"/>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3C3F5CE7-2207-448C-A0BF-77E15F615C4F}"/>
    <cellStyle name="Normal 4 2 2 10 2 3" xfId="12727" xr:uid="{86856D6E-6D74-4CF9-87C4-C0A3559F9D61}"/>
    <cellStyle name="Normal 4 2 2 10 3" xfId="6371" xr:uid="{00000000-0005-0000-0000-0000EC110000}"/>
    <cellStyle name="Normal 4 2 2 10 3 2" xfId="14800" xr:uid="{CEFBE63E-D69F-4CCB-A43C-965612FA5CA0}"/>
    <cellStyle name="Normal 4 2 2 10 4" xfId="10582" xr:uid="{E73F211B-5ACE-49DE-B631-04803667F075}"/>
    <cellStyle name="Normal 4 2 2 11" xfId="2499" xr:uid="{00000000-0005-0000-0000-0000ED110000}"/>
    <cellStyle name="Normal 4 2 2 11 2" xfId="6784" xr:uid="{00000000-0005-0000-0000-0000EE110000}"/>
    <cellStyle name="Normal 4 2 2 11 2 2" xfId="15213" xr:uid="{227ADEBB-B984-4988-AD4A-05D7FFCAEE8A}"/>
    <cellStyle name="Normal 4 2 2 11 3" xfId="10995" xr:uid="{0A5ADC16-D448-44F1-B7B1-7AC60DA7C16F}"/>
    <cellStyle name="Normal 4 2 2 12" xfId="4719" xr:uid="{00000000-0005-0000-0000-0000EF110000}"/>
    <cellStyle name="Normal 4 2 2 12 2" xfId="13148" xr:uid="{5EDC1EF2-C2D1-44A8-8BFF-C36AB7CA61B8}"/>
    <cellStyle name="Normal 4 2 2 13" xfId="8930" xr:uid="{99B976BA-F38F-45F2-81E9-6DDA920D4A4C}"/>
    <cellStyle name="Normal 4 2 2 2" xfId="338" xr:uid="{00000000-0005-0000-0000-0000F0110000}"/>
    <cellStyle name="Normal 4 2 2 3" xfId="339" xr:uid="{00000000-0005-0000-0000-0000F1110000}"/>
    <cellStyle name="Normal 4 2 2 3 10" xfId="4720" xr:uid="{00000000-0005-0000-0000-0000F2110000}"/>
    <cellStyle name="Normal 4 2 2 3 10 2" xfId="13149" xr:uid="{A559C0D9-2AF6-4A42-AECB-B9079AE90E68}"/>
    <cellStyle name="Normal 4 2 2 3 11" xfId="8931" xr:uid="{0F2F90E5-C0E8-4F03-876A-3B6B1AC33331}"/>
    <cellStyle name="Normal 4 2 2 3 2" xfId="340" xr:uid="{00000000-0005-0000-0000-0000F3110000}"/>
    <cellStyle name="Normal 4 2 2 3 2 10" xfId="8932" xr:uid="{FCFAD1F6-5ED4-4389-8F66-B3A1B084C748}"/>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01824737-D47F-4F32-A556-684CB4A22A64}"/>
    <cellStyle name="Normal 4 2 2 3 2 2 2 2 2 3" xfId="11492" xr:uid="{A184FEEF-A4F7-4892-9444-7BE05E346AFA}"/>
    <cellStyle name="Normal 4 2 2 3 2 2 2 2 3" xfId="5136" xr:uid="{00000000-0005-0000-0000-0000F9110000}"/>
    <cellStyle name="Normal 4 2 2 3 2 2 2 2 3 2" xfId="13565" xr:uid="{013E57CB-24E3-460B-B6C8-B3C5B1CB38A8}"/>
    <cellStyle name="Normal 4 2 2 3 2 2 2 2 4" xfId="9347" xr:uid="{CDB7FF18-22E4-4DE4-A860-874A44B047F1}"/>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2D4A1860-1C20-4522-A9DB-210B56818CF0}"/>
    <cellStyle name="Normal 4 2 2 3 2 2 2 3 2 3" xfId="11905" xr:uid="{CCC8833E-95A5-410D-9BD9-627272939D70}"/>
    <cellStyle name="Normal 4 2 2 3 2 2 2 3 3" xfId="5549" xr:uid="{00000000-0005-0000-0000-0000FD110000}"/>
    <cellStyle name="Normal 4 2 2 3 2 2 2 3 3 2" xfId="13978" xr:uid="{0531B3BD-DD48-4145-A7E7-01288ED17760}"/>
    <cellStyle name="Normal 4 2 2 3 2 2 2 3 4" xfId="9760" xr:uid="{B4FCFE92-400D-407B-893B-6188250EDE1F}"/>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C599D3A3-D56B-46D5-A39F-492A9EDA6AE1}"/>
    <cellStyle name="Normal 4 2 2 3 2 2 2 4 2 3" xfId="12318" xr:uid="{53284467-7CAC-4036-83CB-62FA39C95378}"/>
    <cellStyle name="Normal 4 2 2 3 2 2 2 4 3" xfId="5962" xr:uid="{00000000-0005-0000-0000-000001120000}"/>
    <cellStyle name="Normal 4 2 2 3 2 2 2 4 3 2" xfId="14391" xr:uid="{2A10781B-67B9-49B8-B223-58CBCBC797DE}"/>
    <cellStyle name="Normal 4 2 2 3 2 2 2 4 4" xfId="10173" xr:uid="{87CD0C6A-A64A-4C1F-913D-4676BC4E4AA2}"/>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7EAA4326-E0B9-4854-AE9C-FC4620D42A6B}"/>
    <cellStyle name="Normal 4 2 2 3 2 2 2 5 2 3" xfId="12731" xr:uid="{2063C8AB-54C8-4937-B1EB-486671BD5B84}"/>
    <cellStyle name="Normal 4 2 2 3 2 2 2 5 3" xfId="6375" xr:uid="{00000000-0005-0000-0000-000005120000}"/>
    <cellStyle name="Normal 4 2 2 3 2 2 2 5 3 2" xfId="14804" xr:uid="{565662FF-5CD0-4BC5-BC77-A81D0AB88DD0}"/>
    <cellStyle name="Normal 4 2 2 3 2 2 2 5 4" xfId="10586" xr:uid="{C0D3990B-4326-4E73-99A2-D8DF49D6BE40}"/>
    <cellStyle name="Normal 4 2 2 3 2 2 2 6" xfId="2503" xr:uid="{00000000-0005-0000-0000-000006120000}"/>
    <cellStyle name="Normal 4 2 2 3 2 2 2 6 2" xfId="6788" xr:uid="{00000000-0005-0000-0000-000007120000}"/>
    <cellStyle name="Normal 4 2 2 3 2 2 2 6 2 2" xfId="15217" xr:uid="{A4C03A09-008C-44A4-82DD-BC2EC5175844}"/>
    <cellStyle name="Normal 4 2 2 3 2 2 2 6 3" xfId="10999" xr:uid="{A29604E5-DB34-4A8A-8452-0CEF9728E42E}"/>
    <cellStyle name="Normal 4 2 2 3 2 2 2 7" xfId="4723" xr:uid="{00000000-0005-0000-0000-000008120000}"/>
    <cellStyle name="Normal 4 2 2 3 2 2 2 7 2" xfId="13152" xr:uid="{4C3B9698-496A-4A1E-A91C-242E0A06512E}"/>
    <cellStyle name="Normal 4 2 2 3 2 2 2 8" xfId="8934" xr:uid="{3CA653C1-F8DD-45D1-A6A5-3AB8AAF095D1}"/>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5D6E71E6-B7CA-429C-AD3D-B11E024133C2}"/>
    <cellStyle name="Normal 4 2 2 3 2 2 3 2 3" xfId="11491" xr:uid="{5BE59110-69C9-40DD-B5B5-26DFC23D7C93}"/>
    <cellStyle name="Normal 4 2 2 3 2 2 3 3" xfId="5135" xr:uid="{00000000-0005-0000-0000-00000C120000}"/>
    <cellStyle name="Normal 4 2 2 3 2 2 3 3 2" xfId="13564" xr:uid="{FB407B2D-FFB6-448C-80A4-024FA9E9622F}"/>
    <cellStyle name="Normal 4 2 2 3 2 2 3 4" xfId="9346" xr:uid="{D973DAED-C4FF-4E0E-81A7-8753F47FCFB3}"/>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4017F9E9-B295-40B3-8D9E-6729DD9AE490}"/>
    <cellStyle name="Normal 4 2 2 3 2 2 4 2 3" xfId="11904" xr:uid="{BE602555-2980-4C8D-AD4B-4447991D8C3E}"/>
    <cellStyle name="Normal 4 2 2 3 2 2 4 3" xfId="5548" xr:uid="{00000000-0005-0000-0000-000010120000}"/>
    <cellStyle name="Normal 4 2 2 3 2 2 4 3 2" xfId="13977" xr:uid="{389B69EA-1082-48D2-882B-B2C1639B626F}"/>
    <cellStyle name="Normal 4 2 2 3 2 2 4 4" xfId="9759" xr:uid="{154068D1-868A-4C7B-91A1-8315CF45E266}"/>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549CC25D-B2DA-442D-923A-714833B2FD8D}"/>
    <cellStyle name="Normal 4 2 2 3 2 2 5 2 3" xfId="12317" xr:uid="{459C5DCD-184A-40DB-9213-B161365A83B7}"/>
    <cellStyle name="Normal 4 2 2 3 2 2 5 3" xfId="5961" xr:uid="{00000000-0005-0000-0000-000014120000}"/>
    <cellStyle name="Normal 4 2 2 3 2 2 5 3 2" xfId="14390" xr:uid="{DD5BFD34-BCE9-43AF-8BD2-47813DFBA1D6}"/>
    <cellStyle name="Normal 4 2 2 3 2 2 5 4" xfId="10172" xr:uid="{5702401B-A6D6-45D3-90E0-42A49BC4A5A7}"/>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E26F5702-81EF-4C6C-9C5B-D622613FF620}"/>
    <cellStyle name="Normal 4 2 2 3 2 2 6 2 3" xfId="12730" xr:uid="{A7878EB3-9C3E-4AC3-9F43-C15C09B9882B}"/>
    <cellStyle name="Normal 4 2 2 3 2 2 6 3" xfId="6374" xr:uid="{00000000-0005-0000-0000-000018120000}"/>
    <cellStyle name="Normal 4 2 2 3 2 2 6 3 2" xfId="14803" xr:uid="{71C8017F-BE98-45ED-B404-E086A0754747}"/>
    <cellStyle name="Normal 4 2 2 3 2 2 6 4" xfId="10585" xr:uid="{DC5227B2-2E51-4E0D-82DC-A7A1BF2BE8AC}"/>
    <cellStyle name="Normal 4 2 2 3 2 2 7" xfId="2502" xr:uid="{00000000-0005-0000-0000-000019120000}"/>
    <cellStyle name="Normal 4 2 2 3 2 2 7 2" xfId="6787" xr:uid="{00000000-0005-0000-0000-00001A120000}"/>
    <cellStyle name="Normal 4 2 2 3 2 2 7 2 2" xfId="15216" xr:uid="{4805B435-228B-4EED-B50E-B9496B5F3701}"/>
    <cellStyle name="Normal 4 2 2 3 2 2 7 3" xfId="10998" xr:uid="{3EA76620-5D78-4993-B4DA-A8252940EEEE}"/>
    <cellStyle name="Normal 4 2 2 3 2 2 8" xfId="4722" xr:uid="{00000000-0005-0000-0000-00001B120000}"/>
    <cellStyle name="Normal 4 2 2 3 2 2 8 2" xfId="13151" xr:uid="{718BC424-8BAA-4BF3-89CF-D2F107515183}"/>
    <cellStyle name="Normal 4 2 2 3 2 2 9" xfId="8933" xr:uid="{C4F4ACF6-5BBB-4ADA-A61A-48C20D1152AB}"/>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30825D30-8D45-4AD6-AC9A-775D2B52B54A}"/>
    <cellStyle name="Normal 4 2 2 3 2 3 2 2 3" xfId="11493" xr:uid="{7CFECFE5-942B-45BA-A948-4A474D5DDBA7}"/>
    <cellStyle name="Normal 4 2 2 3 2 3 2 3" xfId="5137" xr:uid="{00000000-0005-0000-0000-000020120000}"/>
    <cellStyle name="Normal 4 2 2 3 2 3 2 3 2" xfId="13566" xr:uid="{4CC7B20F-EAA8-4546-A577-FA6E0482B253}"/>
    <cellStyle name="Normal 4 2 2 3 2 3 2 4" xfId="9348" xr:uid="{B160D3E1-1CF2-4232-AF54-B13FE53606F1}"/>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E4A4308D-34A8-4B45-B651-B80F102A3617}"/>
    <cellStyle name="Normal 4 2 2 3 2 3 3 2 3" xfId="11906" xr:uid="{F1CAE266-D590-4889-96C5-991D7F487193}"/>
    <cellStyle name="Normal 4 2 2 3 2 3 3 3" xfId="5550" xr:uid="{00000000-0005-0000-0000-000024120000}"/>
    <cellStyle name="Normal 4 2 2 3 2 3 3 3 2" xfId="13979" xr:uid="{09F503FD-87E1-452E-9AA8-4B7902FFEE4F}"/>
    <cellStyle name="Normal 4 2 2 3 2 3 3 4" xfId="9761" xr:uid="{1E525EE6-3460-4334-9F9A-C8CE5CA9D8FD}"/>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DED7550E-ED17-4714-A18A-C9D124435E29}"/>
    <cellStyle name="Normal 4 2 2 3 2 3 4 2 3" xfId="12319" xr:uid="{F612FADA-CE09-441D-B743-15474B2CE5C1}"/>
    <cellStyle name="Normal 4 2 2 3 2 3 4 3" xfId="5963" xr:uid="{00000000-0005-0000-0000-000028120000}"/>
    <cellStyle name="Normal 4 2 2 3 2 3 4 3 2" xfId="14392" xr:uid="{DA24AC05-C97D-40EC-9A88-F771D120A220}"/>
    <cellStyle name="Normal 4 2 2 3 2 3 4 4" xfId="10174" xr:uid="{DCBF7923-1F3D-426E-8B25-A7E14AD0C5F1}"/>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8D25D868-35E3-420A-A63B-3DE0372143FE}"/>
    <cellStyle name="Normal 4 2 2 3 2 3 5 2 3" xfId="12732" xr:uid="{C8F27B14-5835-4A59-9159-4721783FB8E8}"/>
    <cellStyle name="Normal 4 2 2 3 2 3 5 3" xfId="6376" xr:uid="{00000000-0005-0000-0000-00002C120000}"/>
    <cellStyle name="Normal 4 2 2 3 2 3 5 3 2" xfId="14805" xr:uid="{36DB9106-0E82-435C-B70B-3298A21E158B}"/>
    <cellStyle name="Normal 4 2 2 3 2 3 5 4" xfId="10587" xr:uid="{920470E3-97AA-478D-BE2F-0B78A2B79F2F}"/>
    <cellStyle name="Normal 4 2 2 3 2 3 6" xfId="2504" xr:uid="{00000000-0005-0000-0000-00002D120000}"/>
    <cellStyle name="Normal 4 2 2 3 2 3 6 2" xfId="6789" xr:uid="{00000000-0005-0000-0000-00002E120000}"/>
    <cellStyle name="Normal 4 2 2 3 2 3 6 2 2" xfId="15218" xr:uid="{F1729FD5-422D-4C15-A025-A26C15803DE5}"/>
    <cellStyle name="Normal 4 2 2 3 2 3 6 3" xfId="11000" xr:uid="{064BB7A1-CDD0-4FC5-85CD-A2690F3E246F}"/>
    <cellStyle name="Normal 4 2 2 3 2 3 7" xfId="4724" xr:uid="{00000000-0005-0000-0000-00002F120000}"/>
    <cellStyle name="Normal 4 2 2 3 2 3 7 2" xfId="13153" xr:uid="{3DC3249C-5190-412E-8BD2-4782EFDD0895}"/>
    <cellStyle name="Normal 4 2 2 3 2 3 8" xfId="8935" xr:uid="{A0EAC6E6-53DC-4585-BDE7-3C501CB88916}"/>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BF56456F-4A95-4259-BB38-AC10F0E08687}"/>
    <cellStyle name="Normal 4 2 2 3 2 4 2 3" xfId="11490" xr:uid="{A64AF2AC-FFA6-40E7-B6E1-39B71A228F08}"/>
    <cellStyle name="Normal 4 2 2 3 2 4 3" xfId="5134" xr:uid="{00000000-0005-0000-0000-000033120000}"/>
    <cellStyle name="Normal 4 2 2 3 2 4 3 2" xfId="13563" xr:uid="{7FE47064-FCEC-4A78-A40D-72AF2073D028}"/>
    <cellStyle name="Normal 4 2 2 3 2 4 4" xfId="9345" xr:uid="{8A06E66B-4F11-482B-80F7-8DA76B87B354}"/>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30071D87-4353-44F8-8F14-BBD607D9D238}"/>
    <cellStyle name="Normal 4 2 2 3 2 5 2 3" xfId="11903" xr:uid="{EFF3A6CB-CD8F-4647-8D4B-59F666A09FD9}"/>
    <cellStyle name="Normal 4 2 2 3 2 5 3" xfId="5547" xr:uid="{00000000-0005-0000-0000-000037120000}"/>
    <cellStyle name="Normal 4 2 2 3 2 5 3 2" xfId="13976" xr:uid="{E938BF8E-658E-4052-A5EE-B49CD1DB567B}"/>
    <cellStyle name="Normal 4 2 2 3 2 5 4" xfId="9758" xr:uid="{A354D189-114F-4BD6-85C2-567B03A54BF5}"/>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0410E5D0-5431-4A7F-9A1D-D438E551E23F}"/>
    <cellStyle name="Normal 4 2 2 3 2 6 2 3" xfId="12316" xr:uid="{2154FBFC-1786-4174-8C3A-F98191EAEACB}"/>
    <cellStyle name="Normal 4 2 2 3 2 6 3" xfId="5960" xr:uid="{00000000-0005-0000-0000-00003B120000}"/>
    <cellStyle name="Normal 4 2 2 3 2 6 3 2" xfId="14389" xr:uid="{2328ECDA-A936-45B1-9593-CA1D8569A2DB}"/>
    <cellStyle name="Normal 4 2 2 3 2 6 4" xfId="10171" xr:uid="{1DB5FD2D-B981-4F9D-946B-3C75D2217CF8}"/>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4A101B63-88AC-493F-9226-327CFB72FF68}"/>
    <cellStyle name="Normal 4 2 2 3 2 7 2 3" xfId="12729" xr:uid="{2DCBC93F-6AEC-45A1-9340-9B7EBFD9456C}"/>
    <cellStyle name="Normal 4 2 2 3 2 7 3" xfId="6373" xr:uid="{00000000-0005-0000-0000-00003F120000}"/>
    <cellStyle name="Normal 4 2 2 3 2 7 3 2" xfId="14802" xr:uid="{85A40DE4-7704-40DB-A2C6-C25897AF2C84}"/>
    <cellStyle name="Normal 4 2 2 3 2 7 4" xfId="10584" xr:uid="{422ED260-C1B1-4E60-9611-DC518C3E505E}"/>
    <cellStyle name="Normal 4 2 2 3 2 8" xfId="2501" xr:uid="{00000000-0005-0000-0000-000040120000}"/>
    <cellStyle name="Normal 4 2 2 3 2 8 2" xfId="6786" xr:uid="{00000000-0005-0000-0000-000041120000}"/>
    <cellStyle name="Normal 4 2 2 3 2 8 2 2" xfId="15215" xr:uid="{EE5815A2-1BC8-41B2-83BA-4C25E8B10E0C}"/>
    <cellStyle name="Normal 4 2 2 3 2 8 3" xfId="10997" xr:uid="{5E18CA9D-6D39-4D32-829A-D7F5DBEEB28D}"/>
    <cellStyle name="Normal 4 2 2 3 2 9" xfId="4721" xr:uid="{00000000-0005-0000-0000-000042120000}"/>
    <cellStyle name="Normal 4 2 2 3 2 9 2" xfId="13150" xr:uid="{F7C98DF0-E973-432F-B5D6-347087999575}"/>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DAF1C607-E732-4C9D-84CF-D56239D2E387}"/>
    <cellStyle name="Normal 4 2 2 3 3 2 2 2 3" xfId="11495" xr:uid="{AC577FD7-2488-498E-9F6A-2F50A0FA284D}"/>
    <cellStyle name="Normal 4 2 2 3 3 2 2 3" xfId="5139" xr:uid="{00000000-0005-0000-0000-000048120000}"/>
    <cellStyle name="Normal 4 2 2 3 3 2 2 3 2" xfId="13568" xr:uid="{DD51CF69-7917-44C6-AA3D-EA90E27D60AC}"/>
    <cellStyle name="Normal 4 2 2 3 3 2 2 4" xfId="9350" xr:uid="{0E26FD82-0930-436D-9C64-3E967DA44EFF}"/>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97C358A7-3AAF-4CB8-82D1-772090774EE9}"/>
    <cellStyle name="Normal 4 2 2 3 3 2 3 2 3" xfId="11908" xr:uid="{3E09E069-7309-4BE2-9AF6-A909C01BEF02}"/>
    <cellStyle name="Normal 4 2 2 3 3 2 3 3" xfId="5552" xr:uid="{00000000-0005-0000-0000-00004C120000}"/>
    <cellStyle name="Normal 4 2 2 3 3 2 3 3 2" xfId="13981" xr:uid="{876726AC-22E2-4140-B62C-F262EA775374}"/>
    <cellStyle name="Normal 4 2 2 3 3 2 3 4" xfId="9763" xr:uid="{04AB5AA8-778E-44A9-98A5-72F73292FF9F}"/>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C60E0F06-F29D-43BE-B918-D9A1E6A223E8}"/>
    <cellStyle name="Normal 4 2 2 3 3 2 4 2 3" xfId="12321" xr:uid="{E256D57D-C6FE-453B-AB48-3099508E0475}"/>
    <cellStyle name="Normal 4 2 2 3 3 2 4 3" xfId="5965" xr:uid="{00000000-0005-0000-0000-000050120000}"/>
    <cellStyle name="Normal 4 2 2 3 3 2 4 3 2" xfId="14394" xr:uid="{7FF92547-7248-443D-932C-30FBF76E9275}"/>
    <cellStyle name="Normal 4 2 2 3 3 2 4 4" xfId="10176" xr:uid="{22B03D10-78A5-46F7-9F1F-0976AD592B22}"/>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3ED1CC22-9A3C-4706-B898-558ADA738B34}"/>
    <cellStyle name="Normal 4 2 2 3 3 2 5 2 3" xfId="12734" xr:uid="{FE73875C-1F3C-414B-AFF2-EE9F24F0360B}"/>
    <cellStyle name="Normal 4 2 2 3 3 2 5 3" xfId="6378" xr:uid="{00000000-0005-0000-0000-000054120000}"/>
    <cellStyle name="Normal 4 2 2 3 3 2 5 3 2" xfId="14807" xr:uid="{D8D5B6E0-DD6F-4654-BBAD-1AC9BA7EE561}"/>
    <cellStyle name="Normal 4 2 2 3 3 2 5 4" xfId="10589" xr:uid="{0C1BC9BF-38AA-4FAB-8D5F-29F814CC983E}"/>
    <cellStyle name="Normal 4 2 2 3 3 2 6" xfId="2506" xr:uid="{00000000-0005-0000-0000-000055120000}"/>
    <cellStyle name="Normal 4 2 2 3 3 2 6 2" xfId="6791" xr:uid="{00000000-0005-0000-0000-000056120000}"/>
    <cellStyle name="Normal 4 2 2 3 3 2 6 2 2" xfId="15220" xr:uid="{7C4408E7-2258-4BA1-B728-F1269A15AE46}"/>
    <cellStyle name="Normal 4 2 2 3 3 2 6 3" xfId="11002" xr:uid="{1FBEDA86-2F5E-4E38-A346-B4FD361BF6F0}"/>
    <cellStyle name="Normal 4 2 2 3 3 2 7" xfId="4726" xr:uid="{00000000-0005-0000-0000-000057120000}"/>
    <cellStyle name="Normal 4 2 2 3 3 2 7 2" xfId="13155" xr:uid="{70A792C5-94BE-4171-BE91-0BB7C288771D}"/>
    <cellStyle name="Normal 4 2 2 3 3 2 8" xfId="8937" xr:uid="{B8688E0A-82F1-4C1A-B126-B99BB051E735}"/>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6F028B43-AEB9-465E-A19C-B5796944BBD7}"/>
    <cellStyle name="Normal 4 2 2 3 3 3 2 3" xfId="11494" xr:uid="{A0B059BB-62F4-45E6-88CE-8D9A91A6A247}"/>
    <cellStyle name="Normal 4 2 2 3 3 3 3" xfId="5138" xr:uid="{00000000-0005-0000-0000-00005B120000}"/>
    <cellStyle name="Normal 4 2 2 3 3 3 3 2" xfId="13567" xr:uid="{7D1A60CA-B7FB-41F1-933D-B7138844AC37}"/>
    <cellStyle name="Normal 4 2 2 3 3 3 4" xfId="9349" xr:uid="{7F72720E-5506-4F3A-8A9C-58E9682C2C8F}"/>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BF26C716-EC8B-499C-900F-B6F110DC415F}"/>
    <cellStyle name="Normal 4 2 2 3 3 4 2 3" xfId="11907" xr:uid="{5767E89F-CBD7-45EF-9067-C84D2A767ECD}"/>
    <cellStyle name="Normal 4 2 2 3 3 4 3" xfId="5551" xr:uid="{00000000-0005-0000-0000-00005F120000}"/>
    <cellStyle name="Normal 4 2 2 3 3 4 3 2" xfId="13980" xr:uid="{92CCFB3E-BA0E-414E-8638-2F013D3343EA}"/>
    <cellStyle name="Normal 4 2 2 3 3 4 4" xfId="9762" xr:uid="{DF9C8D5F-70AF-4AE6-A611-771140C58C7B}"/>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A54788FE-6553-4AAC-8495-E9C5F32FCADD}"/>
    <cellStyle name="Normal 4 2 2 3 3 5 2 3" xfId="12320" xr:uid="{83F7E998-4EFF-4CDB-8769-58667928A7F0}"/>
    <cellStyle name="Normal 4 2 2 3 3 5 3" xfId="5964" xr:uid="{00000000-0005-0000-0000-000063120000}"/>
    <cellStyle name="Normal 4 2 2 3 3 5 3 2" xfId="14393" xr:uid="{FB49AC93-BB8E-453E-A593-86DF1B948417}"/>
    <cellStyle name="Normal 4 2 2 3 3 5 4" xfId="10175" xr:uid="{F171287A-81B9-4CF1-A818-470B8ECEBDE7}"/>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CA76C864-340B-41A4-8001-DB3BD4A15881}"/>
    <cellStyle name="Normal 4 2 2 3 3 6 2 3" xfId="12733" xr:uid="{5F8ACBFF-989E-4110-BA81-2701E101832D}"/>
    <cellStyle name="Normal 4 2 2 3 3 6 3" xfId="6377" xr:uid="{00000000-0005-0000-0000-000067120000}"/>
    <cellStyle name="Normal 4 2 2 3 3 6 3 2" xfId="14806" xr:uid="{79FD474C-A7E1-4312-B788-C3D2BFEACD8D}"/>
    <cellStyle name="Normal 4 2 2 3 3 6 4" xfId="10588" xr:uid="{4E76186B-A6F1-4894-8CA0-399A196C8C84}"/>
    <cellStyle name="Normal 4 2 2 3 3 7" xfId="2505" xr:uid="{00000000-0005-0000-0000-000068120000}"/>
    <cellStyle name="Normal 4 2 2 3 3 7 2" xfId="6790" xr:uid="{00000000-0005-0000-0000-000069120000}"/>
    <cellStyle name="Normal 4 2 2 3 3 7 2 2" xfId="15219" xr:uid="{15192687-4D4D-4DCC-A0FC-59DA70291A78}"/>
    <cellStyle name="Normal 4 2 2 3 3 7 3" xfId="11001" xr:uid="{6856826F-45E3-44AA-8B03-56B08809A8C0}"/>
    <cellStyle name="Normal 4 2 2 3 3 8" xfId="4725" xr:uid="{00000000-0005-0000-0000-00006A120000}"/>
    <cellStyle name="Normal 4 2 2 3 3 8 2" xfId="13154" xr:uid="{100C8EEF-4683-42C1-90F8-F9A6AA64F9B2}"/>
    <cellStyle name="Normal 4 2 2 3 3 9" xfId="8936" xr:uid="{E7A0CCA6-6195-4F92-8CED-E72600DAAD8E}"/>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C8103D31-5850-4090-AA9C-83991DD5A106}"/>
    <cellStyle name="Normal 4 2 2 3 4 2 2 3" xfId="11496" xr:uid="{C7E3E898-2814-49EB-A453-E7BB19BA0876}"/>
    <cellStyle name="Normal 4 2 2 3 4 2 3" xfId="5140" xr:uid="{00000000-0005-0000-0000-00006F120000}"/>
    <cellStyle name="Normal 4 2 2 3 4 2 3 2" xfId="13569" xr:uid="{4F6819FF-9E72-4FCB-BE61-139C52BC63F8}"/>
    <cellStyle name="Normal 4 2 2 3 4 2 4" xfId="9351" xr:uid="{C8255FE6-245A-4F3B-AC00-706E1C8B978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789BD548-E029-45DB-9E9C-A46F79CCC67A}"/>
    <cellStyle name="Normal 4 2 2 3 4 3 2 3" xfId="11909" xr:uid="{6ECACAB0-DCA7-4966-BA73-1039733D7608}"/>
    <cellStyle name="Normal 4 2 2 3 4 3 3" xfId="5553" xr:uid="{00000000-0005-0000-0000-000073120000}"/>
    <cellStyle name="Normal 4 2 2 3 4 3 3 2" xfId="13982" xr:uid="{CED67A28-55B6-4B63-83B3-D70BDB1E2C33}"/>
    <cellStyle name="Normal 4 2 2 3 4 3 4" xfId="9764" xr:uid="{056E600C-DBCC-4C81-A1CB-03225A153134}"/>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2FC40F89-9768-4804-9DD6-EE6591E44900}"/>
    <cellStyle name="Normal 4 2 2 3 4 4 2 3" xfId="12322" xr:uid="{A26F3B01-2459-4D82-8014-522A0344882F}"/>
    <cellStyle name="Normal 4 2 2 3 4 4 3" xfId="5966" xr:uid="{00000000-0005-0000-0000-000077120000}"/>
    <cellStyle name="Normal 4 2 2 3 4 4 3 2" xfId="14395" xr:uid="{23C0A7FF-C3E8-4529-846C-1AE3FD898D6F}"/>
    <cellStyle name="Normal 4 2 2 3 4 4 4" xfId="10177" xr:uid="{DA877D6D-7E2F-4468-AF98-52C09EA771DD}"/>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B2D5B3C9-7404-4DC1-BFF2-6BA652CF9D24}"/>
    <cellStyle name="Normal 4 2 2 3 4 5 2 3" xfId="12735" xr:uid="{C776FB83-B67C-4FDE-81ED-9FD0F89F2E70}"/>
    <cellStyle name="Normal 4 2 2 3 4 5 3" xfId="6379" xr:uid="{00000000-0005-0000-0000-00007B120000}"/>
    <cellStyle name="Normal 4 2 2 3 4 5 3 2" xfId="14808" xr:uid="{5B4B6775-602E-407B-8405-D6BC04342C80}"/>
    <cellStyle name="Normal 4 2 2 3 4 5 4" xfId="10590" xr:uid="{27E828D9-C089-47A4-839B-FCBF8ED87BA7}"/>
    <cellStyle name="Normal 4 2 2 3 4 6" xfId="2507" xr:uid="{00000000-0005-0000-0000-00007C120000}"/>
    <cellStyle name="Normal 4 2 2 3 4 6 2" xfId="6792" xr:uid="{00000000-0005-0000-0000-00007D120000}"/>
    <cellStyle name="Normal 4 2 2 3 4 6 2 2" xfId="15221" xr:uid="{20EE3427-F95A-4F8A-93E7-BF246C7D3011}"/>
    <cellStyle name="Normal 4 2 2 3 4 6 3" xfId="11003" xr:uid="{6BB66FE2-8DDB-4055-8C8E-3DA0400D6C14}"/>
    <cellStyle name="Normal 4 2 2 3 4 7" xfId="4727" xr:uid="{00000000-0005-0000-0000-00007E120000}"/>
    <cellStyle name="Normal 4 2 2 3 4 7 2" xfId="13156" xr:uid="{C6DFEF71-9BE7-4559-AB30-4808B1311B88}"/>
    <cellStyle name="Normal 4 2 2 3 4 8" xfId="8938" xr:uid="{A000CA6B-D24A-41DD-B25E-71D776D1B868}"/>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A5EEE656-17C6-4EA4-AEC2-528EB9C5CD2C}"/>
    <cellStyle name="Normal 4 2 2 3 5 2 3" xfId="11489" xr:uid="{A5FF780A-AB2B-41CD-9B41-7F1ADEC76FF1}"/>
    <cellStyle name="Normal 4 2 2 3 5 3" xfId="5133" xr:uid="{00000000-0005-0000-0000-000082120000}"/>
    <cellStyle name="Normal 4 2 2 3 5 3 2" xfId="13562" xr:uid="{FE051850-DB00-4E2A-B285-AB70614E49D0}"/>
    <cellStyle name="Normal 4 2 2 3 5 4" xfId="9344" xr:uid="{ED3B11BF-F168-48E5-BC0A-6445CC8F55E9}"/>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70A74E54-0F4F-40D0-A8B9-1F130B97C6E4}"/>
    <cellStyle name="Normal 4 2 2 3 6 2 3" xfId="11902" xr:uid="{14EAD029-BED5-4B83-8F01-E233C468B7A4}"/>
    <cellStyle name="Normal 4 2 2 3 6 3" xfId="5546" xr:uid="{00000000-0005-0000-0000-000086120000}"/>
    <cellStyle name="Normal 4 2 2 3 6 3 2" xfId="13975" xr:uid="{20DC41E9-2EBE-4C47-A1CD-76BF2D5079D4}"/>
    <cellStyle name="Normal 4 2 2 3 6 4" xfId="9757" xr:uid="{96772EE8-D552-401D-BF31-797022B8D786}"/>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D1CE6308-6831-4683-8638-6B1835390033}"/>
    <cellStyle name="Normal 4 2 2 3 7 2 3" xfId="12315" xr:uid="{E11289CE-9672-45F1-AE9A-72420A50B9AB}"/>
    <cellStyle name="Normal 4 2 2 3 7 3" xfId="5959" xr:uid="{00000000-0005-0000-0000-00008A120000}"/>
    <cellStyle name="Normal 4 2 2 3 7 3 2" xfId="14388" xr:uid="{4B75122C-A7E0-45A1-A5AF-447BE9E27507}"/>
    <cellStyle name="Normal 4 2 2 3 7 4" xfId="10170" xr:uid="{021A1494-0845-4B76-A93F-9C8B0D879C39}"/>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39B38AE9-C0FD-4899-A8C6-60D3F5218E80}"/>
    <cellStyle name="Normal 4 2 2 3 8 2 3" xfId="12728" xr:uid="{BAA1B116-5A38-43EA-BC11-E180C9B2D0D1}"/>
    <cellStyle name="Normal 4 2 2 3 8 3" xfId="6372" xr:uid="{00000000-0005-0000-0000-00008E120000}"/>
    <cellStyle name="Normal 4 2 2 3 8 3 2" xfId="14801" xr:uid="{D90179CF-38F1-460D-B3FC-77AC4ED2A61C}"/>
    <cellStyle name="Normal 4 2 2 3 8 4" xfId="10583" xr:uid="{8D8D2B18-61D7-4B01-8D0B-086BE5CB5FD1}"/>
    <cellStyle name="Normal 4 2 2 3 9" xfId="2500" xr:uid="{00000000-0005-0000-0000-00008F120000}"/>
    <cellStyle name="Normal 4 2 2 3 9 2" xfId="6785" xr:uid="{00000000-0005-0000-0000-000090120000}"/>
    <cellStyle name="Normal 4 2 2 3 9 2 2" xfId="15214" xr:uid="{E9C124C7-8FDA-46FB-ABBF-D9E80361FDD1}"/>
    <cellStyle name="Normal 4 2 2 3 9 3" xfId="10996" xr:uid="{E34ED8DB-1221-473F-8B9D-46F02C8925F7}"/>
    <cellStyle name="Normal 4 2 2 4" xfId="347" xr:uid="{00000000-0005-0000-0000-000091120000}"/>
    <cellStyle name="Normal 4 2 2 4 10" xfId="8939" xr:uid="{E491A749-876E-46DF-A6BD-9E2D6CA01A58}"/>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F09952B2-20E2-411A-A09B-E1D0AC871F85}"/>
    <cellStyle name="Normal 4 2 2 4 2 2 2 2 3" xfId="11499" xr:uid="{0C313743-315A-42A5-8B4B-A06E9822D061}"/>
    <cellStyle name="Normal 4 2 2 4 2 2 2 3" xfId="5143" xr:uid="{00000000-0005-0000-0000-000097120000}"/>
    <cellStyle name="Normal 4 2 2 4 2 2 2 3 2" xfId="13572" xr:uid="{928FFCC9-1275-4F4F-8C08-5A0117240265}"/>
    <cellStyle name="Normal 4 2 2 4 2 2 2 4" xfId="9354" xr:uid="{CD39BCE9-ADF8-42B2-AB51-2D5D75712A5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E9A65F8E-C863-45FA-A482-C076884CCCE6}"/>
    <cellStyle name="Normal 4 2 2 4 2 2 3 2 3" xfId="11912" xr:uid="{7E6E1E53-FF89-4B6B-8A1F-600B3A5FFF0A}"/>
    <cellStyle name="Normal 4 2 2 4 2 2 3 3" xfId="5556" xr:uid="{00000000-0005-0000-0000-00009B120000}"/>
    <cellStyle name="Normal 4 2 2 4 2 2 3 3 2" xfId="13985" xr:uid="{F0B68EFA-08E0-4A40-9F78-AE547C2463FA}"/>
    <cellStyle name="Normal 4 2 2 4 2 2 3 4" xfId="9767" xr:uid="{BBBAD6FF-819A-47A0-8C76-D3C8E3719DE9}"/>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9EAE9519-C178-4856-B8AC-80027BD76A91}"/>
    <cellStyle name="Normal 4 2 2 4 2 2 4 2 3" xfId="12325" xr:uid="{787D5062-EEF7-4023-BD83-6329233D5E38}"/>
    <cellStyle name="Normal 4 2 2 4 2 2 4 3" xfId="5969" xr:uid="{00000000-0005-0000-0000-00009F120000}"/>
    <cellStyle name="Normal 4 2 2 4 2 2 4 3 2" xfId="14398" xr:uid="{737D5BA2-EF0F-41EB-9971-FC2E3F24D4A9}"/>
    <cellStyle name="Normal 4 2 2 4 2 2 4 4" xfId="10180" xr:uid="{C9CA8F7E-7ECC-4663-A28B-80CB7BB68D46}"/>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2DC572DB-7ABF-40F0-9019-05C1DB1F2A6B}"/>
    <cellStyle name="Normal 4 2 2 4 2 2 5 2 3" xfId="12738" xr:uid="{04B08EFC-007B-4726-96E8-BCC06DFEB496}"/>
    <cellStyle name="Normal 4 2 2 4 2 2 5 3" xfId="6382" xr:uid="{00000000-0005-0000-0000-0000A3120000}"/>
    <cellStyle name="Normal 4 2 2 4 2 2 5 3 2" xfId="14811" xr:uid="{651C6623-3BB1-429B-9EA3-B819BFECC9FA}"/>
    <cellStyle name="Normal 4 2 2 4 2 2 5 4" xfId="10593" xr:uid="{64DB2C9C-29C3-4011-B7C6-4C2A35F0CF50}"/>
    <cellStyle name="Normal 4 2 2 4 2 2 6" xfId="2510" xr:uid="{00000000-0005-0000-0000-0000A4120000}"/>
    <cellStyle name="Normal 4 2 2 4 2 2 6 2" xfId="6795" xr:uid="{00000000-0005-0000-0000-0000A5120000}"/>
    <cellStyle name="Normal 4 2 2 4 2 2 6 2 2" xfId="15224" xr:uid="{5EDE7CC1-4D61-48F8-9B37-218453F0883E}"/>
    <cellStyle name="Normal 4 2 2 4 2 2 6 3" xfId="11006" xr:uid="{F2252BDA-AAB2-480F-8300-3A2428214193}"/>
    <cellStyle name="Normal 4 2 2 4 2 2 7" xfId="4730" xr:uid="{00000000-0005-0000-0000-0000A6120000}"/>
    <cellStyle name="Normal 4 2 2 4 2 2 7 2" xfId="13159" xr:uid="{0136BB38-8E76-499D-A605-53F324D7BE75}"/>
    <cellStyle name="Normal 4 2 2 4 2 2 8" xfId="8941" xr:uid="{3B64B06C-7ADE-4C30-8F12-6770E92ACFEA}"/>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197A2FDF-F156-440A-AF3A-D5C4DFD3EB99}"/>
    <cellStyle name="Normal 4 2 2 4 2 3 2 3" xfId="11498" xr:uid="{3D8B21E9-4D9A-46EB-8C5B-2D121B9D3FAD}"/>
    <cellStyle name="Normal 4 2 2 4 2 3 3" xfId="5142" xr:uid="{00000000-0005-0000-0000-0000AA120000}"/>
    <cellStyle name="Normal 4 2 2 4 2 3 3 2" xfId="13571" xr:uid="{9CED0210-4418-4F56-A10E-2AA16F2C932E}"/>
    <cellStyle name="Normal 4 2 2 4 2 3 4" xfId="9353" xr:uid="{9F40AAB0-AA38-450E-BB40-526E1A5F6956}"/>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7ECD9FB3-E938-43FD-9BC3-78FC4127390E}"/>
    <cellStyle name="Normal 4 2 2 4 2 4 2 3" xfId="11911" xr:uid="{AAC15771-AD69-4427-8859-D5805F147BF7}"/>
    <cellStyle name="Normal 4 2 2 4 2 4 3" xfId="5555" xr:uid="{00000000-0005-0000-0000-0000AE120000}"/>
    <cellStyle name="Normal 4 2 2 4 2 4 3 2" xfId="13984" xr:uid="{4B2A266F-BE3D-4A41-A454-819A9DE07A50}"/>
    <cellStyle name="Normal 4 2 2 4 2 4 4" xfId="9766" xr:uid="{F5EBA6B1-6A15-43B4-B970-14DD3DF287E8}"/>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F943EDE7-3B81-4955-9A32-C7250E0B7E59}"/>
    <cellStyle name="Normal 4 2 2 4 2 5 2 3" xfId="12324" xr:uid="{36B9D833-9143-4301-9E76-E366D25B03ED}"/>
    <cellStyle name="Normal 4 2 2 4 2 5 3" xfId="5968" xr:uid="{00000000-0005-0000-0000-0000B2120000}"/>
    <cellStyle name="Normal 4 2 2 4 2 5 3 2" xfId="14397" xr:uid="{0E735E5C-E4A0-4D30-95A5-49FB4B616852}"/>
    <cellStyle name="Normal 4 2 2 4 2 5 4" xfId="10179" xr:uid="{1994C04E-3CCC-4518-8D3C-C36108D5968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09AC5924-7CE0-4A63-91CC-475D7210947E}"/>
    <cellStyle name="Normal 4 2 2 4 2 6 2 3" xfId="12737" xr:uid="{B9B50ED4-3860-4F33-91B2-B8B608AB393A}"/>
    <cellStyle name="Normal 4 2 2 4 2 6 3" xfId="6381" xr:uid="{00000000-0005-0000-0000-0000B6120000}"/>
    <cellStyle name="Normal 4 2 2 4 2 6 3 2" xfId="14810" xr:uid="{5276AB5C-BC71-4974-9895-11647D210DE5}"/>
    <cellStyle name="Normal 4 2 2 4 2 6 4" xfId="10592" xr:uid="{9F6DBC32-0E7E-4178-A5D4-E75438D99CE4}"/>
    <cellStyle name="Normal 4 2 2 4 2 7" xfId="2509" xr:uid="{00000000-0005-0000-0000-0000B7120000}"/>
    <cellStyle name="Normal 4 2 2 4 2 7 2" xfId="6794" xr:uid="{00000000-0005-0000-0000-0000B8120000}"/>
    <cellStyle name="Normal 4 2 2 4 2 7 2 2" xfId="15223" xr:uid="{9EC56458-45DA-40BC-996F-2C1A5D48D8F9}"/>
    <cellStyle name="Normal 4 2 2 4 2 7 3" xfId="11005" xr:uid="{553C0ED5-03E4-4150-A902-7D3CEB57F385}"/>
    <cellStyle name="Normal 4 2 2 4 2 8" xfId="4729" xr:uid="{00000000-0005-0000-0000-0000B9120000}"/>
    <cellStyle name="Normal 4 2 2 4 2 8 2" xfId="13158" xr:uid="{A37A953A-1BC7-4483-9A4B-49405522842D}"/>
    <cellStyle name="Normal 4 2 2 4 2 9" xfId="8940" xr:uid="{E67C7EB6-8EEF-41A8-BBAF-4222C3C23F9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1E23DAA0-2F55-40DB-91C0-08F434600998}"/>
    <cellStyle name="Normal 4 2 2 4 3 2 2 3" xfId="11500" xr:uid="{A08F802D-08EC-4249-8D64-1F151D666C07}"/>
    <cellStyle name="Normal 4 2 2 4 3 2 3" xfId="5144" xr:uid="{00000000-0005-0000-0000-0000BE120000}"/>
    <cellStyle name="Normal 4 2 2 4 3 2 3 2" xfId="13573" xr:uid="{A225FC7D-2173-4434-9306-A46ABFCDB603}"/>
    <cellStyle name="Normal 4 2 2 4 3 2 4" xfId="9355" xr:uid="{7E0B17FE-15EA-412D-9D15-C1C754B8F6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F752CA62-1B9D-4E46-BAD1-69DD2AAA0E90}"/>
    <cellStyle name="Normal 4 2 2 4 3 3 2 3" xfId="11913" xr:uid="{DB3B03EE-4961-4472-B12C-7B01BD5CD528}"/>
    <cellStyle name="Normal 4 2 2 4 3 3 3" xfId="5557" xr:uid="{00000000-0005-0000-0000-0000C2120000}"/>
    <cellStyle name="Normal 4 2 2 4 3 3 3 2" xfId="13986" xr:uid="{24996A3E-91EA-4FB4-AD34-383CA1E592AC}"/>
    <cellStyle name="Normal 4 2 2 4 3 3 4" xfId="9768" xr:uid="{68D7AE61-A31A-4ECE-8CED-DCF0673E350A}"/>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7087D3CC-C5FB-4D91-A32B-03F02F96837E}"/>
    <cellStyle name="Normal 4 2 2 4 3 4 2 3" xfId="12326" xr:uid="{CD7E309C-A133-4BB7-AEAB-729CA104B3AD}"/>
    <cellStyle name="Normal 4 2 2 4 3 4 3" xfId="5970" xr:uid="{00000000-0005-0000-0000-0000C6120000}"/>
    <cellStyle name="Normal 4 2 2 4 3 4 3 2" xfId="14399" xr:uid="{48AF9351-69E0-4460-AF27-B72A59B09728}"/>
    <cellStyle name="Normal 4 2 2 4 3 4 4" xfId="10181" xr:uid="{CEC33C0D-976B-4BD1-938D-724D4044D518}"/>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435DAC94-41F4-4A0D-BCB0-0684F71BBDF2}"/>
    <cellStyle name="Normal 4 2 2 4 3 5 2 3" xfId="12739" xr:uid="{FA66AAC5-3272-4590-A7A5-72E4A16BCECF}"/>
    <cellStyle name="Normal 4 2 2 4 3 5 3" xfId="6383" xr:uid="{00000000-0005-0000-0000-0000CA120000}"/>
    <cellStyle name="Normal 4 2 2 4 3 5 3 2" xfId="14812" xr:uid="{787E8E1B-3B7B-4191-871E-97677B64821A}"/>
    <cellStyle name="Normal 4 2 2 4 3 5 4" xfId="10594" xr:uid="{FF4CA0D7-4290-448C-8E58-BB3927D090A0}"/>
    <cellStyle name="Normal 4 2 2 4 3 6" xfId="2511" xr:uid="{00000000-0005-0000-0000-0000CB120000}"/>
    <cellStyle name="Normal 4 2 2 4 3 6 2" xfId="6796" xr:uid="{00000000-0005-0000-0000-0000CC120000}"/>
    <cellStyle name="Normal 4 2 2 4 3 6 2 2" xfId="15225" xr:uid="{2DED7745-F462-405B-80EF-1A15E234A9CB}"/>
    <cellStyle name="Normal 4 2 2 4 3 6 3" xfId="11007" xr:uid="{80AD71B8-41D0-404D-BC72-6E62F3CF84DB}"/>
    <cellStyle name="Normal 4 2 2 4 3 7" xfId="4731" xr:uid="{00000000-0005-0000-0000-0000CD120000}"/>
    <cellStyle name="Normal 4 2 2 4 3 7 2" xfId="13160" xr:uid="{548B8223-FCE0-49C8-A18D-268FF596C876}"/>
    <cellStyle name="Normal 4 2 2 4 3 8" xfId="8942" xr:uid="{70CDEE8F-13EC-4C95-B0E5-EB33AB7563B4}"/>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64521A97-2A2A-4508-A4DF-BFFEAE3617EA}"/>
    <cellStyle name="Normal 4 2 2 4 4 2 3" xfId="11497" xr:uid="{703C1029-10F9-4314-80FD-CC1264C000D6}"/>
    <cellStyle name="Normal 4 2 2 4 4 3" xfId="5141" xr:uid="{00000000-0005-0000-0000-0000D1120000}"/>
    <cellStyle name="Normal 4 2 2 4 4 3 2" xfId="13570" xr:uid="{E60F2176-B384-4E26-A331-DDFE79C7AD70}"/>
    <cellStyle name="Normal 4 2 2 4 4 4" xfId="9352" xr:uid="{FB9F1B52-864E-4EFB-963A-068AAA185D3A}"/>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32311D97-6C59-4CE3-8757-68C1B1A26F6E}"/>
    <cellStyle name="Normal 4 2 2 4 5 2 3" xfId="11910" xr:uid="{58406D96-C716-4227-87D9-80B15CC64223}"/>
    <cellStyle name="Normal 4 2 2 4 5 3" xfId="5554" xr:uid="{00000000-0005-0000-0000-0000D5120000}"/>
    <cellStyle name="Normal 4 2 2 4 5 3 2" xfId="13983" xr:uid="{2A13885D-1191-40F8-9B63-625076FFAC41}"/>
    <cellStyle name="Normal 4 2 2 4 5 4" xfId="9765" xr:uid="{D64BB2B3-67C9-462C-ADD4-FDECB600BD71}"/>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7FA37E37-6DCE-4F3A-A2E2-7884D9602941}"/>
    <cellStyle name="Normal 4 2 2 4 6 2 3" xfId="12323" xr:uid="{0501D31C-D739-4BD8-8D3E-2E44E15A837F}"/>
    <cellStyle name="Normal 4 2 2 4 6 3" xfId="5967" xr:uid="{00000000-0005-0000-0000-0000D9120000}"/>
    <cellStyle name="Normal 4 2 2 4 6 3 2" xfId="14396" xr:uid="{C69FB8D8-DCCF-4EF0-A382-D6D7992E65FC}"/>
    <cellStyle name="Normal 4 2 2 4 6 4" xfId="10178" xr:uid="{4473E7DC-34E8-4D1F-9755-CBF0550DF4AF}"/>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4B3B2AC8-7417-4C54-B133-0061C64444F0}"/>
    <cellStyle name="Normal 4 2 2 4 7 2 3" xfId="12736" xr:uid="{1DA23ECB-50CA-4F07-B565-8080FEEE739B}"/>
    <cellStyle name="Normal 4 2 2 4 7 3" xfId="6380" xr:uid="{00000000-0005-0000-0000-0000DD120000}"/>
    <cellStyle name="Normal 4 2 2 4 7 3 2" xfId="14809" xr:uid="{BDD36B2B-F74F-422C-B341-813B7DBFFFE2}"/>
    <cellStyle name="Normal 4 2 2 4 7 4" xfId="10591" xr:uid="{4B54021E-FD92-4190-8D12-4175FE6808E4}"/>
    <cellStyle name="Normal 4 2 2 4 8" xfId="2508" xr:uid="{00000000-0005-0000-0000-0000DE120000}"/>
    <cellStyle name="Normal 4 2 2 4 8 2" xfId="6793" xr:uid="{00000000-0005-0000-0000-0000DF120000}"/>
    <cellStyle name="Normal 4 2 2 4 8 2 2" xfId="15222" xr:uid="{5C3B5557-9B38-478F-B033-CE5F33959FF5}"/>
    <cellStyle name="Normal 4 2 2 4 8 3" xfId="11004" xr:uid="{96D057E4-44B0-4C87-AA01-EA825FC1CFFB}"/>
    <cellStyle name="Normal 4 2 2 4 9" xfId="4728" xr:uid="{00000000-0005-0000-0000-0000E0120000}"/>
    <cellStyle name="Normal 4 2 2 4 9 2" xfId="13157" xr:uid="{9D24076D-57EE-4A05-8CC9-E9E82DFD949A}"/>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5781710B-5BDC-4733-9F7F-BC92CEF14B1F}"/>
    <cellStyle name="Normal 4 2 2 5 2 2 2 3" xfId="11502" xr:uid="{2BD446FC-ED0D-41C8-9D8C-D42563D83249}"/>
    <cellStyle name="Normal 4 2 2 5 2 2 3" xfId="5146" xr:uid="{00000000-0005-0000-0000-0000E6120000}"/>
    <cellStyle name="Normal 4 2 2 5 2 2 3 2" xfId="13575" xr:uid="{11078222-F9DA-4BFC-B620-2E1503054469}"/>
    <cellStyle name="Normal 4 2 2 5 2 2 4" xfId="9357" xr:uid="{2563DC73-331F-4D3D-BEB5-FE82795E22DC}"/>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F4F36039-7643-4FAA-A77D-C25C59EDEC42}"/>
    <cellStyle name="Normal 4 2 2 5 2 3 2 3" xfId="11915" xr:uid="{8CF81E8F-64DA-4B7B-B430-FAE75B0510B5}"/>
    <cellStyle name="Normal 4 2 2 5 2 3 3" xfId="5559" xr:uid="{00000000-0005-0000-0000-0000EA120000}"/>
    <cellStyle name="Normal 4 2 2 5 2 3 3 2" xfId="13988" xr:uid="{69695E97-CF8C-4130-B7B8-84D8D0470329}"/>
    <cellStyle name="Normal 4 2 2 5 2 3 4" xfId="9770" xr:uid="{09729AD4-F786-4A34-A8E1-663C156413E1}"/>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F3AEF8C1-F052-47EA-B25A-6645148A72EF}"/>
    <cellStyle name="Normal 4 2 2 5 2 4 2 3" xfId="12328" xr:uid="{DA8AD53B-2ED9-4980-B9A1-8B6F97287DDF}"/>
    <cellStyle name="Normal 4 2 2 5 2 4 3" xfId="5972" xr:uid="{00000000-0005-0000-0000-0000EE120000}"/>
    <cellStyle name="Normal 4 2 2 5 2 4 3 2" xfId="14401" xr:uid="{29D8F31F-B19D-48E8-ACD8-4DD3DB1D17C6}"/>
    <cellStyle name="Normal 4 2 2 5 2 4 4" xfId="10183" xr:uid="{DB6C442D-3565-44A1-8D83-C89CE546D66C}"/>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473984E5-150A-4FEC-BAE8-EFE97A197518}"/>
    <cellStyle name="Normal 4 2 2 5 2 5 2 3" xfId="12741" xr:uid="{825AD298-9C17-466C-8088-3BC92A4EA011}"/>
    <cellStyle name="Normal 4 2 2 5 2 5 3" xfId="6385" xr:uid="{00000000-0005-0000-0000-0000F2120000}"/>
    <cellStyle name="Normal 4 2 2 5 2 5 3 2" xfId="14814" xr:uid="{E9B88056-04DC-4BFD-A185-CD31F67F1825}"/>
    <cellStyle name="Normal 4 2 2 5 2 5 4" xfId="10596" xr:uid="{B9ABE69A-3DAD-4252-8CB2-D5068AC0A4D5}"/>
    <cellStyle name="Normal 4 2 2 5 2 6" xfId="2513" xr:uid="{00000000-0005-0000-0000-0000F3120000}"/>
    <cellStyle name="Normal 4 2 2 5 2 6 2" xfId="6798" xr:uid="{00000000-0005-0000-0000-0000F4120000}"/>
    <cellStyle name="Normal 4 2 2 5 2 6 2 2" xfId="15227" xr:uid="{015F8DFB-3E87-48A2-8ADA-D0C6C82BDCF9}"/>
    <cellStyle name="Normal 4 2 2 5 2 6 3" xfId="11009" xr:uid="{61E6D41F-F39A-49F6-8AF1-6D594AE1F412}"/>
    <cellStyle name="Normal 4 2 2 5 2 7" xfId="4733" xr:uid="{00000000-0005-0000-0000-0000F5120000}"/>
    <cellStyle name="Normal 4 2 2 5 2 7 2" xfId="13162" xr:uid="{A024334E-1827-43FE-92BC-356FF8CE3036}"/>
    <cellStyle name="Normal 4 2 2 5 2 8" xfId="8944" xr:uid="{E18AB9C2-663D-4869-935D-183F52E3BAD5}"/>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6F3BBCF3-6D49-42E4-B6DC-6C794B31A1A4}"/>
    <cellStyle name="Normal 4 2 2 5 3 2 3" xfId="11501" xr:uid="{3C697629-7E23-4913-B54F-C010EF7FB949}"/>
    <cellStyle name="Normal 4 2 2 5 3 3" xfId="5145" xr:uid="{00000000-0005-0000-0000-0000F9120000}"/>
    <cellStyle name="Normal 4 2 2 5 3 3 2" xfId="13574" xr:uid="{33D7364C-8686-4431-901D-08D84A1EE05D}"/>
    <cellStyle name="Normal 4 2 2 5 3 4" xfId="9356" xr:uid="{E98C26B1-15A2-4541-9B5A-5A26DB790CB3}"/>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20120038-9731-484F-BCD0-7A04EFA7F7E4}"/>
    <cellStyle name="Normal 4 2 2 5 4 2 3" xfId="11914" xr:uid="{6204B5D5-E0A5-4265-A0A1-7F67DEB67AB9}"/>
    <cellStyle name="Normal 4 2 2 5 4 3" xfId="5558" xr:uid="{00000000-0005-0000-0000-0000FD120000}"/>
    <cellStyle name="Normal 4 2 2 5 4 3 2" xfId="13987" xr:uid="{537E54D6-7BA6-4D68-A879-52A573D87763}"/>
    <cellStyle name="Normal 4 2 2 5 4 4" xfId="9769" xr:uid="{CF43C773-858C-4FBC-A84C-D60A5CACF55C}"/>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CC3E2166-9D5F-4AE1-8D5C-B9E2174BFBEE}"/>
    <cellStyle name="Normal 4 2 2 5 5 2 3" xfId="12327" xr:uid="{9CAAD395-F826-415E-83C7-0B712A8445C4}"/>
    <cellStyle name="Normal 4 2 2 5 5 3" xfId="5971" xr:uid="{00000000-0005-0000-0000-000001130000}"/>
    <cellStyle name="Normal 4 2 2 5 5 3 2" xfId="14400" xr:uid="{18578472-A72B-442C-9264-8623D9C173E9}"/>
    <cellStyle name="Normal 4 2 2 5 5 4" xfId="10182" xr:uid="{C376240C-95CC-410D-9C4F-E4427101C16C}"/>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AA669C32-DB55-4653-BA2F-170DD727C28C}"/>
    <cellStyle name="Normal 4 2 2 5 6 2 3" xfId="12740" xr:uid="{082C6D5D-C392-4CEF-88CA-8967591B638E}"/>
    <cellStyle name="Normal 4 2 2 5 6 3" xfId="6384" xr:uid="{00000000-0005-0000-0000-000005130000}"/>
    <cellStyle name="Normal 4 2 2 5 6 3 2" xfId="14813" xr:uid="{C310648C-FB97-44C6-B64D-F05384E59F2C}"/>
    <cellStyle name="Normal 4 2 2 5 6 4" xfId="10595" xr:uid="{00DF2986-E1FB-4FCD-BAFB-31512FCD8DC4}"/>
    <cellStyle name="Normal 4 2 2 5 7" xfId="2512" xr:uid="{00000000-0005-0000-0000-000006130000}"/>
    <cellStyle name="Normal 4 2 2 5 7 2" xfId="6797" xr:uid="{00000000-0005-0000-0000-000007130000}"/>
    <cellStyle name="Normal 4 2 2 5 7 2 2" xfId="15226" xr:uid="{59A56539-32BB-4AAA-BDEA-EE8D052C9C63}"/>
    <cellStyle name="Normal 4 2 2 5 7 3" xfId="11008" xr:uid="{2FD11129-BF82-4DDB-BAE8-3CA5C06803E1}"/>
    <cellStyle name="Normal 4 2 2 5 8" xfId="4732" xr:uid="{00000000-0005-0000-0000-000008130000}"/>
    <cellStyle name="Normal 4 2 2 5 8 2" xfId="13161" xr:uid="{507B6272-71F8-411B-9041-23020FF68EF0}"/>
    <cellStyle name="Normal 4 2 2 5 9" xfId="8943" xr:uid="{482579BD-3CB2-465B-BCF7-C718F794AB06}"/>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5C847942-D8F0-4DAA-88C9-A60596D334C5}"/>
    <cellStyle name="Normal 4 2 2 6 2 2 3" xfId="11503" xr:uid="{B45DD403-4571-4FA2-ACED-C8452FFBA29E}"/>
    <cellStyle name="Normal 4 2 2 6 2 3" xfId="5147" xr:uid="{00000000-0005-0000-0000-00000D130000}"/>
    <cellStyle name="Normal 4 2 2 6 2 3 2" xfId="13576" xr:uid="{6E3A345A-1C73-4287-B51F-B26420DA4F06}"/>
    <cellStyle name="Normal 4 2 2 6 2 4" xfId="9358" xr:uid="{C0565B28-2D1E-4CD6-ADDE-CAE2AF8442E7}"/>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BBE16571-B17A-4040-B70D-8946479AF982}"/>
    <cellStyle name="Normal 4 2 2 6 3 2 3" xfId="11916" xr:uid="{0C14372A-D81C-48E4-8E31-A027435D4CD9}"/>
    <cellStyle name="Normal 4 2 2 6 3 3" xfId="5560" xr:uid="{00000000-0005-0000-0000-000011130000}"/>
    <cellStyle name="Normal 4 2 2 6 3 3 2" xfId="13989" xr:uid="{2A4303B1-219E-4B98-A9CA-AB5AA572775B}"/>
    <cellStyle name="Normal 4 2 2 6 3 4" xfId="9771" xr:uid="{2009EFA2-8711-4682-A7AD-7C1832BEF890}"/>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6070DB50-EC85-4A6A-B863-D9AA9DA1B21E}"/>
    <cellStyle name="Normal 4 2 2 6 4 2 3" xfId="12329" xr:uid="{03D4885F-A204-42FF-A5FC-C2E07400D48A}"/>
    <cellStyle name="Normal 4 2 2 6 4 3" xfId="5973" xr:uid="{00000000-0005-0000-0000-000015130000}"/>
    <cellStyle name="Normal 4 2 2 6 4 3 2" xfId="14402" xr:uid="{A7A4E394-272B-4050-893C-8B0ED3400AD3}"/>
    <cellStyle name="Normal 4 2 2 6 4 4" xfId="10184" xr:uid="{0C93FB0B-D0E0-4B47-896C-74796D976F1C}"/>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86861813-9374-42CD-A137-0AC3B642D4F6}"/>
    <cellStyle name="Normal 4 2 2 6 5 2 3" xfId="12742" xr:uid="{3551502B-DA65-497B-86E5-8B6697F3A839}"/>
    <cellStyle name="Normal 4 2 2 6 5 3" xfId="6386" xr:uid="{00000000-0005-0000-0000-000019130000}"/>
    <cellStyle name="Normal 4 2 2 6 5 3 2" xfId="14815" xr:uid="{D12B7F54-95D3-465C-82F2-0687745E0A6B}"/>
    <cellStyle name="Normal 4 2 2 6 5 4" xfId="10597" xr:uid="{5F77E4DE-4C70-443C-8392-CF29733C6463}"/>
    <cellStyle name="Normal 4 2 2 6 6" xfId="2514" xr:uid="{00000000-0005-0000-0000-00001A130000}"/>
    <cellStyle name="Normal 4 2 2 6 6 2" xfId="6799" xr:uid="{00000000-0005-0000-0000-00001B130000}"/>
    <cellStyle name="Normal 4 2 2 6 6 2 2" xfId="15228" xr:uid="{1C9AABC4-51B5-4113-BB41-AC421E6E82DF}"/>
    <cellStyle name="Normal 4 2 2 6 6 3" xfId="11010" xr:uid="{A1A55C21-9D40-48B7-B9AB-8EB0D89D9646}"/>
    <cellStyle name="Normal 4 2 2 6 7" xfId="4734" xr:uid="{00000000-0005-0000-0000-00001C130000}"/>
    <cellStyle name="Normal 4 2 2 6 7 2" xfId="13163" xr:uid="{5BB742A3-7EE6-4672-8617-1585102BF639}"/>
    <cellStyle name="Normal 4 2 2 6 8" xfId="8945" xr:uid="{9FA878A0-83B5-454E-B9FE-B670C7178396}"/>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6E3479D6-527C-4138-83A0-9E025A0B374A}"/>
    <cellStyle name="Normal 4 2 2 7 2 3" xfId="11488" xr:uid="{526C7EA2-BF5C-4197-A5A0-70C09FE67F7D}"/>
    <cellStyle name="Normal 4 2 2 7 3" xfId="5132" xr:uid="{00000000-0005-0000-0000-000020130000}"/>
    <cellStyle name="Normal 4 2 2 7 3 2" xfId="13561" xr:uid="{CA073E7E-FDBE-43A0-B27D-BB485799AC2D}"/>
    <cellStyle name="Normal 4 2 2 7 4" xfId="9343" xr:uid="{F5231316-08C4-4438-A181-EECC88EDF98C}"/>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20F0CF17-C831-414E-A038-9FE50D89130D}"/>
    <cellStyle name="Normal 4 2 2 8 2 3" xfId="11901" xr:uid="{C4DE3211-CA47-4426-8438-9C5B4C24AEEE}"/>
    <cellStyle name="Normal 4 2 2 8 3" xfId="5545" xr:uid="{00000000-0005-0000-0000-000024130000}"/>
    <cellStyle name="Normal 4 2 2 8 3 2" xfId="13974" xr:uid="{A18A8403-FD1C-46C6-A94C-941050C80E9A}"/>
    <cellStyle name="Normal 4 2 2 8 4" xfId="9756" xr:uid="{95527633-023A-4900-A1CB-02A14E92A0EE}"/>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D3BD0F97-27A9-498F-9218-2286CF379378}"/>
    <cellStyle name="Normal 4 2 2 9 2 3" xfId="12314" xr:uid="{6C60428A-0061-46D6-8E37-ABE2B755C560}"/>
    <cellStyle name="Normal 4 2 2 9 3" xfId="5958" xr:uid="{00000000-0005-0000-0000-000028130000}"/>
    <cellStyle name="Normal 4 2 2 9 3 2" xfId="14387" xr:uid="{9D16D80C-37A2-4DBD-AD33-B8B61A612481}"/>
    <cellStyle name="Normal 4 2 2 9 4" xfId="10169" xr:uid="{9C1372EC-BF3C-4BE4-9E85-87EDF600F655}"/>
    <cellStyle name="Normal 4 2 3" xfId="354" xr:uid="{00000000-0005-0000-0000-000029130000}"/>
    <cellStyle name="Normal 4 2 4" xfId="355" xr:uid="{00000000-0005-0000-0000-00002A130000}"/>
    <cellStyle name="Normal 4 2 4 10" xfId="4735" xr:uid="{00000000-0005-0000-0000-00002B130000}"/>
    <cellStyle name="Normal 4 2 4 10 2" xfId="13164" xr:uid="{D71F60DE-9C98-420F-83D7-61386E0B7FC9}"/>
    <cellStyle name="Normal 4 2 4 11" xfId="8946" xr:uid="{51690583-B37A-401E-98CC-669483B03879}"/>
    <cellStyle name="Normal 4 2 4 2" xfId="356" xr:uid="{00000000-0005-0000-0000-00002C130000}"/>
    <cellStyle name="Normal 4 2 4 2 10" xfId="8947" xr:uid="{8DF606A6-1E1A-4D87-A817-21A2CA5ADFBD}"/>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8B7665E3-C12D-4898-A68C-1473E1509DCD}"/>
    <cellStyle name="Normal 4 2 4 2 2 2 2 2 3" xfId="11507" xr:uid="{5CD9BED8-EA4F-4485-A7B7-53EE05A34F44}"/>
    <cellStyle name="Normal 4 2 4 2 2 2 2 3" xfId="5151" xr:uid="{00000000-0005-0000-0000-000032130000}"/>
    <cellStyle name="Normal 4 2 4 2 2 2 2 3 2" xfId="13580" xr:uid="{5023CC8B-54E7-4C51-AFC9-69558B03E098}"/>
    <cellStyle name="Normal 4 2 4 2 2 2 2 4" xfId="9362" xr:uid="{F387C238-EE17-43F6-9420-B1073F8C535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40DAB0B0-2AAB-473C-9B90-70B47284AB12}"/>
    <cellStyle name="Normal 4 2 4 2 2 2 3 2 3" xfId="11920" xr:uid="{90C87BAA-CF1B-48C7-B1C2-46105930F7C1}"/>
    <cellStyle name="Normal 4 2 4 2 2 2 3 3" xfId="5564" xr:uid="{00000000-0005-0000-0000-000036130000}"/>
    <cellStyle name="Normal 4 2 4 2 2 2 3 3 2" xfId="13993" xr:uid="{3AA8793E-5CD3-435F-8812-F1CF4F3DDB04}"/>
    <cellStyle name="Normal 4 2 4 2 2 2 3 4" xfId="9775" xr:uid="{B0A36002-3FF2-44A7-B574-0713313BD4E8}"/>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5F64346B-059F-4F68-8597-4BFDAEAF2BE5}"/>
    <cellStyle name="Normal 4 2 4 2 2 2 4 2 3" xfId="12333" xr:uid="{E67A4913-EF59-46AF-812D-2241DC00A0AB}"/>
    <cellStyle name="Normal 4 2 4 2 2 2 4 3" xfId="5977" xr:uid="{00000000-0005-0000-0000-00003A130000}"/>
    <cellStyle name="Normal 4 2 4 2 2 2 4 3 2" xfId="14406" xr:uid="{60ACBBB4-12B7-4659-96A4-6BDF71DE1D68}"/>
    <cellStyle name="Normal 4 2 4 2 2 2 4 4" xfId="10188" xr:uid="{3C46B902-C5F1-4BFB-B558-979327569304}"/>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9EA2E579-9896-473E-B201-B68114B0CE2C}"/>
    <cellStyle name="Normal 4 2 4 2 2 2 5 2 3" xfId="12746" xr:uid="{B5F0C13F-15B0-49E2-B7F1-0312E07A4849}"/>
    <cellStyle name="Normal 4 2 4 2 2 2 5 3" xfId="6390" xr:uid="{00000000-0005-0000-0000-00003E130000}"/>
    <cellStyle name="Normal 4 2 4 2 2 2 5 3 2" xfId="14819" xr:uid="{9B528963-5C53-4937-A013-6B9D0686389F}"/>
    <cellStyle name="Normal 4 2 4 2 2 2 5 4" xfId="10601" xr:uid="{C56717E9-4938-4AAB-91FF-F1F13B0D0177}"/>
    <cellStyle name="Normal 4 2 4 2 2 2 6" xfId="2518" xr:uid="{00000000-0005-0000-0000-00003F130000}"/>
    <cellStyle name="Normal 4 2 4 2 2 2 6 2" xfId="6803" xr:uid="{00000000-0005-0000-0000-000040130000}"/>
    <cellStyle name="Normal 4 2 4 2 2 2 6 2 2" xfId="15232" xr:uid="{8F49A456-3898-4FFD-81E7-EE087072EB01}"/>
    <cellStyle name="Normal 4 2 4 2 2 2 6 3" xfId="11014" xr:uid="{F7FDD196-BB00-4E3D-949A-F64C403156C5}"/>
    <cellStyle name="Normal 4 2 4 2 2 2 7" xfId="4738" xr:uid="{00000000-0005-0000-0000-000041130000}"/>
    <cellStyle name="Normal 4 2 4 2 2 2 7 2" xfId="13167" xr:uid="{1DEB294F-4457-4E7F-94D1-1EAB98B0FCAB}"/>
    <cellStyle name="Normal 4 2 4 2 2 2 8" xfId="8949" xr:uid="{D47C10D1-27D1-4E1B-9BCD-CEBA3165165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33079DFB-2521-48A4-A6BD-7D0C5FEA205C}"/>
    <cellStyle name="Normal 4 2 4 2 2 3 2 3" xfId="11506" xr:uid="{3F40F24A-48B3-4B57-BA9A-7FE906D943AC}"/>
    <cellStyle name="Normal 4 2 4 2 2 3 3" xfId="5150" xr:uid="{00000000-0005-0000-0000-000045130000}"/>
    <cellStyle name="Normal 4 2 4 2 2 3 3 2" xfId="13579" xr:uid="{105ABC83-DB3D-469C-86A1-4EDE00AB1610}"/>
    <cellStyle name="Normal 4 2 4 2 2 3 4" xfId="9361" xr:uid="{01297B78-7F0A-4B07-AADB-0E4E681777D7}"/>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E3A8F284-1ED1-40F4-8C4D-0F65909B0AD7}"/>
    <cellStyle name="Normal 4 2 4 2 2 4 2 3" xfId="11919" xr:uid="{1AA09A1B-472E-4079-BED3-CEB12DE8842E}"/>
    <cellStyle name="Normal 4 2 4 2 2 4 3" xfId="5563" xr:uid="{00000000-0005-0000-0000-000049130000}"/>
    <cellStyle name="Normal 4 2 4 2 2 4 3 2" xfId="13992" xr:uid="{47AB60DE-92B5-4D7D-BA00-425AE7FDA965}"/>
    <cellStyle name="Normal 4 2 4 2 2 4 4" xfId="9774" xr:uid="{19F70D89-6C2A-4A40-9C0D-3EF898BAD52C}"/>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A79EBCBD-C0C1-43E2-91BE-9A0982B2FC5E}"/>
    <cellStyle name="Normal 4 2 4 2 2 5 2 3" xfId="12332" xr:uid="{7D714B7B-E769-4B3A-BA49-38CC37C9FF59}"/>
    <cellStyle name="Normal 4 2 4 2 2 5 3" xfId="5976" xr:uid="{00000000-0005-0000-0000-00004D130000}"/>
    <cellStyle name="Normal 4 2 4 2 2 5 3 2" xfId="14405" xr:uid="{3E585883-4A16-48A3-9357-19C3C998B0B8}"/>
    <cellStyle name="Normal 4 2 4 2 2 5 4" xfId="10187" xr:uid="{7B2B426D-184C-439C-9E45-1D95E0BD451E}"/>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DD5E72E7-4C58-445B-A555-F8153B305F5B}"/>
    <cellStyle name="Normal 4 2 4 2 2 6 2 3" xfId="12745" xr:uid="{65618848-B23C-4881-880A-4D2631265457}"/>
    <cellStyle name="Normal 4 2 4 2 2 6 3" xfId="6389" xr:uid="{00000000-0005-0000-0000-000051130000}"/>
    <cellStyle name="Normal 4 2 4 2 2 6 3 2" xfId="14818" xr:uid="{9CCEF30B-35AE-4821-9313-B500EDE45C8C}"/>
    <cellStyle name="Normal 4 2 4 2 2 6 4" xfId="10600" xr:uid="{2D2BF489-76A7-4017-BAC0-D9D75582C70F}"/>
    <cellStyle name="Normal 4 2 4 2 2 7" xfId="2517" xr:uid="{00000000-0005-0000-0000-000052130000}"/>
    <cellStyle name="Normal 4 2 4 2 2 7 2" xfId="6802" xr:uid="{00000000-0005-0000-0000-000053130000}"/>
    <cellStyle name="Normal 4 2 4 2 2 7 2 2" xfId="15231" xr:uid="{1185CFBC-3F48-4313-A365-DDD5B5E179F4}"/>
    <cellStyle name="Normal 4 2 4 2 2 7 3" xfId="11013" xr:uid="{0EE5B646-1DDF-4A1A-9EA7-BC6E9A104623}"/>
    <cellStyle name="Normal 4 2 4 2 2 8" xfId="4737" xr:uid="{00000000-0005-0000-0000-000054130000}"/>
    <cellStyle name="Normal 4 2 4 2 2 8 2" xfId="13166" xr:uid="{89959F65-9985-495C-866E-408CF5F34D68}"/>
    <cellStyle name="Normal 4 2 4 2 2 9" xfId="8948" xr:uid="{F6D36A04-520F-42A7-9AEA-F4F504A68E8F}"/>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3312EECB-9B22-4478-8AEC-C5F3A93C6F9C}"/>
    <cellStyle name="Normal 4 2 4 2 3 2 2 3" xfId="11508" xr:uid="{9DAB9DC3-FA96-476E-86B8-30C3B1E15EEF}"/>
    <cellStyle name="Normal 4 2 4 2 3 2 3" xfId="5152" xr:uid="{00000000-0005-0000-0000-000059130000}"/>
    <cellStyle name="Normal 4 2 4 2 3 2 3 2" xfId="13581" xr:uid="{41334AD0-DB02-42A6-B056-A0877A334AB7}"/>
    <cellStyle name="Normal 4 2 4 2 3 2 4" xfId="9363" xr:uid="{5BAA1034-1F10-436D-8E73-A6083535A2A5}"/>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A00D11F0-B685-4A74-97EA-10FF6159EC35}"/>
    <cellStyle name="Normal 4 2 4 2 3 3 2 3" xfId="11921" xr:uid="{711807EF-49DD-416B-B3ED-DFD5FAA6968A}"/>
    <cellStyle name="Normal 4 2 4 2 3 3 3" xfId="5565" xr:uid="{00000000-0005-0000-0000-00005D130000}"/>
    <cellStyle name="Normal 4 2 4 2 3 3 3 2" xfId="13994" xr:uid="{9BE8DCF5-436B-42D0-ABB4-384FC82CF9AE}"/>
    <cellStyle name="Normal 4 2 4 2 3 3 4" xfId="9776" xr:uid="{2DE57428-E02B-44A9-B845-9AB83756B01B}"/>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59C00ABA-2373-4B2F-BE7E-1CC278715E05}"/>
    <cellStyle name="Normal 4 2 4 2 3 4 2 3" xfId="12334" xr:uid="{4816EAB1-3838-4ECF-930B-0A361182F807}"/>
    <cellStyle name="Normal 4 2 4 2 3 4 3" xfId="5978" xr:uid="{00000000-0005-0000-0000-000061130000}"/>
    <cellStyle name="Normal 4 2 4 2 3 4 3 2" xfId="14407" xr:uid="{FD956FD9-4F83-4709-8BD6-395A0C887CE0}"/>
    <cellStyle name="Normal 4 2 4 2 3 4 4" xfId="10189" xr:uid="{C1399B8F-8FAD-46D2-88DE-783ECC36D2DA}"/>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54673496-DC7B-48DD-AC3A-A29733898629}"/>
    <cellStyle name="Normal 4 2 4 2 3 5 2 3" xfId="12747" xr:uid="{D2C27A7C-969A-47F4-851F-7FF07EB489A9}"/>
    <cellStyle name="Normal 4 2 4 2 3 5 3" xfId="6391" xr:uid="{00000000-0005-0000-0000-000065130000}"/>
    <cellStyle name="Normal 4 2 4 2 3 5 3 2" xfId="14820" xr:uid="{4EE688F0-AA46-4108-851C-DA54D867C34B}"/>
    <cellStyle name="Normal 4 2 4 2 3 5 4" xfId="10602" xr:uid="{B5B9E53A-C126-47D8-BCD8-C3365BD32482}"/>
    <cellStyle name="Normal 4 2 4 2 3 6" xfId="2519" xr:uid="{00000000-0005-0000-0000-000066130000}"/>
    <cellStyle name="Normal 4 2 4 2 3 6 2" xfId="6804" xr:uid="{00000000-0005-0000-0000-000067130000}"/>
    <cellStyle name="Normal 4 2 4 2 3 6 2 2" xfId="15233" xr:uid="{06626915-0CAA-40F2-A5EB-441381AD7254}"/>
    <cellStyle name="Normal 4 2 4 2 3 6 3" xfId="11015" xr:uid="{B18825AD-5ACD-4325-846E-260B7989E514}"/>
    <cellStyle name="Normal 4 2 4 2 3 7" xfId="4739" xr:uid="{00000000-0005-0000-0000-000068130000}"/>
    <cellStyle name="Normal 4 2 4 2 3 7 2" xfId="13168" xr:uid="{CAE163E0-454A-4B0C-9C3C-C26B0A532DC2}"/>
    <cellStyle name="Normal 4 2 4 2 3 8" xfId="8950" xr:uid="{1414749A-4B2C-4EE0-BAC1-FF99AD605244}"/>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4B1486D0-E415-4E26-9D76-5AA3EF3F4BD8}"/>
    <cellStyle name="Normal 4 2 4 2 4 2 3" xfId="11505" xr:uid="{F67C255B-B127-4D2F-9C10-58444D8A8DA5}"/>
    <cellStyle name="Normal 4 2 4 2 4 3" xfId="5149" xr:uid="{00000000-0005-0000-0000-00006C130000}"/>
    <cellStyle name="Normal 4 2 4 2 4 3 2" xfId="13578" xr:uid="{B410A1E2-F010-4DED-9931-DA8F647E673D}"/>
    <cellStyle name="Normal 4 2 4 2 4 4" xfId="9360" xr:uid="{D39E6168-976D-4BFD-A3CC-7AD23C663FC6}"/>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AE925A8A-5451-4DE6-8CB2-874FEA5AD307}"/>
    <cellStyle name="Normal 4 2 4 2 5 2 3" xfId="11918" xr:uid="{C2C4DDE2-6081-47F1-8E38-ECB387DA4797}"/>
    <cellStyle name="Normal 4 2 4 2 5 3" xfId="5562" xr:uid="{00000000-0005-0000-0000-000070130000}"/>
    <cellStyle name="Normal 4 2 4 2 5 3 2" xfId="13991" xr:uid="{49AEFDAC-938D-4509-B221-E498B50DDCFA}"/>
    <cellStyle name="Normal 4 2 4 2 5 4" xfId="9773" xr:uid="{9FCC6B1E-08E3-432F-AA24-A4D1017F47BA}"/>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9C842DEC-D94B-4B62-913A-17AEF5C93F78}"/>
    <cellStyle name="Normal 4 2 4 2 6 2 3" xfId="12331" xr:uid="{7DCDF03A-B4FB-4EF9-BE96-D6C877C00B90}"/>
    <cellStyle name="Normal 4 2 4 2 6 3" xfId="5975" xr:uid="{00000000-0005-0000-0000-000074130000}"/>
    <cellStyle name="Normal 4 2 4 2 6 3 2" xfId="14404" xr:uid="{852FD3BB-2AB6-4C25-BF1D-29560ABB4ECB}"/>
    <cellStyle name="Normal 4 2 4 2 6 4" xfId="10186" xr:uid="{7B44FD89-7166-45E3-B923-833FFBBB967D}"/>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776B74E9-327E-446B-9FBE-8269D00CD8CA}"/>
    <cellStyle name="Normal 4 2 4 2 7 2 3" xfId="12744" xr:uid="{58E06977-AEE1-4A91-9755-9387CE581E01}"/>
    <cellStyle name="Normal 4 2 4 2 7 3" xfId="6388" xr:uid="{00000000-0005-0000-0000-000078130000}"/>
    <cellStyle name="Normal 4 2 4 2 7 3 2" xfId="14817" xr:uid="{00EC2703-4304-473B-935D-8D2BA7B6664F}"/>
    <cellStyle name="Normal 4 2 4 2 7 4" xfId="10599" xr:uid="{E83EEA7A-39A7-4ED8-A508-910EEF287ABD}"/>
    <cellStyle name="Normal 4 2 4 2 8" xfId="2516" xr:uid="{00000000-0005-0000-0000-000079130000}"/>
    <cellStyle name="Normal 4 2 4 2 8 2" xfId="6801" xr:uid="{00000000-0005-0000-0000-00007A130000}"/>
    <cellStyle name="Normal 4 2 4 2 8 2 2" xfId="15230" xr:uid="{6873DDAF-DC9D-4CB2-A4D6-43C79C91A573}"/>
    <cellStyle name="Normal 4 2 4 2 8 3" xfId="11012" xr:uid="{019DC039-D598-4896-AA6A-F9A86FBC29E5}"/>
    <cellStyle name="Normal 4 2 4 2 9" xfId="4736" xr:uid="{00000000-0005-0000-0000-00007B130000}"/>
    <cellStyle name="Normal 4 2 4 2 9 2" xfId="13165" xr:uid="{BECDBE1F-843C-4E50-8232-1653D52B2142}"/>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82BDB309-0261-4EA5-AAFB-CD5A49F716A8}"/>
    <cellStyle name="Normal 4 2 4 3 2 2 2 3" xfId="11510" xr:uid="{AC5C766F-E363-4661-BCF0-3963AE398CA3}"/>
    <cellStyle name="Normal 4 2 4 3 2 2 3" xfId="5154" xr:uid="{00000000-0005-0000-0000-000081130000}"/>
    <cellStyle name="Normal 4 2 4 3 2 2 3 2" xfId="13583" xr:uid="{69828090-A8D7-4EAC-B425-562CBD711A18}"/>
    <cellStyle name="Normal 4 2 4 3 2 2 4" xfId="9365" xr:uid="{2ECB04FA-9791-46AD-8B8F-2DDF3E3C42CF}"/>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B34F775D-7864-43F0-949D-F157DB2ED598}"/>
    <cellStyle name="Normal 4 2 4 3 2 3 2 3" xfId="11923" xr:uid="{09DB2959-36B9-47C6-AD9B-0BA6DF19C712}"/>
    <cellStyle name="Normal 4 2 4 3 2 3 3" xfId="5567" xr:uid="{00000000-0005-0000-0000-000085130000}"/>
    <cellStyle name="Normal 4 2 4 3 2 3 3 2" xfId="13996" xr:uid="{F2146A5D-108A-4EDE-B18D-A65EFB0D6FD9}"/>
    <cellStyle name="Normal 4 2 4 3 2 3 4" xfId="9778" xr:uid="{CF6B9DA4-9CFB-4A2D-B71B-84CF0D25E617}"/>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87430643-56E7-4F40-9B60-332D116A1CF4}"/>
    <cellStyle name="Normal 4 2 4 3 2 4 2 3" xfId="12336" xr:uid="{F659F0DA-E3B4-4520-930E-78937D32E449}"/>
    <cellStyle name="Normal 4 2 4 3 2 4 3" xfId="5980" xr:uid="{00000000-0005-0000-0000-000089130000}"/>
    <cellStyle name="Normal 4 2 4 3 2 4 3 2" xfId="14409" xr:uid="{265221EE-0317-4785-8687-C7AF9B65EAD2}"/>
    <cellStyle name="Normal 4 2 4 3 2 4 4" xfId="10191" xr:uid="{A37F4906-17B2-45B4-AD42-0AAC9BDA3304}"/>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ED1C4E52-ADE2-44FA-858F-A314E52E9162}"/>
    <cellStyle name="Normal 4 2 4 3 2 5 2 3" xfId="12749" xr:uid="{5DA19305-A94B-4D2E-A148-0CC2D5EB2A05}"/>
    <cellStyle name="Normal 4 2 4 3 2 5 3" xfId="6393" xr:uid="{00000000-0005-0000-0000-00008D130000}"/>
    <cellStyle name="Normal 4 2 4 3 2 5 3 2" xfId="14822" xr:uid="{DB6AB20D-6E28-49DD-AF5F-48611D0F214E}"/>
    <cellStyle name="Normal 4 2 4 3 2 5 4" xfId="10604" xr:uid="{107E2E50-2DD0-4D41-AC01-89C076DAFF96}"/>
    <cellStyle name="Normal 4 2 4 3 2 6" xfId="2521" xr:uid="{00000000-0005-0000-0000-00008E130000}"/>
    <cellStyle name="Normal 4 2 4 3 2 6 2" xfId="6806" xr:uid="{00000000-0005-0000-0000-00008F130000}"/>
    <cellStyle name="Normal 4 2 4 3 2 6 2 2" xfId="15235" xr:uid="{23F255ED-94E4-4590-8529-B2EC3E5BD27C}"/>
    <cellStyle name="Normal 4 2 4 3 2 6 3" xfId="11017" xr:uid="{8DC571D1-0D08-4330-A3C5-33F912601B5A}"/>
    <cellStyle name="Normal 4 2 4 3 2 7" xfId="4741" xr:uid="{00000000-0005-0000-0000-000090130000}"/>
    <cellStyle name="Normal 4 2 4 3 2 7 2" xfId="13170" xr:uid="{1FDAB46A-0D3F-41FF-8B58-7556C7A59532}"/>
    <cellStyle name="Normal 4 2 4 3 2 8" xfId="8952" xr:uid="{7A4F5863-0503-420C-905A-B45C1FDB831A}"/>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1EA7A15F-0424-4559-BFB0-4264DF713D53}"/>
    <cellStyle name="Normal 4 2 4 3 3 2 3" xfId="11509" xr:uid="{4B0959BA-AB05-4CEA-AC09-46589FFC3F4F}"/>
    <cellStyle name="Normal 4 2 4 3 3 3" xfId="5153" xr:uid="{00000000-0005-0000-0000-000094130000}"/>
    <cellStyle name="Normal 4 2 4 3 3 3 2" xfId="13582" xr:uid="{09AFA056-F36D-47F9-89AD-ED70A8B05524}"/>
    <cellStyle name="Normal 4 2 4 3 3 4" xfId="9364" xr:uid="{693DB484-F6D6-4B0A-B38A-60D83D508939}"/>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5A5D5247-A5E4-4655-AE20-17D789E14C95}"/>
    <cellStyle name="Normal 4 2 4 3 4 2 3" xfId="11922" xr:uid="{9D91D7C7-22BD-4624-911C-BDA734045347}"/>
    <cellStyle name="Normal 4 2 4 3 4 3" xfId="5566" xr:uid="{00000000-0005-0000-0000-000098130000}"/>
    <cellStyle name="Normal 4 2 4 3 4 3 2" xfId="13995" xr:uid="{E5CE2230-874B-47FF-BBF9-39E1B998EFF2}"/>
    <cellStyle name="Normal 4 2 4 3 4 4" xfId="9777" xr:uid="{04DCA97E-C8BB-4D52-9780-24E4E000BBB9}"/>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6195C5CD-119D-40A8-8E73-D43AA009DC4B}"/>
    <cellStyle name="Normal 4 2 4 3 5 2 3" xfId="12335" xr:uid="{0B9D2452-F41B-486D-B64A-83B577282DAD}"/>
    <cellStyle name="Normal 4 2 4 3 5 3" xfId="5979" xr:uid="{00000000-0005-0000-0000-00009C130000}"/>
    <cellStyle name="Normal 4 2 4 3 5 3 2" xfId="14408" xr:uid="{5586B4BF-91CA-4BB2-975C-ABAB724BB11B}"/>
    <cellStyle name="Normal 4 2 4 3 5 4" xfId="10190" xr:uid="{8CC202AF-93B1-4C00-8250-DACA43E6CCCC}"/>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ABCC4A9E-DC41-4FCF-BA43-3A99D7D5EFA9}"/>
    <cellStyle name="Normal 4 2 4 3 6 2 3" xfId="12748" xr:uid="{42D71D22-245A-49B7-96D0-96602C2C00F0}"/>
    <cellStyle name="Normal 4 2 4 3 6 3" xfId="6392" xr:uid="{00000000-0005-0000-0000-0000A0130000}"/>
    <cellStyle name="Normal 4 2 4 3 6 3 2" xfId="14821" xr:uid="{65FBBEA1-DBB3-4A7A-9F27-25FD2888497C}"/>
    <cellStyle name="Normal 4 2 4 3 6 4" xfId="10603" xr:uid="{62AAC509-A875-46FD-A31A-5315E293B121}"/>
    <cellStyle name="Normal 4 2 4 3 7" xfId="2520" xr:uid="{00000000-0005-0000-0000-0000A1130000}"/>
    <cellStyle name="Normal 4 2 4 3 7 2" xfId="6805" xr:uid="{00000000-0005-0000-0000-0000A2130000}"/>
    <cellStyle name="Normal 4 2 4 3 7 2 2" xfId="15234" xr:uid="{4C8A5DAD-6FD7-484C-87D9-DCBF7A897B28}"/>
    <cellStyle name="Normal 4 2 4 3 7 3" xfId="11016" xr:uid="{D2AF2DE6-A39B-45AE-A876-4D0F503FC54C}"/>
    <cellStyle name="Normal 4 2 4 3 8" xfId="4740" xr:uid="{00000000-0005-0000-0000-0000A3130000}"/>
    <cellStyle name="Normal 4 2 4 3 8 2" xfId="13169" xr:uid="{342A64E2-12ED-46E9-A8FF-AF6AF681CEA7}"/>
    <cellStyle name="Normal 4 2 4 3 9" xfId="8951" xr:uid="{F2CFE27D-89F8-4A4D-B223-2DAD02D24A87}"/>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9723EB0F-A2BB-4D65-8A88-FAC32367FD36}"/>
    <cellStyle name="Normal 4 2 4 4 2 2 3" xfId="11511" xr:uid="{B764C1C0-4A8D-4F56-9D5B-93EFC2B7ABF7}"/>
    <cellStyle name="Normal 4 2 4 4 2 3" xfId="5155" xr:uid="{00000000-0005-0000-0000-0000A8130000}"/>
    <cellStyle name="Normal 4 2 4 4 2 3 2" xfId="13584" xr:uid="{AA94B83F-9165-44E3-BACF-750E8C5AE4C8}"/>
    <cellStyle name="Normal 4 2 4 4 2 4" xfId="9366" xr:uid="{3FC72C17-C0F9-4E97-96D7-FB1A2C7598E3}"/>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BBDADA6C-F758-4BFA-8927-D5D692C7DFDD}"/>
    <cellStyle name="Normal 4 2 4 4 3 2 3" xfId="11924" xr:uid="{B79A9784-DDAE-4D74-91D3-333AA0923832}"/>
    <cellStyle name="Normal 4 2 4 4 3 3" xfId="5568" xr:uid="{00000000-0005-0000-0000-0000AC130000}"/>
    <cellStyle name="Normal 4 2 4 4 3 3 2" xfId="13997" xr:uid="{F071E526-2334-4FDB-8BD6-2709A0680AAE}"/>
    <cellStyle name="Normal 4 2 4 4 3 4" xfId="9779" xr:uid="{90BC3CC2-3B0C-4ECF-B6C3-20D318CF5D1E}"/>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65278C46-2644-4256-89E3-D1E2B3BACD1A}"/>
    <cellStyle name="Normal 4 2 4 4 4 2 3" xfId="12337" xr:uid="{D6988BC1-748B-4912-857B-F70181706F20}"/>
    <cellStyle name="Normal 4 2 4 4 4 3" xfId="5981" xr:uid="{00000000-0005-0000-0000-0000B0130000}"/>
    <cellStyle name="Normal 4 2 4 4 4 3 2" xfId="14410" xr:uid="{E3F1DE2D-0A9D-4A2E-8749-916500954D29}"/>
    <cellStyle name="Normal 4 2 4 4 4 4" xfId="10192" xr:uid="{B9197809-E8B9-4238-9404-C189289A9F42}"/>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0226E92C-8E4D-42BE-B851-D3879352D6A6}"/>
    <cellStyle name="Normal 4 2 4 4 5 2 3" xfId="12750" xr:uid="{556B6D92-9A71-4634-AA10-7D0D2E3F3C24}"/>
    <cellStyle name="Normal 4 2 4 4 5 3" xfId="6394" xr:uid="{00000000-0005-0000-0000-0000B4130000}"/>
    <cellStyle name="Normal 4 2 4 4 5 3 2" xfId="14823" xr:uid="{7EE0C4B3-2863-43F2-BB43-B3B3A083B72A}"/>
    <cellStyle name="Normal 4 2 4 4 5 4" xfId="10605" xr:uid="{5CE1DA75-2ABE-4FCA-A782-3A2F4E67FA34}"/>
    <cellStyle name="Normal 4 2 4 4 6" xfId="2522" xr:uid="{00000000-0005-0000-0000-0000B5130000}"/>
    <cellStyle name="Normal 4 2 4 4 6 2" xfId="6807" xr:uid="{00000000-0005-0000-0000-0000B6130000}"/>
    <cellStyle name="Normal 4 2 4 4 6 2 2" xfId="15236" xr:uid="{6CA213C3-0AAF-483B-8305-D967C7B86C87}"/>
    <cellStyle name="Normal 4 2 4 4 6 3" xfId="11018" xr:uid="{86A383FE-425B-41FE-830F-4AAB11C0C868}"/>
    <cellStyle name="Normal 4 2 4 4 7" xfId="4742" xr:uid="{00000000-0005-0000-0000-0000B7130000}"/>
    <cellStyle name="Normal 4 2 4 4 7 2" xfId="13171" xr:uid="{EF4D6991-C38D-4C8B-8B6F-A1EEAE670BAF}"/>
    <cellStyle name="Normal 4 2 4 4 8" xfId="8953" xr:uid="{8A6FA2B5-3F24-4B56-BD61-9503E21B5D0D}"/>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62348D6D-28CE-468D-81EE-C721F02BEA74}"/>
    <cellStyle name="Normal 4 2 4 5 2 3" xfId="11504" xr:uid="{25936A78-D12F-40FD-8967-1D04A7EEF171}"/>
    <cellStyle name="Normal 4 2 4 5 3" xfId="5148" xr:uid="{00000000-0005-0000-0000-0000BB130000}"/>
    <cellStyle name="Normal 4 2 4 5 3 2" xfId="13577" xr:uid="{1751D08C-C86B-4991-A907-C11C6CECF430}"/>
    <cellStyle name="Normal 4 2 4 5 4" xfId="9359" xr:uid="{DB7F425C-CBE7-4385-AD67-8E569E2175B7}"/>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FC8A9C70-129E-4594-845D-F5E2997C4EDA}"/>
    <cellStyle name="Normal 4 2 4 6 2 3" xfId="11917" xr:uid="{48451958-12F8-45C2-A1D5-C673642BC374}"/>
    <cellStyle name="Normal 4 2 4 6 3" xfId="5561" xr:uid="{00000000-0005-0000-0000-0000BF130000}"/>
    <cellStyle name="Normal 4 2 4 6 3 2" xfId="13990" xr:uid="{6A4CD2C6-404F-484C-A1C7-0BF65076EFD6}"/>
    <cellStyle name="Normal 4 2 4 6 4" xfId="9772" xr:uid="{287E47CA-8CFA-463E-BC8F-69DE5614942F}"/>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39BB248F-FFF6-4AC3-8F1F-BDA716742168}"/>
    <cellStyle name="Normal 4 2 4 7 2 3" xfId="12330" xr:uid="{A48D4D10-93F1-463C-B396-64CCD0FB156A}"/>
    <cellStyle name="Normal 4 2 4 7 3" xfId="5974" xr:uid="{00000000-0005-0000-0000-0000C3130000}"/>
    <cellStyle name="Normal 4 2 4 7 3 2" xfId="14403" xr:uid="{29AAF43B-7346-4478-B0ED-06CDD217E52B}"/>
    <cellStyle name="Normal 4 2 4 7 4" xfId="10185" xr:uid="{E114E61C-5A87-4AF3-8913-262EE526338B}"/>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CDA009AC-BE95-4BE6-A6B3-5F3A69AC4498}"/>
    <cellStyle name="Normal 4 2 4 8 2 3" xfId="12743" xr:uid="{0B80B921-AAD5-47BC-AFA8-188671B1875E}"/>
    <cellStyle name="Normal 4 2 4 8 3" xfId="6387" xr:uid="{00000000-0005-0000-0000-0000C7130000}"/>
    <cellStyle name="Normal 4 2 4 8 3 2" xfId="14816" xr:uid="{FF03A735-B3D7-49B2-BBBC-39C2A8C59B51}"/>
    <cellStyle name="Normal 4 2 4 8 4" xfId="10598" xr:uid="{79CFB4DB-E648-4000-A9F3-AA7EBBA4D252}"/>
    <cellStyle name="Normal 4 2 4 9" xfId="2515" xr:uid="{00000000-0005-0000-0000-0000C8130000}"/>
    <cellStyle name="Normal 4 2 4 9 2" xfId="6800" xr:uid="{00000000-0005-0000-0000-0000C9130000}"/>
    <cellStyle name="Normal 4 2 4 9 2 2" xfId="15229" xr:uid="{BF998F0D-46FB-4999-A8FC-2FA86E9DA516}"/>
    <cellStyle name="Normal 4 2 4 9 3" xfId="11011" xr:uid="{63AAD4A1-7B1D-4417-9AA3-60E43B4EBF26}"/>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026B2026-31C6-4F3E-8E50-4774ACA85A1B}"/>
    <cellStyle name="Normal 4 2 5 2 2 2 3" xfId="11513" xr:uid="{8E566C8A-2D73-4E1A-BF5E-DB8354B95804}"/>
    <cellStyle name="Normal 4 2 5 2 2 3" xfId="5157" xr:uid="{00000000-0005-0000-0000-0000CF130000}"/>
    <cellStyle name="Normal 4 2 5 2 2 3 2" xfId="13586" xr:uid="{DFEA52B9-7334-4330-9F2E-B417508291E7}"/>
    <cellStyle name="Normal 4 2 5 2 2 4" xfId="9368" xr:uid="{CCA6D059-EA36-4E37-A1B2-A4D05DD82609}"/>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00342975-4055-482C-9694-6D808050ED4C}"/>
    <cellStyle name="Normal 4 2 5 2 3 2 3" xfId="11926" xr:uid="{A13A8DA3-444C-43F3-9CB4-DC9A13BA6585}"/>
    <cellStyle name="Normal 4 2 5 2 3 3" xfId="5570" xr:uid="{00000000-0005-0000-0000-0000D3130000}"/>
    <cellStyle name="Normal 4 2 5 2 3 3 2" xfId="13999" xr:uid="{116E8CDD-5CDD-4AB4-87AF-3C8DE3B25B47}"/>
    <cellStyle name="Normal 4 2 5 2 3 4" xfId="9781" xr:uid="{9A128BE9-CCEB-43E3-B0B5-C11BF930F8F5}"/>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6729A28D-1E5B-4DA5-B23F-A11B5804AC59}"/>
    <cellStyle name="Normal 4 2 5 2 4 2 3" xfId="12339" xr:uid="{6C654201-474C-42F1-8D01-4993CAE6CA06}"/>
    <cellStyle name="Normal 4 2 5 2 4 3" xfId="5983" xr:uid="{00000000-0005-0000-0000-0000D7130000}"/>
    <cellStyle name="Normal 4 2 5 2 4 3 2" xfId="14412" xr:uid="{C5896F21-3A52-4B0D-97DD-09C1B1B8F42E}"/>
    <cellStyle name="Normal 4 2 5 2 4 4" xfId="10194" xr:uid="{1C1FC77F-0241-4CF6-B9FE-44519BD05918}"/>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647C0BC4-DEE9-475F-883F-A2F4B42941E6}"/>
    <cellStyle name="Normal 4 2 5 2 5 2 3" xfId="12752" xr:uid="{8BAF3B01-764E-4B50-B37C-10A6DD64D834}"/>
    <cellStyle name="Normal 4 2 5 2 5 3" xfId="6396" xr:uid="{00000000-0005-0000-0000-0000DB130000}"/>
    <cellStyle name="Normal 4 2 5 2 5 3 2" xfId="14825" xr:uid="{39064F63-6B94-4087-8AC4-8745046ADE2B}"/>
    <cellStyle name="Normal 4 2 5 2 5 4" xfId="10607" xr:uid="{E386938B-C667-426A-886E-7EABDDA22AA0}"/>
    <cellStyle name="Normal 4 2 5 2 6" xfId="2524" xr:uid="{00000000-0005-0000-0000-0000DC130000}"/>
    <cellStyle name="Normal 4 2 5 2 6 2" xfId="6809" xr:uid="{00000000-0005-0000-0000-0000DD130000}"/>
    <cellStyle name="Normal 4 2 5 2 6 2 2" xfId="15238" xr:uid="{22807A0D-CDF1-491A-BBC4-49F7178F5C84}"/>
    <cellStyle name="Normal 4 2 5 2 6 3" xfId="11020" xr:uid="{44B0E6A1-E4F1-49F5-A3BE-50E128E7CE96}"/>
    <cellStyle name="Normal 4 2 5 2 7" xfId="4744" xr:uid="{00000000-0005-0000-0000-0000DE130000}"/>
    <cellStyle name="Normal 4 2 5 2 7 2" xfId="13173" xr:uid="{79DE763B-2A22-46A5-B7B3-4DA68693854F}"/>
    <cellStyle name="Normal 4 2 5 2 8" xfId="8955" xr:uid="{D1829406-3FA9-49A0-9474-6C2702C81BF8}"/>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A99C02CD-1BB5-4B30-906A-AE1B758D40BA}"/>
    <cellStyle name="Normal 4 2 5 3 2 3" xfId="11512" xr:uid="{17B3BBB6-32DA-4B40-89CD-8D20E8D116E4}"/>
    <cellStyle name="Normal 4 2 5 3 3" xfId="5156" xr:uid="{00000000-0005-0000-0000-0000E2130000}"/>
    <cellStyle name="Normal 4 2 5 3 3 2" xfId="13585" xr:uid="{6B843BAC-E60F-4C89-91C1-603E1D6C7271}"/>
    <cellStyle name="Normal 4 2 5 3 4" xfId="9367" xr:uid="{A8949F68-A975-4F81-AEAB-F0591C83F2B3}"/>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AC74D7E6-4C56-4C8C-9D32-1DBBFEC7BEB3}"/>
    <cellStyle name="Normal 4 2 5 4 2 3" xfId="11925" xr:uid="{9B3F49BA-CE5B-41A8-8922-A9FA852D6CC4}"/>
    <cellStyle name="Normal 4 2 5 4 3" xfId="5569" xr:uid="{00000000-0005-0000-0000-0000E6130000}"/>
    <cellStyle name="Normal 4 2 5 4 3 2" xfId="13998" xr:uid="{F20CE03C-CF77-4C2D-889E-F74B12AAF5DC}"/>
    <cellStyle name="Normal 4 2 5 4 4" xfId="9780" xr:uid="{6B7BE741-7C88-4584-B2A7-15C56348ED0E}"/>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DE3FCB90-66D3-4653-A42B-05819793FD8D}"/>
    <cellStyle name="Normal 4 2 5 5 2 3" xfId="12338" xr:uid="{3A4DE615-1E11-4F11-B659-49D174D54A7F}"/>
    <cellStyle name="Normal 4 2 5 5 3" xfId="5982" xr:uid="{00000000-0005-0000-0000-0000EA130000}"/>
    <cellStyle name="Normal 4 2 5 5 3 2" xfId="14411" xr:uid="{142105BD-E617-44D1-87A0-EA2B43B02568}"/>
    <cellStyle name="Normal 4 2 5 5 4" xfId="10193" xr:uid="{22AD77B7-320C-4E2E-9BB1-F5E52CBD1D0B}"/>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82580671-709C-465F-9A42-D3C9E139E267}"/>
    <cellStyle name="Normal 4 2 5 6 2 3" xfId="12751" xr:uid="{A87AF9F8-9A53-4600-8C8E-BED29AA97171}"/>
    <cellStyle name="Normal 4 2 5 6 3" xfId="6395" xr:uid="{00000000-0005-0000-0000-0000EE130000}"/>
    <cellStyle name="Normal 4 2 5 6 3 2" xfId="14824" xr:uid="{8EA16A17-CF78-4265-B41E-D91DF4073070}"/>
    <cellStyle name="Normal 4 2 5 6 4" xfId="10606" xr:uid="{D32F0918-FD71-4F5A-A69E-34E8F367B3CD}"/>
    <cellStyle name="Normal 4 2 5 7" xfId="2523" xr:uid="{00000000-0005-0000-0000-0000EF130000}"/>
    <cellStyle name="Normal 4 2 5 7 2" xfId="6808" xr:uid="{00000000-0005-0000-0000-0000F0130000}"/>
    <cellStyle name="Normal 4 2 5 7 2 2" xfId="15237" xr:uid="{06A4468A-39BF-4CC0-ABBD-429DF462F88C}"/>
    <cellStyle name="Normal 4 2 5 7 3" xfId="11019" xr:uid="{9CBCA0C0-250F-4C84-8725-143256B3F29C}"/>
    <cellStyle name="Normal 4 2 5 8" xfId="4743" xr:uid="{00000000-0005-0000-0000-0000F1130000}"/>
    <cellStyle name="Normal 4 2 5 8 2" xfId="13172" xr:uid="{A4D9F9A0-E810-4434-8AFF-360FC408CFAF}"/>
    <cellStyle name="Normal 4 2 5 9" xfId="8954" xr:uid="{72708B98-7120-44CF-97C2-56485BC79D3A}"/>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DFE77002-836D-46B1-A794-0CDAADA56DE1}"/>
    <cellStyle name="Normal 4 2 6 2 2 3" xfId="11514" xr:uid="{8DDF14D3-0866-4834-88D0-5A90C3A5ABF0}"/>
    <cellStyle name="Normal 4 2 6 2 3" xfId="5158" xr:uid="{00000000-0005-0000-0000-0000F6130000}"/>
    <cellStyle name="Normal 4 2 6 2 3 2" xfId="13587" xr:uid="{C2BF8F6E-48F5-45D2-BCC2-94168A836E6B}"/>
    <cellStyle name="Normal 4 2 6 2 4" xfId="9369" xr:uid="{8495AFB7-4C71-42AE-B229-754221961BD7}"/>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0103FC16-E5F1-4024-9D8E-2734FC5D1551}"/>
    <cellStyle name="Normal 4 2 6 3 2 3" xfId="11927" xr:uid="{18E49720-FB35-4B97-A483-518D294388B1}"/>
    <cellStyle name="Normal 4 2 6 3 3" xfId="5571" xr:uid="{00000000-0005-0000-0000-0000FA130000}"/>
    <cellStyle name="Normal 4 2 6 3 3 2" xfId="14000" xr:uid="{7C1367FE-1466-4066-9CFB-E7DA6AFC9826}"/>
    <cellStyle name="Normal 4 2 6 3 4" xfId="9782" xr:uid="{14F2A1F4-2249-4860-BE9D-9C317097B5C2}"/>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2F2BE5E4-1A3C-4CBE-BD51-59B94E4C2CA3}"/>
    <cellStyle name="Normal 4 2 6 4 2 3" xfId="12340" xr:uid="{EFDAFB7F-213A-4775-B071-405CEF3037E4}"/>
    <cellStyle name="Normal 4 2 6 4 3" xfId="5984" xr:uid="{00000000-0005-0000-0000-0000FE130000}"/>
    <cellStyle name="Normal 4 2 6 4 3 2" xfId="14413" xr:uid="{1AA882C3-0F3A-4905-9827-7B761255BB8F}"/>
    <cellStyle name="Normal 4 2 6 4 4" xfId="10195" xr:uid="{A2FFE4D2-D20B-4CF3-9660-70A8F9DB9D78}"/>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4C64A080-0346-4CA0-8998-7F30CD1BBA41}"/>
    <cellStyle name="Normal 4 2 6 5 2 3" xfId="12753" xr:uid="{2C2232FA-24A9-4AAF-800C-4399BB5C414D}"/>
    <cellStyle name="Normal 4 2 6 5 3" xfId="6397" xr:uid="{00000000-0005-0000-0000-000002140000}"/>
    <cellStyle name="Normal 4 2 6 5 3 2" xfId="14826" xr:uid="{246A4AD7-B449-4D8B-BFB3-7148F443A569}"/>
    <cellStyle name="Normal 4 2 6 5 4" xfId="10608" xr:uid="{B1A52C82-F409-4CD3-85F8-17430C9E3528}"/>
    <cellStyle name="Normal 4 2 6 6" xfId="2525" xr:uid="{00000000-0005-0000-0000-000003140000}"/>
    <cellStyle name="Normal 4 2 6 6 2" xfId="6810" xr:uid="{00000000-0005-0000-0000-000004140000}"/>
    <cellStyle name="Normal 4 2 6 6 2 2" xfId="15239" xr:uid="{D239A313-53DF-4471-ADCB-593A26440489}"/>
    <cellStyle name="Normal 4 2 6 6 3" xfId="11021" xr:uid="{1E86C559-F529-4AD9-8088-6B841BBD8BA7}"/>
    <cellStyle name="Normal 4 2 6 7" xfId="4745" xr:uid="{00000000-0005-0000-0000-000005140000}"/>
    <cellStyle name="Normal 4 2 6 7 2" xfId="13174" xr:uid="{BA2788DF-9D46-4A4B-9397-D1700AF5AE46}"/>
    <cellStyle name="Normal 4 2 6 8" xfId="8956" xr:uid="{398EF992-E4B2-48D8-AF44-79A23541D34C}"/>
    <cellStyle name="Normal 4 3" xfId="366" xr:uid="{00000000-0005-0000-0000-000006140000}"/>
    <cellStyle name="Normal 4 3 10" xfId="8957" xr:uid="{37CBF3C1-BF73-44A6-A998-DCFF947BCF25}"/>
    <cellStyle name="Normal 4 3 2" xfId="367" xr:uid="{00000000-0005-0000-0000-000007140000}"/>
    <cellStyle name="Normal 4 3 2 2" xfId="368" xr:uid="{00000000-0005-0000-0000-000008140000}"/>
    <cellStyle name="Normal 4 3 2 2 2" xfId="369" xr:uid="{00000000-0005-0000-0000-000009140000}"/>
    <cellStyle name="Normal 4 3 2 2 2 10" xfId="8958" xr:uid="{9F31DF14-2E44-4F39-874D-26D6D74F16D4}"/>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FB064A4A-43B3-4EFB-BC88-AD092E38C46A}"/>
    <cellStyle name="Normal 4 3 2 2 2 2 2 2 2 3" xfId="11518" xr:uid="{C6923330-E2D5-49D3-93CF-439F2CC73811}"/>
    <cellStyle name="Normal 4 3 2 2 2 2 2 2 3" xfId="5162" xr:uid="{00000000-0005-0000-0000-00000F140000}"/>
    <cellStyle name="Normal 4 3 2 2 2 2 2 2 3 2" xfId="13591" xr:uid="{5C0528BF-0489-4419-A4ED-CF53F97A9EB1}"/>
    <cellStyle name="Normal 4 3 2 2 2 2 2 2 4" xfId="9373" xr:uid="{08E8A64A-AD83-45E7-BE6A-CEF6D3146DA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5AF08779-137E-4251-8E60-E0B28F19915A}"/>
    <cellStyle name="Normal 4 3 2 2 2 2 2 3 2 3" xfId="11931" xr:uid="{C150F003-59C7-4321-A5C6-54A9D183A8B9}"/>
    <cellStyle name="Normal 4 3 2 2 2 2 2 3 3" xfId="5575" xr:uid="{00000000-0005-0000-0000-000013140000}"/>
    <cellStyle name="Normal 4 3 2 2 2 2 2 3 3 2" xfId="14004" xr:uid="{CE50E65E-8456-4747-8EFD-2464FFA1B398}"/>
    <cellStyle name="Normal 4 3 2 2 2 2 2 3 4" xfId="9786" xr:uid="{1A685C0C-4F4C-45D2-825F-BE4B096608B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D62AE760-06AC-42B2-948D-C622E0F4CDCA}"/>
    <cellStyle name="Normal 4 3 2 2 2 2 2 4 2 3" xfId="12344" xr:uid="{BEB5799D-E004-4EB8-AC2A-AD599D07841B}"/>
    <cellStyle name="Normal 4 3 2 2 2 2 2 4 3" xfId="5988" xr:uid="{00000000-0005-0000-0000-000017140000}"/>
    <cellStyle name="Normal 4 3 2 2 2 2 2 4 3 2" xfId="14417" xr:uid="{7BCBBE46-CEBC-4BC4-8BF6-43852B8057B4}"/>
    <cellStyle name="Normal 4 3 2 2 2 2 2 4 4" xfId="10199" xr:uid="{92C1A328-4116-409C-9620-E3AB52AFE367}"/>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AEC9955B-06CD-47E4-96EA-C0B7112AAAAE}"/>
    <cellStyle name="Normal 4 3 2 2 2 2 2 5 2 3" xfId="12757" xr:uid="{0A4FDE06-CB0F-4695-8784-B6D7D112FAD7}"/>
    <cellStyle name="Normal 4 3 2 2 2 2 2 5 3" xfId="6401" xr:uid="{00000000-0005-0000-0000-00001B140000}"/>
    <cellStyle name="Normal 4 3 2 2 2 2 2 5 3 2" xfId="14830" xr:uid="{E181B3EE-7903-4556-A0D5-87FA03B069EF}"/>
    <cellStyle name="Normal 4 3 2 2 2 2 2 5 4" xfId="10612" xr:uid="{C536E104-2A72-4973-8332-05311E206737}"/>
    <cellStyle name="Normal 4 3 2 2 2 2 2 6" xfId="2529" xr:uid="{00000000-0005-0000-0000-00001C140000}"/>
    <cellStyle name="Normal 4 3 2 2 2 2 2 6 2" xfId="6814" xr:uid="{00000000-0005-0000-0000-00001D140000}"/>
    <cellStyle name="Normal 4 3 2 2 2 2 2 6 2 2" xfId="15243" xr:uid="{D6840EEB-06D9-43F6-B25E-E3CF02CFCE63}"/>
    <cellStyle name="Normal 4 3 2 2 2 2 2 6 3" xfId="11025" xr:uid="{E8E043FB-7C25-493B-9E64-48C674B6FC26}"/>
    <cellStyle name="Normal 4 3 2 2 2 2 2 7" xfId="4749" xr:uid="{00000000-0005-0000-0000-00001E140000}"/>
    <cellStyle name="Normal 4 3 2 2 2 2 2 7 2" xfId="13178" xr:uid="{ABAEFD4B-90FF-4A40-B790-D94F8DFCC272}"/>
    <cellStyle name="Normal 4 3 2 2 2 2 2 8" xfId="8960" xr:uid="{A271568E-DB51-4D69-AF5A-D17CE2FAB50C}"/>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E8CDAB1B-DC8E-4FB4-8BC5-41F839AF246F}"/>
    <cellStyle name="Normal 4 3 2 2 2 2 3 2 3" xfId="11517" xr:uid="{7E9E5F51-DCEC-4EB1-9DF6-7279067DCB5D}"/>
    <cellStyle name="Normal 4 3 2 2 2 2 3 3" xfId="5161" xr:uid="{00000000-0005-0000-0000-000022140000}"/>
    <cellStyle name="Normal 4 3 2 2 2 2 3 3 2" xfId="13590" xr:uid="{B4FAC0B9-30D9-43F5-8C27-AA5525DFD9CA}"/>
    <cellStyle name="Normal 4 3 2 2 2 2 3 4" xfId="9372" xr:uid="{FCA6C065-7A39-4D0E-B358-881815FD5D0A}"/>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C8D3D16F-C77D-44D4-B024-D04672FF64D9}"/>
    <cellStyle name="Normal 4 3 2 2 2 2 4 2 3" xfId="11930" xr:uid="{C2B57008-2A59-4DD1-8071-8A41FAE164CD}"/>
    <cellStyle name="Normal 4 3 2 2 2 2 4 3" xfId="5574" xr:uid="{00000000-0005-0000-0000-000026140000}"/>
    <cellStyle name="Normal 4 3 2 2 2 2 4 3 2" xfId="14003" xr:uid="{21D66471-D183-4245-AA5B-011D6764E950}"/>
    <cellStyle name="Normal 4 3 2 2 2 2 4 4" xfId="9785" xr:uid="{5612621F-5C99-4E1D-BD2B-8B4B06310115}"/>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9729972D-D1D0-43CA-ABF2-1D0AB6CAAE51}"/>
    <cellStyle name="Normal 4 3 2 2 2 2 5 2 3" xfId="12343" xr:uid="{4D870182-7B8B-4457-9275-4039E5C176BD}"/>
    <cellStyle name="Normal 4 3 2 2 2 2 5 3" xfId="5987" xr:uid="{00000000-0005-0000-0000-00002A140000}"/>
    <cellStyle name="Normal 4 3 2 2 2 2 5 3 2" xfId="14416" xr:uid="{0E1E0FDC-BEAC-4046-855A-AA8C6402F4D3}"/>
    <cellStyle name="Normal 4 3 2 2 2 2 5 4" xfId="10198" xr:uid="{F8E92751-6BD4-43CC-8265-41F2EBAC3D7F}"/>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9ECFA505-6A71-4AD1-8483-CFB3A4CA9B43}"/>
    <cellStyle name="Normal 4 3 2 2 2 2 6 2 3" xfId="12756" xr:uid="{C0B6DC3A-E8E1-487B-85FA-979A04EE441C}"/>
    <cellStyle name="Normal 4 3 2 2 2 2 6 3" xfId="6400" xr:uid="{00000000-0005-0000-0000-00002E140000}"/>
    <cellStyle name="Normal 4 3 2 2 2 2 6 3 2" xfId="14829" xr:uid="{7349C49E-9151-42FD-99CE-013BF6B25E7A}"/>
    <cellStyle name="Normal 4 3 2 2 2 2 6 4" xfId="10611" xr:uid="{46413B03-E230-40BC-AA7B-48D2E9AB82A6}"/>
    <cellStyle name="Normal 4 3 2 2 2 2 7" xfId="2528" xr:uid="{00000000-0005-0000-0000-00002F140000}"/>
    <cellStyle name="Normal 4 3 2 2 2 2 7 2" xfId="6813" xr:uid="{00000000-0005-0000-0000-000030140000}"/>
    <cellStyle name="Normal 4 3 2 2 2 2 7 2 2" xfId="15242" xr:uid="{00B31968-A947-4F8B-B2CC-819512C592FF}"/>
    <cellStyle name="Normal 4 3 2 2 2 2 7 3" xfId="11024" xr:uid="{89833136-01F1-47CA-B7BD-415142906D91}"/>
    <cellStyle name="Normal 4 3 2 2 2 2 8" xfId="4748" xr:uid="{00000000-0005-0000-0000-000031140000}"/>
    <cellStyle name="Normal 4 3 2 2 2 2 8 2" xfId="13177" xr:uid="{E1EFF420-9375-4C19-B7D7-9EFFFD3A4FA4}"/>
    <cellStyle name="Normal 4 3 2 2 2 2 9" xfId="8959" xr:uid="{D5FDB44D-CFE3-4C52-B751-67F1ABFC24BD}"/>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968D28EC-D7E3-43B1-B0A3-516EA4F79836}"/>
    <cellStyle name="Normal 4 3 2 2 2 3 2 2 3" xfId="11519" xr:uid="{06E34820-04EE-4D85-89B0-CFE9622CE64C}"/>
    <cellStyle name="Normal 4 3 2 2 2 3 2 3" xfId="5163" xr:uid="{00000000-0005-0000-0000-000036140000}"/>
    <cellStyle name="Normal 4 3 2 2 2 3 2 3 2" xfId="13592" xr:uid="{9470D809-4D63-401C-8529-F5702350722B}"/>
    <cellStyle name="Normal 4 3 2 2 2 3 2 4" xfId="9374" xr:uid="{DF1C7D2A-AE44-4FF1-A0E8-DC20EF431333}"/>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436400C4-9D88-4D43-B623-AB23C31EA7AB}"/>
    <cellStyle name="Normal 4 3 2 2 2 3 3 2 3" xfId="11932" xr:uid="{09F38951-A336-44EF-A60B-7CDF614C90DF}"/>
    <cellStyle name="Normal 4 3 2 2 2 3 3 3" xfId="5576" xr:uid="{00000000-0005-0000-0000-00003A140000}"/>
    <cellStyle name="Normal 4 3 2 2 2 3 3 3 2" xfId="14005" xr:uid="{4A055795-797D-49DC-A565-923A24C3E4B3}"/>
    <cellStyle name="Normal 4 3 2 2 2 3 3 4" xfId="9787" xr:uid="{0DA3A39A-83EE-431B-9717-E31BDFF488CD}"/>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F77018FA-207B-46D0-B010-6D7EAA007A6D}"/>
    <cellStyle name="Normal 4 3 2 2 2 3 4 2 3" xfId="12345" xr:uid="{FA2B2AF2-F6C9-45ED-867D-D1CC5B4FC5BD}"/>
    <cellStyle name="Normal 4 3 2 2 2 3 4 3" xfId="5989" xr:uid="{00000000-0005-0000-0000-00003E140000}"/>
    <cellStyle name="Normal 4 3 2 2 2 3 4 3 2" xfId="14418" xr:uid="{56BD5561-9AF1-4971-8F1C-E046AC035FF1}"/>
    <cellStyle name="Normal 4 3 2 2 2 3 4 4" xfId="10200" xr:uid="{9F17EC14-AB34-41D8-8680-35DDE815963E}"/>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B6D87AA7-6FB3-48C7-B1EC-1484DE80D205}"/>
    <cellStyle name="Normal 4 3 2 2 2 3 5 2 3" xfId="12758" xr:uid="{571B52B9-4966-4920-A662-D80BC033EB7C}"/>
    <cellStyle name="Normal 4 3 2 2 2 3 5 3" xfId="6402" xr:uid="{00000000-0005-0000-0000-000042140000}"/>
    <cellStyle name="Normal 4 3 2 2 2 3 5 3 2" xfId="14831" xr:uid="{85BFCEAC-35F4-4743-8E25-C4162FA03226}"/>
    <cellStyle name="Normal 4 3 2 2 2 3 5 4" xfId="10613" xr:uid="{946542CC-FAEE-4D1A-985A-A8B31DD95F56}"/>
    <cellStyle name="Normal 4 3 2 2 2 3 6" xfId="2530" xr:uid="{00000000-0005-0000-0000-000043140000}"/>
    <cellStyle name="Normal 4 3 2 2 2 3 6 2" xfId="6815" xr:uid="{00000000-0005-0000-0000-000044140000}"/>
    <cellStyle name="Normal 4 3 2 2 2 3 6 2 2" xfId="15244" xr:uid="{B5F570EC-B4D0-4676-A308-9B8D83AECAFD}"/>
    <cellStyle name="Normal 4 3 2 2 2 3 6 3" xfId="11026" xr:uid="{03D7AB7B-AC85-4436-8631-03CCC9201BF0}"/>
    <cellStyle name="Normal 4 3 2 2 2 3 7" xfId="4750" xr:uid="{00000000-0005-0000-0000-000045140000}"/>
    <cellStyle name="Normal 4 3 2 2 2 3 7 2" xfId="13179" xr:uid="{D4899D49-E3FB-49E3-B02C-B2AB0D7D4A7B}"/>
    <cellStyle name="Normal 4 3 2 2 2 3 8" xfId="8961" xr:uid="{A0FE683E-D9B9-496F-9A31-A8B993B2F24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14BFFAE9-3CD6-4583-A505-4767AB637181}"/>
    <cellStyle name="Normal 4 3 2 2 2 4 2 3" xfId="11516" xr:uid="{1A1CF376-B723-4366-9012-569CCA85250B}"/>
    <cellStyle name="Normal 4 3 2 2 2 4 3" xfId="5160" xr:uid="{00000000-0005-0000-0000-000049140000}"/>
    <cellStyle name="Normal 4 3 2 2 2 4 3 2" xfId="13589" xr:uid="{2CB541BE-BCA5-4C6E-B9A3-EBC2ABB63654}"/>
    <cellStyle name="Normal 4 3 2 2 2 4 4" xfId="9371" xr:uid="{C3827EFD-AA52-4E4D-BF00-7B3146ABC622}"/>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1F089F67-BD1B-49E4-91FA-834F1C81108C}"/>
    <cellStyle name="Normal 4 3 2 2 2 5 2 3" xfId="11929" xr:uid="{49A688D7-2741-41D6-99A4-2363D1A9936D}"/>
    <cellStyle name="Normal 4 3 2 2 2 5 3" xfId="5573" xr:uid="{00000000-0005-0000-0000-00004D140000}"/>
    <cellStyle name="Normal 4 3 2 2 2 5 3 2" xfId="14002" xr:uid="{A954EC0B-F965-4CB4-ADF1-B23625AE3F11}"/>
    <cellStyle name="Normal 4 3 2 2 2 5 4" xfId="9784" xr:uid="{C9EE9769-3701-4056-B422-3DC4419A6D47}"/>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1EA5317A-8DCA-4AA9-A738-D1A014F35D20}"/>
    <cellStyle name="Normal 4 3 2 2 2 6 2 3" xfId="12342" xr:uid="{0833681D-0F9F-40D9-B916-C36B5E75DE9D}"/>
    <cellStyle name="Normal 4 3 2 2 2 6 3" xfId="5986" xr:uid="{00000000-0005-0000-0000-000051140000}"/>
    <cellStyle name="Normal 4 3 2 2 2 6 3 2" xfId="14415" xr:uid="{A92006F6-F042-4747-9AA4-D730A369D74A}"/>
    <cellStyle name="Normal 4 3 2 2 2 6 4" xfId="10197" xr:uid="{67078062-868B-4402-B305-04AED7CCA3DF}"/>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85E26299-9E3B-434B-AC42-1BDF6F735024}"/>
    <cellStyle name="Normal 4 3 2 2 2 7 2 3" xfId="12755" xr:uid="{4C92BCE7-BB34-4221-93D9-1FE5E348A5DE}"/>
    <cellStyle name="Normal 4 3 2 2 2 7 3" xfId="6399" xr:uid="{00000000-0005-0000-0000-000055140000}"/>
    <cellStyle name="Normal 4 3 2 2 2 7 3 2" xfId="14828" xr:uid="{C4E9B9F8-3E1F-4E4C-848F-4C8B00BD2B1B}"/>
    <cellStyle name="Normal 4 3 2 2 2 7 4" xfId="10610" xr:uid="{1FDF7919-E56D-4404-94C7-384FAB27FD97}"/>
    <cellStyle name="Normal 4 3 2 2 2 8" xfId="2527" xr:uid="{00000000-0005-0000-0000-000056140000}"/>
    <cellStyle name="Normal 4 3 2 2 2 8 2" xfId="6812" xr:uid="{00000000-0005-0000-0000-000057140000}"/>
    <cellStyle name="Normal 4 3 2 2 2 8 2 2" xfId="15241" xr:uid="{1CDC4A27-A1DB-48F7-8647-C8056CB7B5A9}"/>
    <cellStyle name="Normal 4 3 2 2 2 8 3" xfId="11023" xr:uid="{78399910-1FFB-4FDF-8190-51AC3EF1CBE2}"/>
    <cellStyle name="Normal 4 3 2 2 2 9" xfId="4747" xr:uid="{00000000-0005-0000-0000-000058140000}"/>
    <cellStyle name="Normal 4 3 2 2 2 9 2" xfId="13176" xr:uid="{2594B77B-8BA2-4D94-A7A6-A091C4218151}"/>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16ED1E15-425F-4BDF-BDEE-AEABB84FE2B5}"/>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7F09A8F2-A10E-49BD-B37B-121A738A6F3B}"/>
    <cellStyle name="Normal 4 3 3 2 2 2 2 3" xfId="11522" xr:uid="{6D760833-AD9A-41B9-9674-FE3751E44815}"/>
    <cellStyle name="Normal 4 3 3 2 2 2 3" xfId="5166" xr:uid="{00000000-0005-0000-0000-000062140000}"/>
    <cellStyle name="Normal 4 3 3 2 2 2 3 2" xfId="13595" xr:uid="{3D570069-8B71-4A4A-876B-91B73994E02E}"/>
    <cellStyle name="Normal 4 3 3 2 2 2 4" xfId="9377" xr:uid="{A97CF253-3AC4-4E59-9461-944DF4EA5B4B}"/>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157DB763-B437-4551-B82F-5965F4FCCFA9}"/>
    <cellStyle name="Normal 4 3 3 2 2 3 2 3" xfId="11935" xr:uid="{B0902DF0-F886-4D27-9BF5-5FF16B5EF98E}"/>
    <cellStyle name="Normal 4 3 3 2 2 3 3" xfId="5579" xr:uid="{00000000-0005-0000-0000-000066140000}"/>
    <cellStyle name="Normal 4 3 3 2 2 3 3 2" xfId="14008" xr:uid="{F9D1B81D-B1CC-428E-984A-4B83C15A8A8C}"/>
    <cellStyle name="Normal 4 3 3 2 2 3 4" xfId="9790" xr:uid="{A7CEE9ED-62E9-45BF-B630-E1973DA7A1AE}"/>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26C58B53-3D8F-414D-87B0-6C3EBD76F6D3}"/>
    <cellStyle name="Normal 4 3 3 2 2 4 2 3" xfId="12348" xr:uid="{599AB3D3-8C4E-4DBE-A018-1B3EF48D1288}"/>
    <cellStyle name="Normal 4 3 3 2 2 4 3" xfId="5992" xr:uid="{00000000-0005-0000-0000-00006A140000}"/>
    <cellStyle name="Normal 4 3 3 2 2 4 3 2" xfId="14421" xr:uid="{F5957AE6-4589-4CF5-805E-5609ED16233D}"/>
    <cellStyle name="Normal 4 3 3 2 2 4 4" xfId="10203" xr:uid="{344BA6C4-00EB-4C3A-B0FD-EA9B83851DD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A495A4AA-A377-461B-AD57-756ADFB6D974}"/>
    <cellStyle name="Normal 4 3 3 2 2 5 2 3" xfId="12761" xr:uid="{D600E0CC-55C2-411B-AB29-B818055E1CB5}"/>
    <cellStyle name="Normal 4 3 3 2 2 5 3" xfId="6405" xr:uid="{00000000-0005-0000-0000-00006E140000}"/>
    <cellStyle name="Normal 4 3 3 2 2 5 3 2" xfId="14834" xr:uid="{0B37DF80-AD2F-4B8B-8A7B-0567B51E8143}"/>
    <cellStyle name="Normal 4 3 3 2 2 5 4" xfId="10616" xr:uid="{0AC4E5AD-F5FF-41DD-9447-A4BC4F6AA57A}"/>
    <cellStyle name="Normal 4 3 3 2 2 6" xfId="2533" xr:uid="{00000000-0005-0000-0000-00006F140000}"/>
    <cellStyle name="Normal 4 3 3 2 2 6 2" xfId="6818" xr:uid="{00000000-0005-0000-0000-000070140000}"/>
    <cellStyle name="Normal 4 3 3 2 2 6 2 2" xfId="15247" xr:uid="{9A19B900-6034-4991-8C05-805E0A0A38C6}"/>
    <cellStyle name="Normal 4 3 3 2 2 6 3" xfId="11029" xr:uid="{50A379C7-9F27-4276-84E7-F183A251D5BC}"/>
    <cellStyle name="Normal 4 3 3 2 2 7" xfId="4753" xr:uid="{00000000-0005-0000-0000-000071140000}"/>
    <cellStyle name="Normal 4 3 3 2 2 7 2" xfId="13182" xr:uid="{CF01DAA7-E909-452F-AA28-60AE61459A7C}"/>
    <cellStyle name="Normal 4 3 3 2 2 8" xfId="8964" xr:uid="{ECAF4A85-AF23-4025-AB50-C031724711A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9C7CDC15-71CA-42C7-B7B7-531D13F4CA35}"/>
    <cellStyle name="Normal 4 3 3 2 3 2 3" xfId="11521" xr:uid="{3AC529B4-4F5D-4BEE-A58B-E4BD09341239}"/>
    <cellStyle name="Normal 4 3 3 2 3 3" xfId="5165" xr:uid="{00000000-0005-0000-0000-000075140000}"/>
    <cellStyle name="Normal 4 3 3 2 3 3 2" xfId="13594" xr:uid="{F9EA46F2-465B-4F85-BFF0-E3E2AF4BA236}"/>
    <cellStyle name="Normal 4 3 3 2 3 4" xfId="9376" xr:uid="{345A0E81-C027-4A64-B967-B38B2276CC8B}"/>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7898D52D-269D-41F2-BE9F-B6AFB0EB911A}"/>
    <cellStyle name="Normal 4 3 3 2 4 2 3" xfId="11934" xr:uid="{46CC171C-E8BE-4055-8593-EABB9000D92F}"/>
    <cellStyle name="Normal 4 3 3 2 4 3" xfId="5578" xr:uid="{00000000-0005-0000-0000-000079140000}"/>
    <cellStyle name="Normal 4 3 3 2 4 3 2" xfId="14007" xr:uid="{6E0C8A16-0619-40BF-B13A-0F4BACD57198}"/>
    <cellStyle name="Normal 4 3 3 2 4 4" xfId="9789" xr:uid="{2780B68F-15EC-46E2-BDF5-0350AD348CF1}"/>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104A3302-2623-468E-AEA9-6167107F2EA6}"/>
    <cellStyle name="Normal 4 3 3 2 5 2 3" xfId="12347" xr:uid="{B0166971-C9D7-4666-BAF2-962423375A00}"/>
    <cellStyle name="Normal 4 3 3 2 5 3" xfId="5991" xr:uid="{00000000-0005-0000-0000-00007D140000}"/>
    <cellStyle name="Normal 4 3 3 2 5 3 2" xfId="14420" xr:uid="{E5A1E876-96EB-4CF4-A31D-7C31142C6493}"/>
    <cellStyle name="Normal 4 3 3 2 5 4" xfId="10202" xr:uid="{B36365DE-DC4C-46AC-BFFF-CE8DCE34EC64}"/>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DFBF0460-0000-4F46-BF1D-BFE7B33B84E6}"/>
    <cellStyle name="Normal 4 3 3 2 6 2 3" xfId="12760" xr:uid="{DF4BAEE3-13DC-4C65-8167-A1E36C4D4FFC}"/>
    <cellStyle name="Normal 4 3 3 2 6 3" xfId="6404" xr:uid="{00000000-0005-0000-0000-000081140000}"/>
    <cellStyle name="Normal 4 3 3 2 6 3 2" xfId="14833" xr:uid="{15A6C37E-469C-4EE0-B92E-78B6C26CBD22}"/>
    <cellStyle name="Normal 4 3 3 2 6 4" xfId="10615" xr:uid="{D964B67A-B7B7-48FD-B74D-646CC5D5F69F}"/>
    <cellStyle name="Normal 4 3 3 2 7" xfId="2532" xr:uid="{00000000-0005-0000-0000-000082140000}"/>
    <cellStyle name="Normal 4 3 3 2 7 2" xfId="6817" xr:uid="{00000000-0005-0000-0000-000083140000}"/>
    <cellStyle name="Normal 4 3 3 2 7 2 2" xfId="15246" xr:uid="{8A63A188-4CCB-421C-8526-CFDD32384BF1}"/>
    <cellStyle name="Normal 4 3 3 2 7 3" xfId="11028" xr:uid="{5A7AE2D6-D835-426B-AD4C-7FC8E9DECD1D}"/>
    <cellStyle name="Normal 4 3 3 2 8" xfId="4752" xr:uid="{00000000-0005-0000-0000-000084140000}"/>
    <cellStyle name="Normal 4 3 3 2 8 2" xfId="13181" xr:uid="{EBF2E176-91B2-4C70-B048-331ECBBB3B95}"/>
    <cellStyle name="Normal 4 3 3 2 9" xfId="8963" xr:uid="{A7F94673-A9AF-4AD9-8571-54DC871F0195}"/>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5D8CA333-77C7-4FF8-9B5F-DF5D35BB1E87}"/>
    <cellStyle name="Normal 4 3 3 3 2 2 3" xfId="11523" xr:uid="{21B48E04-5AE3-4D9A-A290-DB07DB74AA7C}"/>
    <cellStyle name="Normal 4 3 3 3 2 3" xfId="5167" xr:uid="{00000000-0005-0000-0000-000089140000}"/>
    <cellStyle name="Normal 4 3 3 3 2 3 2" xfId="13596" xr:uid="{74BD6B81-13F5-46EE-BF0D-5329827BC650}"/>
    <cellStyle name="Normal 4 3 3 3 2 4" xfId="9378" xr:uid="{CBBEF0F7-FF04-4E9F-A278-845103080E04}"/>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15CA9339-7245-4E4E-942C-49C171D8AB0C}"/>
    <cellStyle name="Normal 4 3 3 3 3 2 3" xfId="11936" xr:uid="{F972E46E-29D0-4F49-873A-D1DCF0CBCCDE}"/>
    <cellStyle name="Normal 4 3 3 3 3 3" xfId="5580" xr:uid="{00000000-0005-0000-0000-00008D140000}"/>
    <cellStyle name="Normal 4 3 3 3 3 3 2" xfId="14009" xr:uid="{94F2A84D-DA0B-4074-A3A7-273C335AB842}"/>
    <cellStyle name="Normal 4 3 3 3 3 4" xfId="9791" xr:uid="{C6BF3128-4A59-4D9F-8B4F-61A7E2A7D6B7}"/>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9CB22358-1A77-4818-AD92-01A5FF42FBB2}"/>
    <cellStyle name="Normal 4 3 3 3 4 2 3" xfId="12349" xr:uid="{BFE0F24A-7552-4D3B-B51B-B3E840CEAB8A}"/>
    <cellStyle name="Normal 4 3 3 3 4 3" xfId="5993" xr:uid="{00000000-0005-0000-0000-000091140000}"/>
    <cellStyle name="Normal 4 3 3 3 4 3 2" xfId="14422" xr:uid="{EFFF1E03-4CF4-4FA3-B4D3-8223A410B33D}"/>
    <cellStyle name="Normal 4 3 3 3 4 4" xfId="10204" xr:uid="{5CC0F55A-124B-422C-B550-FAAB391021FD}"/>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70A5E1DD-B643-4A53-ABD0-746F9420D192}"/>
    <cellStyle name="Normal 4 3 3 3 5 2 3" xfId="12762" xr:uid="{1CE8F0B5-0FF1-4001-B53C-1E4AF677490A}"/>
    <cellStyle name="Normal 4 3 3 3 5 3" xfId="6406" xr:uid="{00000000-0005-0000-0000-000095140000}"/>
    <cellStyle name="Normal 4 3 3 3 5 3 2" xfId="14835" xr:uid="{558999CC-14EB-4C1B-B51B-08EB0D0042D8}"/>
    <cellStyle name="Normal 4 3 3 3 5 4" xfId="10617" xr:uid="{7AEAFC0D-C94B-480D-AB32-37DA26A1B5A0}"/>
    <cellStyle name="Normal 4 3 3 3 6" xfId="2534" xr:uid="{00000000-0005-0000-0000-000096140000}"/>
    <cellStyle name="Normal 4 3 3 3 6 2" xfId="6819" xr:uid="{00000000-0005-0000-0000-000097140000}"/>
    <cellStyle name="Normal 4 3 3 3 6 2 2" xfId="15248" xr:uid="{0F23FAB6-2EDB-4492-B97D-43DB81092395}"/>
    <cellStyle name="Normal 4 3 3 3 6 3" xfId="11030" xr:uid="{0906FD6E-95EE-4273-83E5-A75EE13BA46E}"/>
    <cellStyle name="Normal 4 3 3 3 7" xfId="4754" xr:uid="{00000000-0005-0000-0000-000098140000}"/>
    <cellStyle name="Normal 4 3 3 3 7 2" xfId="13183" xr:uid="{FDB7D7AF-DB14-48F5-9BF3-8B76AAAEE361}"/>
    <cellStyle name="Normal 4 3 3 3 8" xfId="8965" xr:uid="{3B4F5F0A-0883-45D4-B6C2-46D931B9859C}"/>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D1AB1F4D-9321-484A-826E-45BF3FC03203}"/>
    <cellStyle name="Normal 4 3 3 4 2 3" xfId="11520" xr:uid="{8B7B0E14-9142-4D50-8B67-AD93141F277E}"/>
    <cellStyle name="Normal 4 3 3 4 3" xfId="5164" xr:uid="{00000000-0005-0000-0000-00009C140000}"/>
    <cellStyle name="Normal 4 3 3 4 3 2" xfId="13593" xr:uid="{660CB8AB-FBBE-47B8-846E-EC1A7AEE6281}"/>
    <cellStyle name="Normal 4 3 3 4 4" xfId="9375" xr:uid="{BC13F344-0835-4B89-8A73-82DBC8F09E88}"/>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6B4E34A2-2A3C-4038-B0C2-257380414078}"/>
    <cellStyle name="Normal 4 3 3 5 2 3" xfId="11933" xr:uid="{10C069E8-5F8F-4872-8C3C-5C51861D829C}"/>
    <cellStyle name="Normal 4 3 3 5 3" xfId="5577" xr:uid="{00000000-0005-0000-0000-0000A0140000}"/>
    <cellStyle name="Normal 4 3 3 5 3 2" xfId="14006" xr:uid="{E1E7BE79-4920-40B2-9C84-A7D10943531B}"/>
    <cellStyle name="Normal 4 3 3 5 4" xfId="9788" xr:uid="{F67B98C1-B411-482E-8660-96736C72E202}"/>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E6A11315-EAA7-44F0-BA04-F40F9748EC25}"/>
    <cellStyle name="Normal 4 3 3 6 2 3" xfId="12346" xr:uid="{2DFCB0F9-44C1-4117-8633-2462CB74693B}"/>
    <cellStyle name="Normal 4 3 3 6 3" xfId="5990" xr:uid="{00000000-0005-0000-0000-0000A4140000}"/>
    <cellStyle name="Normal 4 3 3 6 3 2" xfId="14419" xr:uid="{F2730AAE-28DA-4EF5-8178-A1D05D7D9A29}"/>
    <cellStyle name="Normal 4 3 3 6 4" xfId="10201" xr:uid="{C02F6F28-A452-4A93-BD0A-55E5528DBCE7}"/>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6DB9C23F-4027-45C9-8B24-9A3224FD2436}"/>
    <cellStyle name="Normal 4 3 3 7 2 3" xfId="12759" xr:uid="{9B2A69CB-4A58-4049-9585-7F94CD0D2EEF}"/>
    <cellStyle name="Normal 4 3 3 7 3" xfId="6403" xr:uid="{00000000-0005-0000-0000-0000A8140000}"/>
    <cellStyle name="Normal 4 3 3 7 3 2" xfId="14832" xr:uid="{8D1B5B0E-CD15-4941-AA75-0598C297BA4E}"/>
    <cellStyle name="Normal 4 3 3 7 4" xfId="10614" xr:uid="{37B0508A-5475-4BB2-9E60-87EC4799219B}"/>
    <cellStyle name="Normal 4 3 3 8" xfId="2531" xr:uid="{00000000-0005-0000-0000-0000A9140000}"/>
    <cellStyle name="Normal 4 3 3 8 2" xfId="6816" xr:uid="{00000000-0005-0000-0000-0000AA140000}"/>
    <cellStyle name="Normal 4 3 3 8 2 2" xfId="15245" xr:uid="{E9BB442A-8444-4B6F-9CF6-F0FBD9FA4E23}"/>
    <cellStyle name="Normal 4 3 3 8 3" xfId="11027" xr:uid="{5BFCD9DE-9464-454C-91AF-8B657C77EB3B}"/>
    <cellStyle name="Normal 4 3 3 9" xfId="4751" xr:uid="{00000000-0005-0000-0000-0000AB140000}"/>
    <cellStyle name="Normal 4 3 3 9 2" xfId="13180" xr:uid="{6EE76FDA-4B4E-497D-AC2B-A9B9E02915B7}"/>
    <cellStyle name="Normal 4 3 4" xfId="843" xr:uid="{00000000-0005-0000-0000-0000AC140000}"/>
    <cellStyle name="Normal 4 3 4 2" xfId="3080" xr:uid="{00000000-0005-0000-0000-0000AD140000}"/>
    <cellStyle name="Normal 4 3 4 2 2" xfId="7304" xr:uid="{00000000-0005-0000-0000-0000AE140000}"/>
    <cellStyle name="Normal 4 3 4 2 2 2" xfId="15733" xr:uid="{24FB706D-A3BE-40A3-85F0-315452633506}"/>
    <cellStyle name="Normal 4 3 4 2 3" xfId="11515" xr:uid="{5A201E21-4B7C-4CF5-98DF-36C33F17B665}"/>
    <cellStyle name="Normal 4 3 4 3" xfId="5159" xr:uid="{00000000-0005-0000-0000-0000AF140000}"/>
    <cellStyle name="Normal 4 3 4 3 2" xfId="13588" xr:uid="{32048F31-25C6-46F8-ADF1-798451D2A061}"/>
    <cellStyle name="Normal 4 3 4 4" xfId="9370" xr:uid="{3285E03E-2C33-43C7-9424-28428EF715A1}"/>
    <cellStyle name="Normal 4 3 5" xfId="1263" xr:uid="{00000000-0005-0000-0000-0000B0140000}"/>
    <cellStyle name="Normal 4 3 5 2" xfId="3493" xr:uid="{00000000-0005-0000-0000-0000B1140000}"/>
    <cellStyle name="Normal 4 3 5 2 2" xfId="7717" xr:uid="{00000000-0005-0000-0000-0000B2140000}"/>
    <cellStyle name="Normal 4 3 5 2 2 2" xfId="16146" xr:uid="{669BF390-2065-445A-BE08-115D82594FB7}"/>
    <cellStyle name="Normal 4 3 5 2 3" xfId="11928" xr:uid="{3E859019-5C93-4DB0-BF63-FFCD121F8809}"/>
    <cellStyle name="Normal 4 3 5 3" xfId="5572" xr:uid="{00000000-0005-0000-0000-0000B3140000}"/>
    <cellStyle name="Normal 4 3 5 3 2" xfId="14001" xr:uid="{9487200C-D04A-4429-9F7E-C7C457330FF7}"/>
    <cellStyle name="Normal 4 3 5 4" xfId="9783" xr:uid="{1D1DC7BC-CA90-423A-B663-F8390BCA18B5}"/>
    <cellStyle name="Normal 4 3 6" xfId="1676" xr:uid="{00000000-0005-0000-0000-0000B4140000}"/>
    <cellStyle name="Normal 4 3 6 2" xfId="3906" xr:uid="{00000000-0005-0000-0000-0000B5140000}"/>
    <cellStyle name="Normal 4 3 6 2 2" xfId="8130" xr:uid="{00000000-0005-0000-0000-0000B6140000}"/>
    <cellStyle name="Normal 4 3 6 2 2 2" xfId="16559" xr:uid="{47CE894F-ACA1-4F64-A905-888171FA4424}"/>
    <cellStyle name="Normal 4 3 6 2 3" xfId="12341" xr:uid="{581260D1-D6AD-4C67-9171-70F945C3A9D8}"/>
    <cellStyle name="Normal 4 3 6 3" xfId="5985" xr:uid="{00000000-0005-0000-0000-0000B7140000}"/>
    <cellStyle name="Normal 4 3 6 3 2" xfId="14414" xr:uid="{A7BC0A59-0181-42B0-AC6A-54CCA7DA3168}"/>
    <cellStyle name="Normal 4 3 6 4" xfId="10196" xr:uid="{B83FB77F-D6EE-44F2-9F2F-F8AD8E7FE1D2}"/>
    <cellStyle name="Normal 4 3 7" xfId="2090" xr:uid="{00000000-0005-0000-0000-0000B8140000}"/>
    <cellStyle name="Normal 4 3 7 2" xfId="4319" xr:uid="{00000000-0005-0000-0000-0000B9140000}"/>
    <cellStyle name="Normal 4 3 7 2 2" xfId="8543" xr:uid="{00000000-0005-0000-0000-0000BA140000}"/>
    <cellStyle name="Normal 4 3 7 2 2 2" xfId="16972" xr:uid="{04D7296C-65CB-465B-8433-A06E822356C8}"/>
    <cellStyle name="Normal 4 3 7 2 3" xfId="12754" xr:uid="{5FF85064-A983-4BD4-AD7B-1F4D92F6E842}"/>
    <cellStyle name="Normal 4 3 7 3" xfId="6398" xr:uid="{00000000-0005-0000-0000-0000BB140000}"/>
    <cellStyle name="Normal 4 3 7 3 2" xfId="14827" xr:uid="{CA610F44-1E54-4E3F-8213-BEAE1E1202D4}"/>
    <cellStyle name="Normal 4 3 7 4" xfId="10609" xr:uid="{19258CCB-8D11-410E-A74A-3A07DB537C06}"/>
    <cellStyle name="Normal 4 3 8" xfId="2526" xr:uid="{00000000-0005-0000-0000-0000BC140000}"/>
    <cellStyle name="Normal 4 3 8 2" xfId="6811" xr:uid="{00000000-0005-0000-0000-0000BD140000}"/>
    <cellStyle name="Normal 4 3 8 2 2" xfId="15240" xr:uid="{505B7C5E-2D02-4B95-B1B4-C8FDE9CF86CD}"/>
    <cellStyle name="Normal 4 3 8 3" xfId="11022" xr:uid="{28E63EA9-9A42-4DAD-97DB-9CAC2B25FE63}"/>
    <cellStyle name="Normal 4 3 9" xfId="4746" xr:uid="{00000000-0005-0000-0000-0000BE140000}"/>
    <cellStyle name="Normal 4 3 9 2" xfId="13175" xr:uid="{58F45419-910A-4348-A1ED-51346C411E8F}"/>
    <cellStyle name="Normal 4 4" xfId="378" xr:uid="{00000000-0005-0000-0000-0000BF140000}"/>
    <cellStyle name="Normal 4 4 10" xfId="2535" xr:uid="{00000000-0005-0000-0000-0000C0140000}"/>
    <cellStyle name="Normal 4 4 10 2" xfId="6820" xr:uid="{00000000-0005-0000-0000-0000C1140000}"/>
    <cellStyle name="Normal 4 4 10 2 2" xfId="15249" xr:uid="{56F755AD-B8C2-4CDC-B387-1FD249D5118A}"/>
    <cellStyle name="Normal 4 4 10 3" xfId="11031" xr:uid="{D5904EF9-35CA-43A6-AEED-DEE33EAC2272}"/>
    <cellStyle name="Normal 4 4 11" xfId="4755" xr:uid="{00000000-0005-0000-0000-0000C2140000}"/>
    <cellStyle name="Normal 4 4 11 2" xfId="13184" xr:uid="{CC31B538-2CF6-48A3-B5B8-B04F2AD7FB5A}"/>
    <cellStyle name="Normal 4 4 12" xfId="8966" xr:uid="{B8F40EA9-87ED-4262-9516-75A86571A46F}"/>
    <cellStyle name="Normal 4 4 2" xfId="379" xr:uid="{00000000-0005-0000-0000-0000C3140000}"/>
    <cellStyle name="Normal 4 4 2 10" xfId="4756" xr:uid="{00000000-0005-0000-0000-0000C4140000}"/>
    <cellStyle name="Normal 4 4 2 10 2" xfId="13185" xr:uid="{B2FD36A6-384F-4A80-82B1-60272A4A20DE}"/>
    <cellStyle name="Normal 4 4 2 11" xfId="8967" xr:uid="{928305CF-8A3E-45E1-85A0-8F950660553C}"/>
    <cellStyle name="Normal 4 4 2 2" xfId="380" xr:uid="{00000000-0005-0000-0000-0000C5140000}"/>
    <cellStyle name="Normal 4 4 2 2 10" xfId="8968" xr:uid="{76E80BA5-A772-48E6-B044-ABACC06CA14D}"/>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88359C52-F4DE-478A-8E27-D5CF7A6694A5}"/>
    <cellStyle name="Normal 4 4 2 2 2 2 2 2 3" xfId="11528" xr:uid="{24FA99A4-E205-4A99-9337-AB89A45C4B8C}"/>
    <cellStyle name="Normal 4 4 2 2 2 2 2 3" xfId="5172" xr:uid="{00000000-0005-0000-0000-0000CB140000}"/>
    <cellStyle name="Normal 4 4 2 2 2 2 2 3 2" xfId="13601" xr:uid="{6F7A1385-2797-4CD3-BBBD-45A6B7B001FE}"/>
    <cellStyle name="Normal 4 4 2 2 2 2 2 4" xfId="9383" xr:uid="{BDBAD95C-001B-4347-97CC-85E8DDF079D4}"/>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8B0932F4-7CD3-4895-8A84-42ACAB4464B5}"/>
    <cellStyle name="Normal 4 4 2 2 2 2 3 2 3" xfId="11941" xr:uid="{5AC72357-9089-4A02-BD81-9F0AB2E9B134}"/>
    <cellStyle name="Normal 4 4 2 2 2 2 3 3" xfId="5585" xr:uid="{00000000-0005-0000-0000-0000CF140000}"/>
    <cellStyle name="Normal 4 4 2 2 2 2 3 3 2" xfId="14014" xr:uid="{A3BFF9E8-86CB-4B22-AD5C-B6D2D8E6FBCC}"/>
    <cellStyle name="Normal 4 4 2 2 2 2 3 4" xfId="9796" xr:uid="{C98F1788-7515-4E61-9C94-4CF9FFE8E49B}"/>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AFBAFF79-B212-4486-A563-5A94FE42E8F9}"/>
    <cellStyle name="Normal 4 4 2 2 2 2 4 2 3" xfId="12354" xr:uid="{0142EDC7-501E-4AAB-B70D-C8936B8F0324}"/>
    <cellStyle name="Normal 4 4 2 2 2 2 4 3" xfId="5998" xr:uid="{00000000-0005-0000-0000-0000D3140000}"/>
    <cellStyle name="Normal 4 4 2 2 2 2 4 3 2" xfId="14427" xr:uid="{6AE87941-F99D-4282-A286-EC8F66FE46B6}"/>
    <cellStyle name="Normal 4 4 2 2 2 2 4 4" xfId="10209" xr:uid="{AF47CC55-8814-4BD2-90A2-A0B29998CBBB}"/>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445399C7-5D33-46AC-B092-5E3A3FE439D7}"/>
    <cellStyle name="Normal 4 4 2 2 2 2 5 2 3" xfId="12767" xr:uid="{2D4E32DE-02C7-412D-82BA-676B48CD48BC}"/>
    <cellStyle name="Normal 4 4 2 2 2 2 5 3" xfId="6411" xr:uid="{00000000-0005-0000-0000-0000D7140000}"/>
    <cellStyle name="Normal 4 4 2 2 2 2 5 3 2" xfId="14840" xr:uid="{8C291034-19F7-4A3B-9F22-B9C2D7F8DF97}"/>
    <cellStyle name="Normal 4 4 2 2 2 2 5 4" xfId="10622" xr:uid="{D03728F2-628D-4BE9-B03B-DCC8591D129D}"/>
    <cellStyle name="Normal 4 4 2 2 2 2 6" xfId="2539" xr:uid="{00000000-0005-0000-0000-0000D8140000}"/>
    <cellStyle name="Normal 4 4 2 2 2 2 6 2" xfId="6824" xr:uid="{00000000-0005-0000-0000-0000D9140000}"/>
    <cellStyle name="Normal 4 4 2 2 2 2 6 2 2" xfId="15253" xr:uid="{F1BB3B78-BF40-4042-BEA7-979826B20894}"/>
    <cellStyle name="Normal 4 4 2 2 2 2 6 3" xfId="11035" xr:uid="{8AD5647E-6BB2-40C6-BFC2-09760D90760B}"/>
    <cellStyle name="Normal 4 4 2 2 2 2 7" xfId="4759" xr:uid="{00000000-0005-0000-0000-0000DA140000}"/>
    <cellStyle name="Normal 4 4 2 2 2 2 7 2" xfId="13188" xr:uid="{F86D94AB-F3A0-4A3F-AF0D-5A770B10A021}"/>
    <cellStyle name="Normal 4 4 2 2 2 2 8" xfId="8970" xr:uid="{7FC62EE1-4FD6-45E7-B73F-8F4B451CE4B2}"/>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7B56F7A2-6D83-4F48-B974-4E2F3C096389}"/>
    <cellStyle name="Normal 4 4 2 2 2 3 2 3" xfId="11527" xr:uid="{67FF1E8B-FC65-4319-A1F6-B5E2250ECE1E}"/>
    <cellStyle name="Normal 4 4 2 2 2 3 3" xfId="5171" xr:uid="{00000000-0005-0000-0000-0000DE140000}"/>
    <cellStyle name="Normal 4 4 2 2 2 3 3 2" xfId="13600" xr:uid="{22CA0B47-452D-40E9-8F3C-01C90911255B}"/>
    <cellStyle name="Normal 4 4 2 2 2 3 4" xfId="9382" xr:uid="{5303DE97-A45D-4654-88BC-878EEE9E4588}"/>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CE569A09-7889-4E65-BE24-BDABC4E55700}"/>
    <cellStyle name="Normal 4 4 2 2 2 4 2 3" xfId="11940" xr:uid="{3B99E21E-2A28-42EA-953B-2BB1C006060D}"/>
    <cellStyle name="Normal 4 4 2 2 2 4 3" xfId="5584" xr:uid="{00000000-0005-0000-0000-0000E2140000}"/>
    <cellStyle name="Normal 4 4 2 2 2 4 3 2" xfId="14013" xr:uid="{26617751-3689-4988-917C-208330E31C09}"/>
    <cellStyle name="Normal 4 4 2 2 2 4 4" xfId="9795" xr:uid="{12CE3F93-F20B-4C21-918E-AAA88D10BF62}"/>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0F2CDE70-906B-4504-90F7-E726039404A4}"/>
    <cellStyle name="Normal 4 4 2 2 2 5 2 3" xfId="12353" xr:uid="{58B8F1C4-39CB-4132-BA2D-87FC0E22B22F}"/>
    <cellStyle name="Normal 4 4 2 2 2 5 3" xfId="5997" xr:uid="{00000000-0005-0000-0000-0000E6140000}"/>
    <cellStyle name="Normal 4 4 2 2 2 5 3 2" xfId="14426" xr:uid="{32D722EE-1803-48A1-8953-AE68EB22292D}"/>
    <cellStyle name="Normal 4 4 2 2 2 5 4" xfId="10208" xr:uid="{33AF3501-E198-40D3-BEEE-55F510872FAD}"/>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383C8DE4-1481-4677-A635-6A39B31DA41A}"/>
    <cellStyle name="Normal 4 4 2 2 2 6 2 3" xfId="12766" xr:uid="{A1701051-6666-4FC8-AB28-72FD4194C393}"/>
    <cellStyle name="Normal 4 4 2 2 2 6 3" xfId="6410" xr:uid="{00000000-0005-0000-0000-0000EA140000}"/>
    <cellStyle name="Normal 4 4 2 2 2 6 3 2" xfId="14839" xr:uid="{9B9D5786-EADA-4AB4-BC82-06C7058D5D23}"/>
    <cellStyle name="Normal 4 4 2 2 2 6 4" xfId="10621" xr:uid="{27A2A5C5-C76A-44B2-AE85-CF1129E33F5D}"/>
    <cellStyle name="Normal 4 4 2 2 2 7" xfId="2538" xr:uid="{00000000-0005-0000-0000-0000EB140000}"/>
    <cellStyle name="Normal 4 4 2 2 2 7 2" xfId="6823" xr:uid="{00000000-0005-0000-0000-0000EC140000}"/>
    <cellStyle name="Normal 4 4 2 2 2 7 2 2" xfId="15252" xr:uid="{F1F378CA-FB6C-4F62-9E25-9901D557FDB9}"/>
    <cellStyle name="Normal 4 4 2 2 2 7 3" xfId="11034" xr:uid="{F1B1E034-ADD9-435B-B497-72B8F11612E7}"/>
    <cellStyle name="Normal 4 4 2 2 2 8" xfId="4758" xr:uid="{00000000-0005-0000-0000-0000ED140000}"/>
    <cellStyle name="Normal 4 4 2 2 2 8 2" xfId="13187" xr:uid="{0A9653A2-E15A-4B15-90ED-7A1DC14542D6}"/>
    <cellStyle name="Normal 4 4 2 2 2 9" xfId="8969" xr:uid="{0D96A8E1-95F0-4B2B-BD43-1116A0AB5703}"/>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FB18493D-C6F1-4BC9-B71F-77AF8CFE386F}"/>
    <cellStyle name="Normal 4 4 2 2 3 2 2 3" xfId="11529" xr:uid="{FACBB345-2881-42CD-8723-D92706DBF478}"/>
    <cellStyle name="Normal 4 4 2 2 3 2 3" xfId="5173" xr:uid="{00000000-0005-0000-0000-0000F2140000}"/>
    <cellStyle name="Normal 4 4 2 2 3 2 3 2" xfId="13602" xr:uid="{BA3FF90A-4714-407B-80C4-DBF2018D7901}"/>
    <cellStyle name="Normal 4 4 2 2 3 2 4" xfId="9384" xr:uid="{E525FB81-A63C-44E3-A407-84F1DF62B95E}"/>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AC2BC911-8758-4FC1-9143-891DF30AA0C4}"/>
    <cellStyle name="Normal 4 4 2 2 3 3 2 3" xfId="11942" xr:uid="{3F2AC7E9-0AF7-4CB4-8C10-3FCB4C88C703}"/>
    <cellStyle name="Normal 4 4 2 2 3 3 3" xfId="5586" xr:uid="{00000000-0005-0000-0000-0000F6140000}"/>
    <cellStyle name="Normal 4 4 2 2 3 3 3 2" xfId="14015" xr:uid="{E06F06BB-5FA3-4E48-8FD4-BF6A52E9D76C}"/>
    <cellStyle name="Normal 4 4 2 2 3 3 4" xfId="9797" xr:uid="{0AB1017C-53C9-4735-9EBA-0590E0C7F238}"/>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E58456EA-262D-40CA-9C16-40C4CDBFA01C}"/>
    <cellStyle name="Normal 4 4 2 2 3 4 2 3" xfId="12355" xr:uid="{A3972804-F012-436E-A55E-B3BBD399B37B}"/>
    <cellStyle name="Normal 4 4 2 2 3 4 3" xfId="5999" xr:uid="{00000000-0005-0000-0000-0000FA140000}"/>
    <cellStyle name="Normal 4 4 2 2 3 4 3 2" xfId="14428" xr:uid="{57E1D0FD-B8CD-4BCE-8A14-6B425AE2B216}"/>
    <cellStyle name="Normal 4 4 2 2 3 4 4" xfId="10210" xr:uid="{FF9AB54E-D7BF-4B47-96DA-2CB829D472BD}"/>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F3CC2938-6A23-435C-A96D-11DC980028EC}"/>
    <cellStyle name="Normal 4 4 2 2 3 5 2 3" xfId="12768" xr:uid="{1162AF63-568D-4246-A65E-B6D06E203FBD}"/>
    <cellStyle name="Normal 4 4 2 2 3 5 3" xfId="6412" xr:uid="{00000000-0005-0000-0000-0000FE140000}"/>
    <cellStyle name="Normal 4 4 2 2 3 5 3 2" xfId="14841" xr:uid="{BEF1B3CF-A00E-4CDE-B729-6A51270D4237}"/>
    <cellStyle name="Normal 4 4 2 2 3 5 4" xfId="10623" xr:uid="{8F563937-8042-4C00-A458-475C48918593}"/>
    <cellStyle name="Normal 4 4 2 2 3 6" xfId="2540" xr:uid="{00000000-0005-0000-0000-0000FF140000}"/>
    <cellStyle name="Normal 4 4 2 2 3 6 2" xfId="6825" xr:uid="{00000000-0005-0000-0000-000000150000}"/>
    <cellStyle name="Normal 4 4 2 2 3 6 2 2" xfId="15254" xr:uid="{5FBC325E-FF07-4ADB-8342-5C9E890A34C0}"/>
    <cellStyle name="Normal 4 4 2 2 3 6 3" xfId="11036" xr:uid="{C434E0D8-2151-444A-89C0-561DCC720770}"/>
    <cellStyle name="Normal 4 4 2 2 3 7" xfId="4760" xr:uid="{00000000-0005-0000-0000-000001150000}"/>
    <cellStyle name="Normal 4 4 2 2 3 7 2" xfId="13189" xr:uid="{5C4E4C6C-1E3F-4E4E-B037-EE222EC6B047}"/>
    <cellStyle name="Normal 4 4 2 2 3 8" xfId="8971" xr:uid="{078A5EC2-CF54-42F7-9FCD-4F9781C4632A}"/>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28FE0868-57C1-419C-BCF7-FC2636D455D9}"/>
    <cellStyle name="Normal 4 4 2 2 4 2 3" xfId="11526" xr:uid="{32084C95-5584-4B9D-AB39-0A0DF9EB765F}"/>
    <cellStyle name="Normal 4 4 2 2 4 3" xfId="5170" xr:uid="{00000000-0005-0000-0000-000005150000}"/>
    <cellStyle name="Normal 4 4 2 2 4 3 2" xfId="13599" xr:uid="{9F73168D-7E3B-4F8A-8D06-81B9BDD7C234}"/>
    <cellStyle name="Normal 4 4 2 2 4 4" xfId="9381" xr:uid="{B09B126E-8938-4B52-B0C8-3F998D886FAF}"/>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2A32EC93-CBBB-4E2C-B22D-362EFF4C8BDA}"/>
    <cellStyle name="Normal 4 4 2 2 5 2 3" xfId="11939" xr:uid="{5B45D999-C93E-4F33-A7F4-C22570A2B437}"/>
    <cellStyle name="Normal 4 4 2 2 5 3" xfId="5583" xr:uid="{00000000-0005-0000-0000-000009150000}"/>
    <cellStyle name="Normal 4 4 2 2 5 3 2" xfId="14012" xr:uid="{C3178480-4511-46EA-AF42-625D52629C16}"/>
    <cellStyle name="Normal 4 4 2 2 5 4" xfId="9794" xr:uid="{52B1ED47-0C78-4923-8EE0-C2E42ABD369C}"/>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B92205D3-9DD2-4726-A4C7-7B61FFB91948}"/>
    <cellStyle name="Normal 4 4 2 2 6 2 3" xfId="12352" xr:uid="{D3DEB8A9-DD4C-481E-894D-546F55FE6576}"/>
    <cellStyle name="Normal 4 4 2 2 6 3" xfId="5996" xr:uid="{00000000-0005-0000-0000-00000D150000}"/>
    <cellStyle name="Normal 4 4 2 2 6 3 2" xfId="14425" xr:uid="{273BEACA-DC0C-4D4E-AF73-14E3726B5C2F}"/>
    <cellStyle name="Normal 4 4 2 2 6 4" xfId="10207" xr:uid="{B189EBC5-9AE6-4068-887B-EF78CDE9895A}"/>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1B8F0E3A-4530-425C-84DF-FF7ABAC490CF}"/>
    <cellStyle name="Normal 4 4 2 2 7 2 3" xfId="12765" xr:uid="{1C7EC8D3-F4DE-4648-A857-86E922C6DC5A}"/>
    <cellStyle name="Normal 4 4 2 2 7 3" xfId="6409" xr:uid="{00000000-0005-0000-0000-000011150000}"/>
    <cellStyle name="Normal 4 4 2 2 7 3 2" xfId="14838" xr:uid="{59EBF148-538F-4877-A9B1-493B5A5F9D28}"/>
    <cellStyle name="Normal 4 4 2 2 7 4" xfId="10620" xr:uid="{4C9595B7-CF94-4D83-8E5C-C20486274FF7}"/>
    <cellStyle name="Normal 4 4 2 2 8" xfId="2537" xr:uid="{00000000-0005-0000-0000-000012150000}"/>
    <cellStyle name="Normal 4 4 2 2 8 2" xfId="6822" xr:uid="{00000000-0005-0000-0000-000013150000}"/>
    <cellStyle name="Normal 4 4 2 2 8 2 2" xfId="15251" xr:uid="{880537A4-FB6C-48BE-ABD1-65EB702B4E49}"/>
    <cellStyle name="Normal 4 4 2 2 8 3" xfId="11033" xr:uid="{2566B663-99AD-4465-A999-DC5659D27F79}"/>
    <cellStyle name="Normal 4 4 2 2 9" xfId="4757" xr:uid="{00000000-0005-0000-0000-000014150000}"/>
    <cellStyle name="Normal 4 4 2 2 9 2" xfId="13186" xr:uid="{4BB6D6F2-D1FD-497A-AE67-28BF30C58C2C}"/>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47A58568-CBC6-44AF-8AB5-2E62772CC8E1}"/>
    <cellStyle name="Normal 4 4 2 3 2 2 2 3" xfId="11531" xr:uid="{C22F310F-AFEC-4B82-ABA6-A75F2C5BF7AD}"/>
    <cellStyle name="Normal 4 4 2 3 2 2 3" xfId="5175" xr:uid="{00000000-0005-0000-0000-00001A150000}"/>
    <cellStyle name="Normal 4 4 2 3 2 2 3 2" xfId="13604" xr:uid="{1C17AB85-F6E6-4B1F-A17F-914E2CE86837}"/>
    <cellStyle name="Normal 4 4 2 3 2 2 4" xfId="9386" xr:uid="{127A1AB8-7230-4BFC-97F0-4DBDA4FB0B81}"/>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628C895F-B32F-46FB-884F-E47CB9943740}"/>
    <cellStyle name="Normal 4 4 2 3 2 3 2 3" xfId="11944" xr:uid="{E9013000-5C78-4C2D-ADBD-D8BA35A3A93E}"/>
    <cellStyle name="Normal 4 4 2 3 2 3 3" xfId="5588" xr:uid="{00000000-0005-0000-0000-00001E150000}"/>
    <cellStyle name="Normal 4 4 2 3 2 3 3 2" xfId="14017" xr:uid="{28362FB8-FAC3-4302-9119-2D93BD1A4678}"/>
    <cellStyle name="Normal 4 4 2 3 2 3 4" xfId="9799" xr:uid="{742E8F1F-FE3F-4DBE-BFCB-ED7B698594C4}"/>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3829AB44-B5DD-4E57-907A-4497891F5678}"/>
    <cellStyle name="Normal 4 4 2 3 2 4 2 3" xfId="12357" xr:uid="{40664FCB-E30C-429D-B633-BDFD26F8910D}"/>
    <cellStyle name="Normal 4 4 2 3 2 4 3" xfId="6001" xr:uid="{00000000-0005-0000-0000-000022150000}"/>
    <cellStyle name="Normal 4 4 2 3 2 4 3 2" xfId="14430" xr:uid="{D4A15231-937F-4C5D-9BD0-E81BCF9E1062}"/>
    <cellStyle name="Normal 4 4 2 3 2 4 4" xfId="10212" xr:uid="{2BB4A4B1-4A0C-4437-8C8B-187B15D44323}"/>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1A751338-60F0-420E-81D4-D5111DA03B4A}"/>
    <cellStyle name="Normal 4 4 2 3 2 5 2 3" xfId="12770" xr:uid="{FE23CF0E-1E95-4288-BCC1-4D9BC1B67921}"/>
    <cellStyle name="Normal 4 4 2 3 2 5 3" xfId="6414" xr:uid="{00000000-0005-0000-0000-000026150000}"/>
    <cellStyle name="Normal 4 4 2 3 2 5 3 2" xfId="14843" xr:uid="{30CED650-758E-48D1-948C-F8DAE796496B}"/>
    <cellStyle name="Normal 4 4 2 3 2 5 4" xfId="10625" xr:uid="{A4F72665-1D8D-44EF-B42B-5468F12EA610}"/>
    <cellStyle name="Normal 4 4 2 3 2 6" xfId="2542" xr:uid="{00000000-0005-0000-0000-000027150000}"/>
    <cellStyle name="Normal 4 4 2 3 2 6 2" xfId="6827" xr:uid="{00000000-0005-0000-0000-000028150000}"/>
    <cellStyle name="Normal 4 4 2 3 2 6 2 2" xfId="15256" xr:uid="{B65820EB-D27D-4E6B-9673-F11B6BDFD712}"/>
    <cellStyle name="Normal 4 4 2 3 2 6 3" xfId="11038" xr:uid="{3B38871D-3204-48A8-84E9-07D8D3AD507D}"/>
    <cellStyle name="Normal 4 4 2 3 2 7" xfId="4762" xr:uid="{00000000-0005-0000-0000-000029150000}"/>
    <cellStyle name="Normal 4 4 2 3 2 7 2" xfId="13191" xr:uid="{C1621B08-2196-43D1-9B9B-4414508E60D7}"/>
    <cellStyle name="Normal 4 4 2 3 2 8" xfId="8973" xr:uid="{D45F1559-539D-4A3F-99D4-00CBD7A63A7C}"/>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EFB678B7-A87B-4247-8A49-8937147E57D2}"/>
    <cellStyle name="Normal 4 4 2 3 3 2 3" xfId="11530" xr:uid="{7A353DB1-2A46-48CF-8CB6-9D61AF5D9426}"/>
    <cellStyle name="Normal 4 4 2 3 3 3" xfId="5174" xr:uid="{00000000-0005-0000-0000-00002D150000}"/>
    <cellStyle name="Normal 4 4 2 3 3 3 2" xfId="13603" xr:uid="{3C16FD40-945B-4018-BADC-3C71DAC359BE}"/>
    <cellStyle name="Normal 4 4 2 3 3 4" xfId="9385" xr:uid="{FA3111E1-650C-4F37-89DB-091F1ABE288E}"/>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6C9D1E53-95D3-425A-BEF7-4CB5E598B70D}"/>
    <cellStyle name="Normal 4 4 2 3 4 2 3" xfId="11943" xr:uid="{60801AB2-390D-4805-B8CF-2845298CACF1}"/>
    <cellStyle name="Normal 4 4 2 3 4 3" xfId="5587" xr:uid="{00000000-0005-0000-0000-000031150000}"/>
    <cellStyle name="Normal 4 4 2 3 4 3 2" xfId="14016" xr:uid="{46452480-F73E-4DF9-BD20-5D7EE7B7728C}"/>
    <cellStyle name="Normal 4 4 2 3 4 4" xfId="9798" xr:uid="{FF08DF0D-EDDA-4351-8442-1AE36ECC0243}"/>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748D4C5C-D658-4DAA-B8B5-E946F1A05F4A}"/>
    <cellStyle name="Normal 4 4 2 3 5 2 3" xfId="12356" xr:uid="{B3DF1950-7FAC-4824-8A9D-0BD74CC82335}"/>
    <cellStyle name="Normal 4 4 2 3 5 3" xfId="6000" xr:uid="{00000000-0005-0000-0000-000035150000}"/>
    <cellStyle name="Normal 4 4 2 3 5 3 2" xfId="14429" xr:uid="{3C591FCB-5FA4-4B51-AF83-8CC9EEFDE753}"/>
    <cellStyle name="Normal 4 4 2 3 5 4" xfId="10211" xr:uid="{648831E8-6BE0-4CD2-B5F8-EEDDD47BC110}"/>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CF3D976E-A19D-49EA-A651-B8389B5334AF}"/>
    <cellStyle name="Normal 4 4 2 3 6 2 3" xfId="12769" xr:uid="{2B5771FE-ACDF-4BD4-B27C-6C1E607F35B5}"/>
    <cellStyle name="Normal 4 4 2 3 6 3" xfId="6413" xr:uid="{00000000-0005-0000-0000-000039150000}"/>
    <cellStyle name="Normal 4 4 2 3 6 3 2" xfId="14842" xr:uid="{B9A21557-2A34-42C2-B5C9-B0C54AC7EF66}"/>
    <cellStyle name="Normal 4 4 2 3 6 4" xfId="10624" xr:uid="{8D10953E-F7F0-4904-B917-E029A5CA14E3}"/>
    <cellStyle name="Normal 4 4 2 3 7" xfId="2541" xr:uid="{00000000-0005-0000-0000-00003A150000}"/>
    <cellStyle name="Normal 4 4 2 3 7 2" xfId="6826" xr:uid="{00000000-0005-0000-0000-00003B150000}"/>
    <cellStyle name="Normal 4 4 2 3 7 2 2" xfId="15255" xr:uid="{A085F9A7-DD55-4F3A-88C5-BA14BD660C89}"/>
    <cellStyle name="Normal 4 4 2 3 7 3" xfId="11037" xr:uid="{94403589-714B-4C18-A8CF-1D4D7AB38AC5}"/>
    <cellStyle name="Normal 4 4 2 3 8" xfId="4761" xr:uid="{00000000-0005-0000-0000-00003C150000}"/>
    <cellStyle name="Normal 4 4 2 3 8 2" xfId="13190" xr:uid="{09867841-3791-484D-864C-2B21A76B6745}"/>
    <cellStyle name="Normal 4 4 2 3 9" xfId="8972" xr:uid="{233DE772-4452-4BD6-A538-22CA8544788D}"/>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C11C637F-509B-4BAE-9E94-F06D1ECB19CD}"/>
    <cellStyle name="Normal 4 4 2 4 2 2 3" xfId="11532" xr:uid="{CA290970-D688-40E7-952E-D3C248916071}"/>
    <cellStyle name="Normal 4 4 2 4 2 3" xfId="5176" xr:uid="{00000000-0005-0000-0000-000041150000}"/>
    <cellStyle name="Normal 4 4 2 4 2 3 2" xfId="13605" xr:uid="{616FDE28-F62A-4F1D-9880-D3F317062934}"/>
    <cellStyle name="Normal 4 4 2 4 2 4" xfId="9387" xr:uid="{B1D7C916-E816-4FBA-8115-7DB6610FA2DB}"/>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A67CBEB2-E82D-4A28-A49E-222D9304B96A}"/>
    <cellStyle name="Normal 4 4 2 4 3 2 3" xfId="11945" xr:uid="{812082AC-C813-4FE6-8418-7A53BCA9162D}"/>
    <cellStyle name="Normal 4 4 2 4 3 3" xfId="5589" xr:uid="{00000000-0005-0000-0000-000045150000}"/>
    <cellStyle name="Normal 4 4 2 4 3 3 2" xfId="14018" xr:uid="{D5996163-451C-4725-877F-658D97D4B6B5}"/>
    <cellStyle name="Normal 4 4 2 4 3 4" xfId="9800" xr:uid="{E2CE3F73-F380-4F97-9FC1-F1473AC11D80}"/>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D787C2E7-BCBD-4208-BEA4-566032E804FF}"/>
    <cellStyle name="Normal 4 4 2 4 4 2 3" xfId="12358" xr:uid="{E06CB533-2A42-4BD9-8FEB-1F3AC093C920}"/>
    <cellStyle name="Normal 4 4 2 4 4 3" xfId="6002" xr:uid="{00000000-0005-0000-0000-000049150000}"/>
    <cellStyle name="Normal 4 4 2 4 4 3 2" xfId="14431" xr:uid="{CA785C3D-7CAF-4EDE-BEC7-0635027E7BA4}"/>
    <cellStyle name="Normal 4 4 2 4 4 4" xfId="10213" xr:uid="{713F448D-4D42-46C4-98B6-4A686EEE052E}"/>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2ED54EF8-16A1-4863-86B3-040C74A58978}"/>
    <cellStyle name="Normal 4 4 2 4 5 2 3" xfId="12771" xr:uid="{C1FE6DA2-A0AE-4614-926F-0204B207E8A6}"/>
    <cellStyle name="Normal 4 4 2 4 5 3" xfId="6415" xr:uid="{00000000-0005-0000-0000-00004D150000}"/>
    <cellStyle name="Normal 4 4 2 4 5 3 2" xfId="14844" xr:uid="{E29A80C7-1FD6-441D-9A42-CA982AA53CB5}"/>
    <cellStyle name="Normal 4 4 2 4 5 4" xfId="10626" xr:uid="{3FB4B45C-F85A-490A-B457-31A8911A6F84}"/>
    <cellStyle name="Normal 4 4 2 4 6" xfId="2543" xr:uid="{00000000-0005-0000-0000-00004E150000}"/>
    <cellStyle name="Normal 4 4 2 4 6 2" xfId="6828" xr:uid="{00000000-0005-0000-0000-00004F150000}"/>
    <cellStyle name="Normal 4 4 2 4 6 2 2" xfId="15257" xr:uid="{E7C280F3-7B3C-4E5E-841A-DDB2D7960C55}"/>
    <cellStyle name="Normal 4 4 2 4 6 3" xfId="11039" xr:uid="{52F0414A-7953-4D26-9B01-B2A675DF8E01}"/>
    <cellStyle name="Normal 4 4 2 4 7" xfId="4763" xr:uid="{00000000-0005-0000-0000-000050150000}"/>
    <cellStyle name="Normal 4 4 2 4 7 2" xfId="13192" xr:uid="{CB2C5C61-55A0-4B00-AA43-68FCD5BDD47E}"/>
    <cellStyle name="Normal 4 4 2 4 8" xfId="8974" xr:uid="{19437060-40C5-49B8-BD7F-D3385A74653A}"/>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31074795-8CAA-471E-9C4C-CA2B7884BA0F}"/>
    <cellStyle name="Normal 4 4 2 5 2 3" xfId="11525" xr:uid="{99A00C60-06BC-4312-88ED-8DE53D7821D1}"/>
    <cellStyle name="Normal 4 4 2 5 3" xfId="5169" xr:uid="{00000000-0005-0000-0000-000054150000}"/>
    <cellStyle name="Normal 4 4 2 5 3 2" xfId="13598" xr:uid="{8F2D9470-B701-4896-ACE0-116FC8A59818}"/>
    <cellStyle name="Normal 4 4 2 5 4" xfId="9380" xr:uid="{09457E8D-ED6F-458C-98F2-056514C4BF72}"/>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F6BB8A0E-58BD-4984-9E9B-97BFCEF4C127}"/>
    <cellStyle name="Normal 4 4 2 6 2 3" xfId="11938" xr:uid="{8593C6EB-006A-4576-9174-AC9C3CADD408}"/>
    <cellStyle name="Normal 4 4 2 6 3" xfId="5582" xr:uid="{00000000-0005-0000-0000-000058150000}"/>
    <cellStyle name="Normal 4 4 2 6 3 2" xfId="14011" xr:uid="{46F8EB43-DA93-4A85-BC33-C9E534F9C848}"/>
    <cellStyle name="Normal 4 4 2 6 4" xfId="9793" xr:uid="{17744F12-591F-477C-A4E2-68A18972BF40}"/>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9014751E-C53F-4B61-B5DE-C2D8365215CC}"/>
    <cellStyle name="Normal 4 4 2 7 2 3" xfId="12351" xr:uid="{5B63F605-CBAF-45E0-9DCB-FA91AD1D2B96}"/>
    <cellStyle name="Normal 4 4 2 7 3" xfId="5995" xr:uid="{00000000-0005-0000-0000-00005C150000}"/>
    <cellStyle name="Normal 4 4 2 7 3 2" xfId="14424" xr:uid="{99C8B56F-F733-4619-8FB7-5A06A9BD52DB}"/>
    <cellStyle name="Normal 4 4 2 7 4" xfId="10206" xr:uid="{299FFDA3-CC72-4436-AEFD-CD5DC9F2C3C8}"/>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9E8FD10C-6369-4FA1-A718-436DC24F2D79}"/>
    <cellStyle name="Normal 4 4 2 8 2 3" xfId="12764" xr:uid="{6F8D0A08-7AB2-4999-A627-00974E8021A2}"/>
    <cellStyle name="Normal 4 4 2 8 3" xfId="6408" xr:uid="{00000000-0005-0000-0000-000060150000}"/>
    <cellStyle name="Normal 4 4 2 8 3 2" xfId="14837" xr:uid="{1639F2B3-AAED-4DC4-B9D1-4940A3B6FBAD}"/>
    <cellStyle name="Normal 4 4 2 8 4" xfId="10619" xr:uid="{7AE3E030-27D0-456A-AD8E-B7085FA9CCAB}"/>
    <cellStyle name="Normal 4 4 2 9" xfId="2536" xr:uid="{00000000-0005-0000-0000-000061150000}"/>
    <cellStyle name="Normal 4 4 2 9 2" xfId="6821" xr:uid="{00000000-0005-0000-0000-000062150000}"/>
    <cellStyle name="Normal 4 4 2 9 2 2" xfId="15250" xr:uid="{70D92D88-BDE5-4B4C-A731-40E10BB6DFD0}"/>
    <cellStyle name="Normal 4 4 2 9 3" xfId="11032" xr:uid="{D6622188-8798-497A-9EA6-7A683BF0D909}"/>
    <cellStyle name="Normal 4 4 3" xfId="387" xr:uid="{00000000-0005-0000-0000-000063150000}"/>
    <cellStyle name="Normal 4 4 3 10" xfId="8975" xr:uid="{03AF1FDE-6FBF-4819-871F-5A4D48789685}"/>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85C7E9CC-9C95-4A51-BD82-AC742EB10C61}"/>
    <cellStyle name="Normal 4 4 3 2 2 2 2 3" xfId="11535" xr:uid="{75BCB204-7BB7-44E3-AB1B-9E8175F3ED1A}"/>
    <cellStyle name="Normal 4 4 3 2 2 2 3" xfId="5179" xr:uid="{00000000-0005-0000-0000-000069150000}"/>
    <cellStyle name="Normal 4 4 3 2 2 2 3 2" xfId="13608" xr:uid="{D3045D35-A3D1-4265-B591-C668757D88FF}"/>
    <cellStyle name="Normal 4 4 3 2 2 2 4" xfId="9390" xr:uid="{72A38AB3-1BF9-403D-BE16-25E4982E7592}"/>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264D2770-A662-4317-8D0B-140262558B76}"/>
    <cellStyle name="Normal 4 4 3 2 2 3 2 3" xfId="11948" xr:uid="{0A9381ED-EF81-4621-BB31-9AA88A08532A}"/>
    <cellStyle name="Normal 4 4 3 2 2 3 3" xfId="5592" xr:uid="{00000000-0005-0000-0000-00006D150000}"/>
    <cellStyle name="Normal 4 4 3 2 2 3 3 2" xfId="14021" xr:uid="{00805075-C60B-48E4-A957-59DCFD713934}"/>
    <cellStyle name="Normal 4 4 3 2 2 3 4" xfId="9803" xr:uid="{75EEA807-72FF-4C18-81BB-5EF158BF3805}"/>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121276E7-BB62-4DD2-AC5A-B4E4BEA20BB0}"/>
    <cellStyle name="Normal 4 4 3 2 2 4 2 3" xfId="12361" xr:uid="{43A1144D-CF08-418C-8D75-9B7DC5FB45A3}"/>
    <cellStyle name="Normal 4 4 3 2 2 4 3" xfId="6005" xr:uid="{00000000-0005-0000-0000-000071150000}"/>
    <cellStyle name="Normal 4 4 3 2 2 4 3 2" xfId="14434" xr:uid="{795A67CB-A7D4-485E-947F-A58E0B405278}"/>
    <cellStyle name="Normal 4 4 3 2 2 4 4" xfId="10216" xr:uid="{AAF6A3A1-77B7-46E4-8B2D-3AF3C9C50BD4}"/>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48777047-DD44-4B67-B8F2-243AC6676C8E}"/>
    <cellStyle name="Normal 4 4 3 2 2 5 2 3" xfId="12774" xr:uid="{3A08DD4F-796B-410F-852C-B1FFA75506B0}"/>
    <cellStyle name="Normal 4 4 3 2 2 5 3" xfId="6418" xr:uid="{00000000-0005-0000-0000-000075150000}"/>
    <cellStyle name="Normal 4 4 3 2 2 5 3 2" xfId="14847" xr:uid="{573E6DA1-A8E3-4745-AA3C-A2C30A43CE75}"/>
    <cellStyle name="Normal 4 4 3 2 2 5 4" xfId="10629" xr:uid="{8264259E-508D-4734-9B92-244885B745A2}"/>
    <cellStyle name="Normal 4 4 3 2 2 6" xfId="2546" xr:uid="{00000000-0005-0000-0000-000076150000}"/>
    <cellStyle name="Normal 4 4 3 2 2 6 2" xfId="6831" xr:uid="{00000000-0005-0000-0000-000077150000}"/>
    <cellStyle name="Normal 4 4 3 2 2 6 2 2" xfId="15260" xr:uid="{FF166CB3-3A29-4327-AE21-D70CF56E9D50}"/>
    <cellStyle name="Normal 4 4 3 2 2 6 3" xfId="11042" xr:uid="{9C7CB0D0-748F-47CD-B36B-52DAAE92AC82}"/>
    <cellStyle name="Normal 4 4 3 2 2 7" xfId="4766" xr:uid="{00000000-0005-0000-0000-000078150000}"/>
    <cellStyle name="Normal 4 4 3 2 2 7 2" xfId="13195" xr:uid="{A1547C41-219A-4791-B294-39E4EDFD2C7B}"/>
    <cellStyle name="Normal 4 4 3 2 2 8" xfId="8977" xr:uid="{9711CAEA-26AB-4FEF-85E7-288214D53E07}"/>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7EA6724C-1C42-4B34-8B58-57AA66E94CEB}"/>
    <cellStyle name="Normal 4 4 3 2 3 2 3" xfId="11534" xr:uid="{3CBE3FA2-CFBE-4DA2-A6EC-91C4B049FB1D}"/>
    <cellStyle name="Normal 4 4 3 2 3 3" xfId="5178" xr:uid="{00000000-0005-0000-0000-00007C150000}"/>
    <cellStyle name="Normal 4 4 3 2 3 3 2" xfId="13607" xr:uid="{32F8E708-4ED4-4509-8372-59DA0F86AE02}"/>
    <cellStyle name="Normal 4 4 3 2 3 4" xfId="9389" xr:uid="{47E786CB-D95A-42FC-A991-270FCF9D95FA}"/>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130071D3-807E-4040-84E9-4A068A9D71B9}"/>
    <cellStyle name="Normal 4 4 3 2 4 2 3" xfId="11947" xr:uid="{2C84AB91-FEE5-4261-A7DE-53D47DA01FF8}"/>
    <cellStyle name="Normal 4 4 3 2 4 3" xfId="5591" xr:uid="{00000000-0005-0000-0000-000080150000}"/>
    <cellStyle name="Normal 4 4 3 2 4 3 2" xfId="14020" xr:uid="{F0BEBDBE-06FC-4A99-8174-57B39FE97F16}"/>
    <cellStyle name="Normal 4 4 3 2 4 4" xfId="9802" xr:uid="{8F677F7F-6A26-43DA-B846-BF4C1A3DD236}"/>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55B4B0DA-37D4-43F4-A499-B10E59B00C6C}"/>
    <cellStyle name="Normal 4 4 3 2 5 2 3" xfId="12360" xr:uid="{B44212C7-E140-42BA-AB92-11B6977C1180}"/>
    <cellStyle name="Normal 4 4 3 2 5 3" xfId="6004" xr:uid="{00000000-0005-0000-0000-000084150000}"/>
    <cellStyle name="Normal 4 4 3 2 5 3 2" xfId="14433" xr:uid="{44EAC1E6-D610-4F49-AD11-D75FE2357500}"/>
    <cellStyle name="Normal 4 4 3 2 5 4" xfId="10215" xr:uid="{A463653B-04EF-48E3-B90B-90A118B5CD4F}"/>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107A546F-A588-42F6-A9A0-47BBEBDFC3A5}"/>
    <cellStyle name="Normal 4 4 3 2 6 2 3" xfId="12773" xr:uid="{AAEAEA91-1398-4299-8FB5-D995E69C73D7}"/>
    <cellStyle name="Normal 4 4 3 2 6 3" xfId="6417" xr:uid="{00000000-0005-0000-0000-000088150000}"/>
    <cellStyle name="Normal 4 4 3 2 6 3 2" xfId="14846" xr:uid="{B6CBD616-D8BB-490E-9A25-FA99F9D7488D}"/>
    <cellStyle name="Normal 4 4 3 2 6 4" xfId="10628" xr:uid="{EB54D0DD-BB6F-4288-961C-07EB6F2C6AEE}"/>
    <cellStyle name="Normal 4 4 3 2 7" xfId="2545" xr:uid="{00000000-0005-0000-0000-000089150000}"/>
    <cellStyle name="Normal 4 4 3 2 7 2" xfId="6830" xr:uid="{00000000-0005-0000-0000-00008A150000}"/>
    <cellStyle name="Normal 4 4 3 2 7 2 2" xfId="15259" xr:uid="{26151143-D764-4770-B7DE-C9F2EB06588E}"/>
    <cellStyle name="Normal 4 4 3 2 7 3" xfId="11041" xr:uid="{B35A4138-089F-48A3-809F-84C9E4DB82CE}"/>
    <cellStyle name="Normal 4 4 3 2 8" xfId="4765" xr:uid="{00000000-0005-0000-0000-00008B150000}"/>
    <cellStyle name="Normal 4 4 3 2 8 2" xfId="13194" xr:uid="{467C6A0B-6DDA-4EF4-8D48-BB2CDB3E833A}"/>
    <cellStyle name="Normal 4 4 3 2 9" xfId="8976" xr:uid="{626B503C-E05E-4CE2-84DD-27AEB7C5272D}"/>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0401D334-7903-44BA-B202-7DFF16256D9D}"/>
    <cellStyle name="Normal 4 4 3 3 2 2 3" xfId="11536" xr:uid="{244719E4-D97D-47DC-9651-03330A002324}"/>
    <cellStyle name="Normal 4 4 3 3 2 3" xfId="5180" xr:uid="{00000000-0005-0000-0000-000090150000}"/>
    <cellStyle name="Normal 4 4 3 3 2 3 2" xfId="13609" xr:uid="{A5BBCD4B-4ED4-4096-9D44-93C56491AF22}"/>
    <cellStyle name="Normal 4 4 3 3 2 4" xfId="9391" xr:uid="{6CFA7CFD-4262-4E67-AB5A-1CD24C203127}"/>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2255748F-F903-4888-A9BF-0E3D54C8356D}"/>
    <cellStyle name="Normal 4 4 3 3 3 2 3" xfId="11949" xr:uid="{001B9A0B-04BB-49AF-9EB5-C882212B208D}"/>
    <cellStyle name="Normal 4 4 3 3 3 3" xfId="5593" xr:uid="{00000000-0005-0000-0000-000094150000}"/>
    <cellStyle name="Normal 4 4 3 3 3 3 2" xfId="14022" xr:uid="{0329EBBD-A154-4AD7-A8C5-557990C3B3AD}"/>
    <cellStyle name="Normal 4 4 3 3 3 4" xfId="9804" xr:uid="{9E0A0E28-9E7E-4707-A030-70263189E7A6}"/>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4D3AA5F2-81F0-492C-8F4F-1113B4CB2135}"/>
    <cellStyle name="Normal 4 4 3 3 4 2 3" xfId="12362" xr:uid="{87A1AF1E-4D8F-46EF-B6EE-256CD8291506}"/>
    <cellStyle name="Normal 4 4 3 3 4 3" xfId="6006" xr:uid="{00000000-0005-0000-0000-000098150000}"/>
    <cellStyle name="Normal 4 4 3 3 4 3 2" xfId="14435" xr:uid="{7BDCB7F7-4AFC-4C93-89B6-A54DDDE69366}"/>
    <cellStyle name="Normal 4 4 3 3 4 4" xfId="10217" xr:uid="{8278A1BB-2F54-4841-8832-5223F0CEBB56}"/>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5A84E9B5-4BAA-4153-89FA-2BB4C4722536}"/>
    <cellStyle name="Normal 4 4 3 3 5 2 3" xfId="12775" xr:uid="{747F32C6-9CDF-4868-AE70-F4DA75F2EA8D}"/>
    <cellStyle name="Normal 4 4 3 3 5 3" xfId="6419" xr:uid="{00000000-0005-0000-0000-00009C150000}"/>
    <cellStyle name="Normal 4 4 3 3 5 3 2" xfId="14848" xr:uid="{7D10D1DF-6E05-48CC-8F87-0CB9752C0DA1}"/>
    <cellStyle name="Normal 4 4 3 3 5 4" xfId="10630" xr:uid="{FAAE8C02-BBEB-4706-8FB0-36CB0D70E934}"/>
    <cellStyle name="Normal 4 4 3 3 6" xfId="2547" xr:uid="{00000000-0005-0000-0000-00009D150000}"/>
    <cellStyle name="Normal 4 4 3 3 6 2" xfId="6832" xr:uid="{00000000-0005-0000-0000-00009E150000}"/>
    <cellStyle name="Normal 4 4 3 3 6 2 2" xfId="15261" xr:uid="{DDFCEDF0-7CDE-469F-ADA0-6C726A1FBD77}"/>
    <cellStyle name="Normal 4 4 3 3 6 3" xfId="11043" xr:uid="{C30DCB72-2DF2-45F3-9A41-6E43F08BA036}"/>
    <cellStyle name="Normal 4 4 3 3 7" xfId="4767" xr:uid="{00000000-0005-0000-0000-00009F150000}"/>
    <cellStyle name="Normal 4 4 3 3 7 2" xfId="13196" xr:uid="{355B040F-DCC5-4F34-ACDE-B63FB6981125}"/>
    <cellStyle name="Normal 4 4 3 3 8" xfId="8978" xr:uid="{6A852142-78EB-4480-BAAB-834D0C6BEAD4}"/>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3986C2DE-1CB8-49D3-82DB-09F5AE27E332}"/>
    <cellStyle name="Normal 4 4 3 4 2 3" xfId="11533" xr:uid="{D028A1C1-AC23-427D-B48C-EB93B4B138DD}"/>
    <cellStyle name="Normal 4 4 3 4 3" xfId="5177" xr:uid="{00000000-0005-0000-0000-0000A3150000}"/>
    <cellStyle name="Normal 4 4 3 4 3 2" xfId="13606" xr:uid="{16E315AB-94B2-4412-8170-43BB5EF5012C}"/>
    <cellStyle name="Normal 4 4 3 4 4" xfId="9388" xr:uid="{62AB9F3A-B6F3-4CE1-B8DF-31BCF32038CF}"/>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186E404E-9898-4889-BE7A-F4497EBCFFEE}"/>
    <cellStyle name="Normal 4 4 3 5 2 3" xfId="11946" xr:uid="{0B326FD1-153F-4BF2-86F9-D09BFCAD7732}"/>
    <cellStyle name="Normal 4 4 3 5 3" xfId="5590" xr:uid="{00000000-0005-0000-0000-0000A7150000}"/>
    <cellStyle name="Normal 4 4 3 5 3 2" xfId="14019" xr:uid="{F5BD2B51-891A-4B3B-B68D-185E79172514}"/>
    <cellStyle name="Normal 4 4 3 5 4" xfId="9801" xr:uid="{ADE1C62A-7290-49A1-A121-B556D164E1D1}"/>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327566EC-F3A5-498A-A8AC-1F22C33A4EF5}"/>
    <cellStyle name="Normal 4 4 3 6 2 3" xfId="12359" xr:uid="{0A7C8565-03C3-4DFB-82F0-263E1666AD3A}"/>
    <cellStyle name="Normal 4 4 3 6 3" xfId="6003" xr:uid="{00000000-0005-0000-0000-0000AB150000}"/>
    <cellStyle name="Normal 4 4 3 6 3 2" xfId="14432" xr:uid="{357676DF-A677-4422-8AC4-271FF19BDC65}"/>
    <cellStyle name="Normal 4 4 3 6 4" xfId="10214" xr:uid="{5453858E-FD1B-4FC8-BEDE-3F73C16073AC}"/>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BF7FE4FB-6DF6-4139-9B9D-AE9F6C3A6EB3}"/>
    <cellStyle name="Normal 4 4 3 7 2 3" xfId="12772" xr:uid="{31B946FF-DC47-490D-891F-13405697AC9A}"/>
    <cellStyle name="Normal 4 4 3 7 3" xfId="6416" xr:uid="{00000000-0005-0000-0000-0000AF150000}"/>
    <cellStyle name="Normal 4 4 3 7 3 2" xfId="14845" xr:uid="{1F5127C1-14E9-45C7-8436-94D522613733}"/>
    <cellStyle name="Normal 4 4 3 7 4" xfId="10627" xr:uid="{E446C02E-1777-4792-925D-D5D6EAFB7CA7}"/>
    <cellStyle name="Normal 4 4 3 8" xfId="2544" xr:uid="{00000000-0005-0000-0000-0000B0150000}"/>
    <cellStyle name="Normal 4 4 3 8 2" xfId="6829" xr:uid="{00000000-0005-0000-0000-0000B1150000}"/>
    <cellStyle name="Normal 4 4 3 8 2 2" xfId="15258" xr:uid="{ACB58115-8AE9-4FD4-BE3F-F856ACC03317}"/>
    <cellStyle name="Normal 4 4 3 8 3" xfId="11040" xr:uid="{2629227C-AA83-4F01-9945-58037F377655}"/>
    <cellStyle name="Normal 4 4 3 9" xfId="4764" xr:uid="{00000000-0005-0000-0000-0000B2150000}"/>
    <cellStyle name="Normal 4 4 3 9 2" xfId="13193" xr:uid="{48D7AD4F-D616-4D9B-A87F-26E17E059D27}"/>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8B1F8FA9-1841-4B5B-A24A-8FE4D6458AD1}"/>
    <cellStyle name="Normal 4 4 4 2 2 2 3" xfId="11538" xr:uid="{631D909D-BE11-4B7D-A10C-C109EF3054D9}"/>
    <cellStyle name="Normal 4 4 4 2 2 3" xfId="5182" xr:uid="{00000000-0005-0000-0000-0000B8150000}"/>
    <cellStyle name="Normal 4 4 4 2 2 3 2" xfId="13611" xr:uid="{07244E46-2383-4351-9836-F7E7C567BDDB}"/>
    <cellStyle name="Normal 4 4 4 2 2 4" xfId="9393" xr:uid="{CC7A52F3-5E42-43D9-AD20-8CE475D24341}"/>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71F0DB3C-EB9C-4706-9AA5-0D08FC967524}"/>
    <cellStyle name="Normal 4 4 4 2 3 2 3" xfId="11951" xr:uid="{9BBEE798-BE6C-4292-9755-F1E4C8411068}"/>
    <cellStyle name="Normal 4 4 4 2 3 3" xfId="5595" xr:uid="{00000000-0005-0000-0000-0000BC150000}"/>
    <cellStyle name="Normal 4 4 4 2 3 3 2" xfId="14024" xr:uid="{5FD57A84-117B-48C4-8FB4-C202A91DEFE9}"/>
    <cellStyle name="Normal 4 4 4 2 3 4" xfId="9806" xr:uid="{808C628F-C618-4AEA-9D80-FA23D8432F3A}"/>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F58E4116-021A-4AB6-9B70-6CBE5DB06C86}"/>
    <cellStyle name="Normal 4 4 4 2 4 2 3" xfId="12364" xr:uid="{D6B425F0-9E9C-4495-A7F7-835ED71A9E68}"/>
    <cellStyle name="Normal 4 4 4 2 4 3" xfId="6008" xr:uid="{00000000-0005-0000-0000-0000C0150000}"/>
    <cellStyle name="Normal 4 4 4 2 4 3 2" xfId="14437" xr:uid="{41603F0E-0CA8-4D05-84FE-352C8E4B0BE5}"/>
    <cellStyle name="Normal 4 4 4 2 4 4" xfId="10219" xr:uid="{5F311192-0FD7-4417-8E49-82467C154A28}"/>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CE7E67B4-565C-4A8F-A6C8-FD3F6A04E242}"/>
    <cellStyle name="Normal 4 4 4 2 5 2 3" xfId="12777" xr:uid="{E5CC3E68-7E39-4EE2-9181-C4BB06417C09}"/>
    <cellStyle name="Normal 4 4 4 2 5 3" xfId="6421" xr:uid="{00000000-0005-0000-0000-0000C4150000}"/>
    <cellStyle name="Normal 4 4 4 2 5 3 2" xfId="14850" xr:uid="{428A3A56-A492-4680-846C-72C77E25B15D}"/>
    <cellStyle name="Normal 4 4 4 2 5 4" xfId="10632" xr:uid="{48E19FFC-79DB-4399-8B3F-0E9733DBFA4D}"/>
    <cellStyle name="Normal 4 4 4 2 6" xfId="2549" xr:uid="{00000000-0005-0000-0000-0000C5150000}"/>
    <cellStyle name="Normal 4 4 4 2 6 2" xfId="6834" xr:uid="{00000000-0005-0000-0000-0000C6150000}"/>
    <cellStyle name="Normal 4 4 4 2 6 2 2" xfId="15263" xr:uid="{6E9D7683-BDDF-404A-86C0-E252EC39499E}"/>
    <cellStyle name="Normal 4 4 4 2 6 3" xfId="11045" xr:uid="{35B6198A-8F68-4ECC-BA59-6FF40D5D7E23}"/>
    <cellStyle name="Normal 4 4 4 2 7" xfId="4769" xr:uid="{00000000-0005-0000-0000-0000C7150000}"/>
    <cellStyle name="Normal 4 4 4 2 7 2" xfId="13198" xr:uid="{317B1600-E578-4A2B-9FE3-5CBA943DAE14}"/>
    <cellStyle name="Normal 4 4 4 2 8" xfId="8980" xr:uid="{A40405D9-4508-487E-947E-3DF0E64CBE1B}"/>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D416B19C-E52B-40C4-AF11-4F04918F8E9E}"/>
    <cellStyle name="Normal 4 4 4 3 2 3" xfId="11537" xr:uid="{DE4996F8-FC74-44C0-A050-481A35912607}"/>
    <cellStyle name="Normal 4 4 4 3 3" xfId="5181" xr:uid="{00000000-0005-0000-0000-0000CB150000}"/>
    <cellStyle name="Normal 4 4 4 3 3 2" xfId="13610" xr:uid="{643C62B9-F2CD-47D6-A047-7073E197B889}"/>
    <cellStyle name="Normal 4 4 4 3 4" xfId="9392" xr:uid="{E312C9DF-B4B0-4C0F-9A66-028108086BE2}"/>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F393E520-1415-49C1-9687-8AB7BA814A0A}"/>
    <cellStyle name="Normal 4 4 4 4 2 3" xfId="11950" xr:uid="{542B05ED-B5BF-48A4-9744-0698C53B61BB}"/>
    <cellStyle name="Normal 4 4 4 4 3" xfId="5594" xr:uid="{00000000-0005-0000-0000-0000CF150000}"/>
    <cellStyle name="Normal 4 4 4 4 3 2" xfId="14023" xr:uid="{4FECA822-94A0-4C66-B457-09EA07A11C50}"/>
    <cellStyle name="Normal 4 4 4 4 4" xfId="9805" xr:uid="{6593BBFC-A98B-4C69-88B0-66D8C9EB8772}"/>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320D44AE-E5E9-43EC-BDD7-6716C556634B}"/>
    <cellStyle name="Normal 4 4 4 5 2 3" xfId="12363" xr:uid="{F598B0AB-6C5D-4D21-8B1F-F488449F6AB1}"/>
    <cellStyle name="Normal 4 4 4 5 3" xfId="6007" xr:uid="{00000000-0005-0000-0000-0000D3150000}"/>
    <cellStyle name="Normal 4 4 4 5 3 2" xfId="14436" xr:uid="{A349AE53-3D11-4629-A571-29C1635DCC51}"/>
    <cellStyle name="Normal 4 4 4 5 4" xfId="10218" xr:uid="{87C0553A-A289-498E-AD13-547C5C63EF63}"/>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28265D76-54E7-4F6E-AAF5-95B1EDF6926C}"/>
    <cellStyle name="Normal 4 4 4 6 2 3" xfId="12776" xr:uid="{3E8D730C-92CB-42D4-97DA-29947C48ED55}"/>
    <cellStyle name="Normal 4 4 4 6 3" xfId="6420" xr:uid="{00000000-0005-0000-0000-0000D7150000}"/>
    <cellStyle name="Normal 4 4 4 6 3 2" xfId="14849" xr:uid="{C4DE411F-EA93-4DE6-BEB8-C00C30D3F434}"/>
    <cellStyle name="Normal 4 4 4 6 4" xfId="10631" xr:uid="{2E27E9AB-83F9-4C58-836C-3037A3D4B7D6}"/>
    <cellStyle name="Normal 4 4 4 7" xfId="2548" xr:uid="{00000000-0005-0000-0000-0000D8150000}"/>
    <cellStyle name="Normal 4 4 4 7 2" xfId="6833" xr:uid="{00000000-0005-0000-0000-0000D9150000}"/>
    <cellStyle name="Normal 4 4 4 7 2 2" xfId="15262" xr:uid="{242A64F5-7A0D-4042-B6F2-49595F2DDFDE}"/>
    <cellStyle name="Normal 4 4 4 7 3" xfId="11044" xr:uid="{E83DA97B-1BB0-40B2-BB4B-79D32B99E1B2}"/>
    <cellStyle name="Normal 4 4 4 8" xfId="4768" xr:uid="{00000000-0005-0000-0000-0000DA150000}"/>
    <cellStyle name="Normal 4 4 4 8 2" xfId="13197" xr:uid="{6E4176C5-B2C9-4B83-9014-2EAB19CF0496}"/>
    <cellStyle name="Normal 4 4 4 9" xfId="8979" xr:uid="{AE7F0417-3A43-407B-B3FE-9CE66D9FED42}"/>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1928318D-C9FC-4CA6-BB44-22F150D5A83F}"/>
    <cellStyle name="Normal 4 4 5 2 2 3" xfId="11539" xr:uid="{9CF09CB4-AA74-463C-A1AD-B409C3346388}"/>
    <cellStyle name="Normal 4 4 5 2 3" xfId="5183" xr:uid="{00000000-0005-0000-0000-0000DF150000}"/>
    <cellStyle name="Normal 4 4 5 2 3 2" xfId="13612" xr:uid="{F27448EE-1A7D-4E7A-92E0-5ECA75DE92A3}"/>
    <cellStyle name="Normal 4 4 5 2 4" xfId="9394" xr:uid="{11D42824-7EBF-43EF-A7E9-845421A58957}"/>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A1DB503E-A88A-4FCD-8BDA-F3EF0E3779F8}"/>
    <cellStyle name="Normal 4 4 5 3 2 3" xfId="11952" xr:uid="{1E80906C-58EB-4D29-B962-6DB44100D9FA}"/>
    <cellStyle name="Normal 4 4 5 3 3" xfId="5596" xr:uid="{00000000-0005-0000-0000-0000E3150000}"/>
    <cellStyle name="Normal 4 4 5 3 3 2" xfId="14025" xr:uid="{065A0BD1-133F-42E4-B64E-C97909BBB9E6}"/>
    <cellStyle name="Normal 4 4 5 3 4" xfId="9807" xr:uid="{BAAE592C-E574-44AE-8050-FD5D7DEE8648}"/>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ADBB56A2-FE98-42D4-9559-9007136AE474}"/>
    <cellStyle name="Normal 4 4 5 4 2 3" xfId="12365" xr:uid="{907CB889-0232-4009-B58D-798128D03312}"/>
    <cellStyle name="Normal 4 4 5 4 3" xfId="6009" xr:uid="{00000000-0005-0000-0000-0000E7150000}"/>
    <cellStyle name="Normal 4 4 5 4 3 2" xfId="14438" xr:uid="{A251B625-7A14-44D3-9965-79412FDDDE2A}"/>
    <cellStyle name="Normal 4 4 5 4 4" xfId="10220" xr:uid="{3D918963-51F0-42AA-9471-070FBDAA306D}"/>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A06979C5-10A9-4CD7-A54B-5E060BF1F287}"/>
    <cellStyle name="Normal 4 4 5 5 2 3" xfId="12778" xr:uid="{55345885-C3C7-4CC1-845B-3D8C0FEB6198}"/>
    <cellStyle name="Normal 4 4 5 5 3" xfId="6422" xr:uid="{00000000-0005-0000-0000-0000EB150000}"/>
    <cellStyle name="Normal 4 4 5 5 3 2" xfId="14851" xr:uid="{24239473-560B-451B-9F57-7F98AAF3E150}"/>
    <cellStyle name="Normal 4 4 5 5 4" xfId="10633" xr:uid="{74060204-18BF-4D26-95C5-517D7FEF869D}"/>
    <cellStyle name="Normal 4 4 5 6" xfId="2550" xr:uid="{00000000-0005-0000-0000-0000EC150000}"/>
    <cellStyle name="Normal 4 4 5 6 2" xfId="6835" xr:uid="{00000000-0005-0000-0000-0000ED150000}"/>
    <cellStyle name="Normal 4 4 5 6 2 2" xfId="15264" xr:uid="{231F6858-E729-4151-981B-D04B05A2C120}"/>
    <cellStyle name="Normal 4 4 5 6 3" xfId="11046" xr:uid="{60AD2516-AE91-448D-A1F0-720EC56F30AD}"/>
    <cellStyle name="Normal 4 4 5 7" xfId="4770" xr:uid="{00000000-0005-0000-0000-0000EE150000}"/>
    <cellStyle name="Normal 4 4 5 7 2" xfId="13199" xr:uid="{AE64A076-01CC-4496-93DC-8926A86799E9}"/>
    <cellStyle name="Normal 4 4 5 8" xfId="8981" xr:uid="{7FE3B789-A73D-4E9B-B771-F8DF245D0C1C}"/>
    <cellStyle name="Normal 4 4 6" xfId="854" xr:uid="{00000000-0005-0000-0000-0000EF150000}"/>
    <cellStyle name="Normal 4 4 6 2" xfId="3089" xr:uid="{00000000-0005-0000-0000-0000F0150000}"/>
    <cellStyle name="Normal 4 4 6 2 2" xfId="7313" xr:uid="{00000000-0005-0000-0000-0000F1150000}"/>
    <cellStyle name="Normal 4 4 6 2 2 2" xfId="15742" xr:uid="{62C566D8-E46E-416E-9A3F-E1F9ECE01154}"/>
    <cellStyle name="Normal 4 4 6 2 3" xfId="11524" xr:uid="{86AB2DCA-CB2D-4BC1-B115-D864D8079493}"/>
    <cellStyle name="Normal 4 4 6 3" xfId="5168" xr:uid="{00000000-0005-0000-0000-0000F2150000}"/>
    <cellStyle name="Normal 4 4 6 3 2" xfId="13597" xr:uid="{EA553CCC-F125-4D96-BC71-2DB288B5728F}"/>
    <cellStyle name="Normal 4 4 6 4" xfId="9379" xr:uid="{E82C4BB6-9D7B-4F8B-8888-38294071E1F5}"/>
    <cellStyle name="Normal 4 4 7" xfId="1272" xr:uid="{00000000-0005-0000-0000-0000F3150000}"/>
    <cellStyle name="Normal 4 4 7 2" xfId="3502" xr:uid="{00000000-0005-0000-0000-0000F4150000}"/>
    <cellStyle name="Normal 4 4 7 2 2" xfId="7726" xr:uid="{00000000-0005-0000-0000-0000F5150000}"/>
    <cellStyle name="Normal 4 4 7 2 2 2" xfId="16155" xr:uid="{07183FEE-4BC1-4B45-A56A-81ECB210FF50}"/>
    <cellStyle name="Normal 4 4 7 2 3" xfId="11937" xr:uid="{1E13B02A-26B2-4891-B125-C46B404581CB}"/>
    <cellStyle name="Normal 4 4 7 3" xfId="5581" xr:uid="{00000000-0005-0000-0000-0000F6150000}"/>
    <cellStyle name="Normal 4 4 7 3 2" xfId="14010" xr:uid="{C6D42FA7-3E91-46FD-8566-08758C9CF901}"/>
    <cellStyle name="Normal 4 4 7 4" xfId="9792" xr:uid="{CF94F692-D629-44D5-BFC4-1AB5ADD3C348}"/>
    <cellStyle name="Normal 4 4 8" xfId="1685" xr:uid="{00000000-0005-0000-0000-0000F7150000}"/>
    <cellStyle name="Normal 4 4 8 2" xfId="3915" xr:uid="{00000000-0005-0000-0000-0000F8150000}"/>
    <cellStyle name="Normal 4 4 8 2 2" xfId="8139" xr:uid="{00000000-0005-0000-0000-0000F9150000}"/>
    <cellStyle name="Normal 4 4 8 2 2 2" xfId="16568" xr:uid="{5E9FBE59-8E27-4381-A99F-908BA26BF047}"/>
    <cellStyle name="Normal 4 4 8 2 3" xfId="12350" xr:uid="{A073C459-7FAE-44F3-9000-57916A4EDA74}"/>
    <cellStyle name="Normal 4 4 8 3" xfId="5994" xr:uid="{00000000-0005-0000-0000-0000FA150000}"/>
    <cellStyle name="Normal 4 4 8 3 2" xfId="14423" xr:uid="{1F2FA757-31EB-423B-A900-4DB089D21850}"/>
    <cellStyle name="Normal 4 4 8 4" xfId="10205" xr:uid="{7D1E47A0-1D66-4EEF-90CD-CBAEB478A1F6}"/>
    <cellStyle name="Normal 4 4 9" xfId="2099" xr:uid="{00000000-0005-0000-0000-0000FB150000}"/>
    <cellStyle name="Normal 4 4 9 2" xfId="4328" xr:uid="{00000000-0005-0000-0000-0000FC150000}"/>
    <cellStyle name="Normal 4 4 9 2 2" xfId="8552" xr:uid="{00000000-0005-0000-0000-0000FD150000}"/>
    <cellStyle name="Normal 4 4 9 2 2 2" xfId="16981" xr:uid="{DFF3586D-051D-413F-88AD-2EFE49756592}"/>
    <cellStyle name="Normal 4 4 9 2 3" xfId="12763" xr:uid="{75E03B5A-EE0E-4141-AC11-46051CB19289}"/>
    <cellStyle name="Normal 4 4 9 3" xfId="6407" xr:uid="{00000000-0005-0000-0000-0000FE150000}"/>
    <cellStyle name="Normal 4 4 9 3 2" xfId="14836" xr:uid="{C8D9CE48-78B8-494E-B337-0BA423E37D02}"/>
    <cellStyle name="Normal 4 4 9 4" xfId="10618" xr:uid="{5B191164-0195-4E53-A22B-D09D5F799108}"/>
    <cellStyle name="Normal 4 5" xfId="394" xr:uid="{00000000-0005-0000-0000-0000FF150000}"/>
    <cellStyle name="Normal 4 6" xfId="395" xr:uid="{00000000-0005-0000-0000-000000160000}"/>
    <cellStyle name="Normal 4 6 10" xfId="4771" xr:uid="{00000000-0005-0000-0000-000001160000}"/>
    <cellStyle name="Normal 4 6 10 2" xfId="13200" xr:uid="{D5EA51E2-BC46-47AB-90AC-162763818831}"/>
    <cellStyle name="Normal 4 6 11" xfId="8982" xr:uid="{98E7EC8B-C6EE-41FB-8F6C-AEADC7E02784}"/>
    <cellStyle name="Normal 4 6 2" xfId="396" xr:uid="{00000000-0005-0000-0000-000002160000}"/>
    <cellStyle name="Normal 4 6 2 10" xfId="8983" xr:uid="{F77B47CB-5E34-494C-97E0-3A617C4689F4}"/>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B8858371-EB91-4657-8369-9D1811C5A0C1}"/>
    <cellStyle name="Normal 4 6 2 2 2 2 2 3" xfId="11543" xr:uid="{90DE1BFA-171B-457C-AE2C-9CEBDF3D407F}"/>
    <cellStyle name="Normal 4 6 2 2 2 2 3" xfId="5187" xr:uid="{00000000-0005-0000-0000-000008160000}"/>
    <cellStyle name="Normal 4 6 2 2 2 2 3 2" xfId="13616" xr:uid="{10251CCA-9563-46E2-B889-4A893307669B}"/>
    <cellStyle name="Normal 4 6 2 2 2 2 4" xfId="9398" xr:uid="{A23CFA16-1112-4193-A457-3FC65CF340DF}"/>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17DF16BE-8868-413C-B9DC-71C71A3DB1B0}"/>
    <cellStyle name="Normal 4 6 2 2 2 3 2 3" xfId="11956" xr:uid="{37D41CBD-52B5-40E1-A895-2008B9D3CC3A}"/>
    <cellStyle name="Normal 4 6 2 2 2 3 3" xfId="5600" xr:uid="{00000000-0005-0000-0000-00000C160000}"/>
    <cellStyle name="Normal 4 6 2 2 2 3 3 2" xfId="14029" xr:uid="{3611BA1A-D953-48F0-9CDA-564E9E2CA2E2}"/>
    <cellStyle name="Normal 4 6 2 2 2 3 4" xfId="9811" xr:uid="{2167952E-62D0-4813-A09D-100F24E09D8D}"/>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B05981D0-8EC1-45CD-BD53-32963B1E19E2}"/>
    <cellStyle name="Normal 4 6 2 2 2 4 2 3" xfId="12369" xr:uid="{BFDFBE87-66A4-494E-9F28-B7632C1DE977}"/>
    <cellStyle name="Normal 4 6 2 2 2 4 3" xfId="6013" xr:uid="{00000000-0005-0000-0000-000010160000}"/>
    <cellStyle name="Normal 4 6 2 2 2 4 3 2" xfId="14442" xr:uid="{D4A5B1E6-3847-458E-99A8-996D007E347C}"/>
    <cellStyle name="Normal 4 6 2 2 2 4 4" xfId="10224" xr:uid="{BA5C42E7-2E9C-4115-ABA8-254AC7F45AD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15578915-637F-45D8-8213-F2D3469DD378}"/>
    <cellStyle name="Normal 4 6 2 2 2 5 2 3" xfId="12782" xr:uid="{ED96E8D0-1BF5-4316-A2B7-603EE35E92A6}"/>
    <cellStyle name="Normal 4 6 2 2 2 5 3" xfId="6426" xr:uid="{00000000-0005-0000-0000-000014160000}"/>
    <cellStyle name="Normal 4 6 2 2 2 5 3 2" xfId="14855" xr:uid="{38E3F3BD-C08E-4D8B-B4B4-23F9E8B346F0}"/>
    <cellStyle name="Normal 4 6 2 2 2 5 4" xfId="10637" xr:uid="{943C284D-2050-4E01-8C9B-58BD0DF7654E}"/>
    <cellStyle name="Normal 4 6 2 2 2 6" xfId="2554" xr:uid="{00000000-0005-0000-0000-000015160000}"/>
    <cellStyle name="Normal 4 6 2 2 2 6 2" xfId="6839" xr:uid="{00000000-0005-0000-0000-000016160000}"/>
    <cellStyle name="Normal 4 6 2 2 2 6 2 2" xfId="15268" xr:uid="{EED51AE2-1381-4F34-BF19-1282FAC70CA2}"/>
    <cellStyle name="Normal 4 6 2 2 2 6 3" xfId="11050" xr:uid="{2882489B-62B7-4F19-86EE-F6728C9A7654}"/>
    <cellStyle name="Normal 4 6 2 2 2 7" xfId="4774" xr:uid="{00000000-0005-0000-0000-000017160000}"/>
    <cellStyle name="Normal 4 6 2 2 2 7 2" xfId="13203" xr:uid="{410ACCC6-D78F-4512-9832-CCFBA7C1B958}"/>
    <cellStyle name="Normal 4 6 2 2 2 8" xfId="8985" xr:uid="{9E76EE54-CD7E-40BC-AE59-FB2537A6A07A}"/>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C7BEF3E5-845E-4A84-B73B-17309963477A}"/>
    <cellStyle name="Normal 4 6 2 2 3 2 3" xfId="11542" xr:uid="{E3AC2F96-C154-4651-B637-4BA7B2143114}"/>
    <cellStyle name="Normal 4 6 2 2 3 3" xfId="5186" xr:uid="{00000000-0005-0000-0000-00001B160000}"/>
    <cellStyle name="Normal 4 6 2 2 3 3 2" xfId="13615" xr:uid="{563CDD5C-00ED-4152-9317-54E520882068}"/>
    <cellStyle name="Normal 4 6 2 2 3 4" xfId="9397" xr:uid="{D790C0DC-6215-4C20-AF0D-D52659DD4BBA}"/>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6225A311-A200-47D1-A633-3BF246AE87E4}"/>
    <cellStyle name="Normal 4 6 2 2 4 2 3" xfId="11955" xr:uid="{C99CB9E7-1EF3-470D-A487-E613D20D1670}"/>
    <cellStyle name="Normal 4 6 2 2 4 3" xfId="5599" xr:uid="{00000000-0005-0000-0000-00001F160000}"/>
    <cellStyle name="Normal 4 6 2 2 4 3 2" xfId="14028" xr:uid="{E863F6FB-D7FF-4BA2-8A56-9B170120B2B0}"/>
    <cellStyle name="Normal 4 6 2 2 4 4" xfId="9810" xr:uid="{6582BD3C-3BC4-4A50-9CC3-E1D1B85F7AC9}"/>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214BEC11-7B8E-4D52-9DCE-FA0E84D155C5}"/>
    <cellStyle name="Normal 4 6 2 2 5 2 3" xfId="12368" xr:uid="{1F1FC46D-1455-4231-B67A-A0C3B8077DBF}"/>
    <cellStyle name="Normal 4 6 2 2 5 3" xfId="6012" xr:uid="{00000000-0005-0000-0000-000023160000}"/>
    <cellStyle name="Normal 4 6 2 2 5 3 2" xfId="14441" xr:uid="{D3680838-1041-4316-B5F4-3BE478E4D9A7}"/>
    <cellStyle name="Normal 4 6 2 2 5 4" xfId="10223" xr:uid="{444496FE-15A9-45B7-BF12-5DEDBDC58758}"/>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0DA2C5D6-B755-4C5B-BC68-CDCE3EBC0C8E}"/>
    <cellStyle name="Normal 4 6 2 2 6 2 3" xfId="12781" xr:uid="{F77BB375-AB49-4884-8BBC-6689A593CCE6}"/>
    <cellStyle name="Normal 4 6 2 2 6 3" xfId="6425" xr:uid="{00000000-0005-0000-0000-000027160000}"/>
    <cellStyle name="Normal 4 6 2 2 6 3 2" xfId="14854" xr:uid="{8219D897-CF65-4EEF-9D8E-D935CC2336BB}"/>
    <cellStyle name="Normal 4 6 2 2 6 4" xfId="10636" xr:uid="{5014251F-1607-46A8-8743-9762F703D8AF}"/>
    <cellStyle name="Normal 4 6 2 2 7" xfId="2553" xr:uid="{00000000-0005-0000-0000-000028160000}"/>
    <cellStyle name="Normal 4 6 2 2 7 2" xfId="6838" xr:uid="{00000000-0005-0000-0000-000029160000}"/>
    <cellStyle name="Normal 4 6 2 2 7 2 2" xfId="15267" xr:uid="{6E0024D8-AF1A-4B17-A9F4-4F42ADACB364}"/>
    <cellStyle name="Normal 4 6 2 2 7 3" xfId="11049" xr:uid="{9BCA7F05-BCB6-4BE3-BD60-7E664C0A9CB8}"/>
    <cellStyle name="Normal 4 6 2 2 8" xfId="4773" xr:uid="{00000000-0005-0000-0000-00002A160000}"/>
    <cellStyle name="Normal 4 6 2 2 8 2" xfId="13202" xr:uid="{34AA5DF8-E92E-47B4-9DF5-CBDBBEB0C00F}"/>
    <cellStyle name="Normal 4 6 2 2 9" xfId="8984" xr:uid="{66381228-C83A-4066-A9E7-B3C5A2777249}"/>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B89C326A-5C57-4BB8-B84A-F3B5E4DBBFFC}"/>
    <cellStyle name="Normal 4 6 2 3 2 2 3" xfId="11544" xr:uid="{DD9AC3F9-E82B-478C-AE8C-8A06F78673BD}"/>
    <cellStyle name="Normal 4 6 2 3 2 3" xfId="5188" xr:uid="{00000000-0005-0000-0000-00002F160000}"/>
    <cellStyle name="Normal 4 6 2 3 2 3 2" xfId="13617" xr:uid="{E44D3C81-EA7D-4296-A75E-5592FC46BC4F}"/>
    <cellStyle name="Normal 4 6 2 3 2 4" xfId="9399" xr:uid="{A4BFF4E1-CD07-473B-9205-996AB1B129E2}"/>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C033F12A-2149-4061-99BD-E1441998384F}"/>
    <cellStyle name="Normal 4 6 2 3 3 2 3" xfId="11957" xr:uid="{25F426E3-32B9-40A4-AF90-6078721DD298}"/>
    <cellStyle name="Normal 4 6 2 3 3 3" xfId="5601" xr:uid="{00000000-0005-0000-0000-000033160000}"/>
    <cellStyle name="Normal 4 6 2 3 3 3 2" xfId="14030" xr:uid="{4E7DF40B-A2ED-4CCF-9557-79A1DB1F3BFC}"/>
    <cellStyle name="Normal 4 6 2 3 3 4" xfId="9812" xr:uid="{55248803-BBD6-461F-859D-05534C1D7E0F}"/>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619F25A6-2836-4F8F-81B8-6B0A1786466B}"/>
    <cellStyle name="Normal 4 6 2 3 4 2 3" xfId="12370" xr:uid="{37331E2B-BA9F-459F-BC68-057DDEBA0E5C}"/>
    <cellStyle name="Normal 4 6 2 3 4 3" xfId="6014" xr:uid="{00000000-0005-0000-0000-000037160000}"/>
    <cellStyle name="Normal 4 6 2 3 4 3 2" xfId="14443" xr:uid="{463D3EB6-BBA4-440E-9C8E-E316BFF2B00E}"/>
    <cellStyle name="Normal 4 6 2 3 4 4" xfId="10225" xr:uid="{E3BD9BB2-323A-48DE-95B1-6B72901C10C2}"/>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6951F60A-0BB6-46BB-8F75-755B025B61C2}"/>
    <cellStyle name="Normal 4 6 2 3 5 2 3" xfId="12783" xr:uid="{A5194033-EA3E-458D-BCDA-DB1407A8AF78}"/>
    <cellStyle name="Normal 4 6 2 3 5 3" xfId="6427" xr:uid="{00000000-0005-0000-0000-00003B160000}"/>
    <cellStyle name="Normal 4 6 2 3 5 3 2" xfId="14856" xr:uid="{0F753AAB-ABB4-48F1-AFB5-37EEEC95FC85}"/>
    <cellStyle name="Normal 4 6 2 3 5 4" xfId="10638" xr:uid="{94F7D10F-73F4-4FDA-AA71-31ED16A2AA72}"/>
    <cellStyle name="Normal 4 6 2 3 6" xfId="2555" xr:uid="{00000000-0005-0000-0000-00003C160000}"/>
    <cellStyle name="Normal 4 6 2 3 6 2" xfId="6840" xr:uid="{00000000-0005-0000-0000-00003D160000}"/>
    <cellStyle name="Normal 4 6 2 3 6 2 2" xfId="15269" xr:uid="{67E61009-7539-47A3-BECD-7E3E4A530DAC}"/>
    <cellStyle name="Normal 4 6 2 3 6 3" xfId="11051" xr:uid="{22AA3B1F-DAD0-4EAF-8F6C-7BEAEB7D5219}"/>
    <cellStyle name="Normal 4 6 2 3 7" xfId="4775" xr:uid="{00000000-0005-0000-0000-00003E160000}"/>
    <cellStyle name="Normal 4 6 2 3 7 2" xfId="13204" xr:uid="{21BF7AFF-A2B1-42DA-9A7D-A662FEEE8866}"/>
    <cellStyle name="Normal 4 6 2 3 8" xfId="8986" xr:uid="{55D805F4-F057-41D5-9B4D-3FE5FEED8C07}"/>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382432BF-575B-465E-9857-F560D43DC82F}"/>
    <cellStyle name="Normal 4 6 2 4 2 3" xfId="11541" xr:uid="{D9C7227F-A74A-48BC-8F49-3E5F396A88D1}"/>
    <cellStyle name="Normal 4 6 2 4 3" xfId="5185" xr:uid="{00000000-0005-0000-0000-000042160000}"/>
    <cellStyle name="Normal 4 6 2 4 3 2" xfId="13614" xr:uid="{03AA4E56-9D5E-4145-837D-3B7AF35DD8C7}"/>
    <cellStyle name="Normal 4 6 2 4 4" xfId="9396" xr:uid="{DD407665-F1FA-42E9-8B3F-57DE3170BD2A}"/>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AD2B6C60-8D8D-4118-B356-C4883C56A988}"/>
    <cellStyle name="Normal 4 6 2 5 2 3" xfId="11954" xr:uid="{8AB3E0B6-35C8-4D05-85CF-17A4734D6462}"/>
    <cellStyle name="Normal 4 6 2 5 3" xfId="5598" xr:uid="{00000000-0005-0000-0000-000046160000}"/>
    <cellStyle name="Normal 4 6 2 5 3 2" xfId="14027" xr:uid="{0BFF48BD-3169-4C3B-B558-12793B53FE08}"/>
    <cellStyle name="Normal 4 6 2 5 4" xfId="9809" xr:uid="{CB05AD2B-CAD0-45BE-A6CC-A6DF38CE6ECF}"/>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47ACE44A-B8A5-4E3D-9968-3A53AB8FC33D}"/>
    <cellStyle name="Normal 4 6 2 6 2 3" xfId="12367" xr:uid="{523CEFC2-040E-44FF-A5CC-C476D0A52A40}"/>
    <cellStyle name="Normal 4 6 2 6 3" xfId="6011" xr:uid="{00000000-0005-0000-0000-00004A160000}"/>
    <cellStyle name="Normal 4 6 2 6 3 2" xfId="14440" xr:uid="{21109245-AE2F-4490-B839-3FE52810E2E6}"/>
    <cellStyle name="Normal 4 6 2 6 4" xfId="10222" xr:uid="{3D138A53-6B4A-458B-A957-1B2C4EC6DAB5}"/>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D0728B3F-569E-4CE6-BCF2-59988222AE4A}"/>
    <cellStyle name="Normal 4 6 2 7 2 3" xfId="12780" xr:uid="{21E7A751-E1A0-41EC-8C2F-3F2AF4F96708}"/>
    <cellStyle name="Normal 4 6 2 7 3" xfId="6424" xr:uid="{00000000-0005-0000-0000-00004E160000}"/>
    <cellStyle name="Normal 4 6 2 7 3 2" xfId="14853" xr:uid="{1823CE38-750C-4A62-8EF9-1E1F8BD40C1F}"/>
    <cellStyle name="Normal 4 6 2 7 4" xfId="10635" xr:uid="{8DAA88EB-1E55-4BDC-AEA0-B4792D7D6051}"/>
    <cellStyle name="Normal 4 6 2 8" xfId="2552" xr:uid="{00000000-0005-0000-0000-00004F160000}"/>
    <cellStyle name="Normal 4 6 2 8 2" xfId="6837" xr:uid="{00000000-0005-0000-0000-000050160000}"/>
    <cellStyle name="Normal 4 6 2 8 2 2" xfId="15266" xr:uid="{AE15389D-7E8D-4954-BA17-8C7497F3A032}"/>
    <cellStyle name="Normal 4 6 2 8 3" xfId="11048" xr:uid="{0148C6E4-B140-4609-93D6-36EEB1E8D3D9}"/>
    <cellStyle name="Normal 4 6 2 9" xfId="4772" xr:uid="{00000000-0005-0000-0000-000051160000}"/>
    <cellStyle name="Normal 4 6 2 9 2" xfId="13201" xr:uid="{36A892E2-F3E6-4C7A-A579-39DEC6E2C5A5}"/>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740B78C3-36B0-4D0B-AFF5-107BF6650DCE}"/>
    <cellStyle name="Normal 4 6 3 2 2 2 3" xfId="11546" xr:uid="{6CDB13F7-B07E-4452-963C-01EEF1937C10}"/>
    <cellStyle name="Normal 4 6 3 2 2 3" xfId="5190" xr:uid="{00000000-0005-0000-0000-000057160000}"/>
    <cellStyle name="Normal 4 6 3 2 2 3 2" xfId="13619" xr:uid="{EB6A7A1D-8256-487C-8406-8EF56AE933FE}"/>
    <cellStyle name="Normal 4 6 3 2 2 4" xfId="9401" xr:uid="{23DB1D71-4DAB-495E-8C98-A152E0AFBDF3}"/>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9C3E5920-793D-44DD-8042-B0C858C6717A}"/>
    <cellStyle name="Normal 4 6 3 2 3 2 3" xfId="11959" xr:uid="{6A1272A1-9254-4B4E-B185-FD716334D711}"/>
    <cellStyle name="Normal 4 6 3 2 3 3" xfId="5603" xr:uid="{00000000-0005-0000-0000-00005B160000}"/>
    <cellStyle name="Normal 4 6 3 2 3 3 2" xfId="14032" xr:uid="{403BBAB1-0ADE-4AC7-AA90-E4CF98C14AFE}"/>
    <cellStyle name="Normal 4 6 3 2 3 4" xfId="9814" xr:uid="{C0A02DB1-3567-4BE0-9B59-49A66565A23E}"/>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4EB94F62-1F65-40B9-BFCF-CCFCD3F38705}"/>
    <cellStyle name="Normal 4 6 3 2 4 2 3" xfId="12372" xr:uid="{78E5D5A0-4EF1-4E09-BD48-127BE2B31A6F}"/>
    <cellStyle name="Normal 4 6 3 2 4 3" xfId="6016" xr:uid="{00000000-0005-0000-0000-00005F160000}"/>
    <cellStyle name="Normal 4 6 3 2 4 3 2" xfId="14445" xr:uid="{103A6D9E-2CEB-4342-98EC-29C0E35D24E0}"/>
    <cellStyle name="Normal 4 6 3 2 4 4" xfId="10227" xr:uid="{701A35C8-3FA2-4CE8-9E3A-7C1D92A2517C}"/>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0A612518-F6CF-4F75-A581-07AFBDA01C90}"/>
    <cellStyle name="Normal 4 6 3 2 5 2 3" xfId="12785" xr:uid="{D24EBC5A-661A-4CFB-9959-085E2DFB35EA}"/>
    <cellStyle name="Normal 4 6 3 2 5 3" xfId="6429" xr:uid="{00000000-0005-0000-0000-000063160000}"/>
    <cellStyle name="Normal 4 6 3 2 5 3 2" xfId="14858" xr:uid="{95A9ACBA-D8D6-440D-9B79-C6545E7FA554}"/>
    <cellStyle name="Normal 4 6 3 2 5 4" xfId="10640" xr:uid="{0ECFD064-8054-4E44-B194-5E24B6D279A1}"/>
    <cellStyle name="Normal 4 6 3 2 6" xfId="2557" xr:uid="{00000000-0005-0000-0000-000064160000}"/>
    <cellStyle name="Normal 4 6 3 2 6 2" xfId="6842" xr:uid="{00000000-0005-0000-0000-000065160000}"/>
    <cellStyle name="Normal 4 6 3 2 6 2 2" xfId="15271" xr:uid="{084B2B5E-0503-4F4D-B77B-FC342933BF55}"/>
    <cellStyle name="Normal 4 6 3 2 6 3" xfId="11053" xr:uid="{669B87C8-D533-49A8-909A-36C8CBE80E94}"/>
    <cellStyle name="Normal 4 6 3 2 7" xfId="4777" xr:uid="{00000000-0005-0000-0000-000066160000}"/>
    <cellStyle name="Normal 4 6 3 2 7 2" xfId="13206" xr:uid="{C6B18205-9F22-4B9A-BBFA-EFBE854A1572}"/>
    <cellStyle name="Normal 4 6 3 2 8" xfId="8988" xr:uid="{E4A5564C-48D6-4ECF-B335-6473A38F0D10}"/>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28112B83-8DBA-4988-9F92-86118FF657E9}"/>
    <cellStyle name="Normal 4 6 3 3 2 3" xfId="11545" xr:uid="{0639C7D4-BDE4-4AF9-BFFF-AF8B85B7D405}"/>
    <cellStyle name="Normal 4 6 3 3 3" xfId="5189" xr:uid="{00000000-0005-0000-0000-00006A160000}"/>
    <cellStyle name="Normal 4 6 3 3 3 2" xfId="13618" xr:uid="{63A9C976-81F7-4492-9864-DC4EB36931F7}"/>
    <cellStyle name="Normal 4 6 3 3 4" xfId="9400" xr:uid="{1C6514D6-E261-4A01-BC19-87BA7ED1DEE2}"/>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1868375B-CF06-4846-92FA-4CD534B482C3}"/>
    <cellStyle name="Normal 4 6 3 4 2 3" xfId="11958" xr:uid="{EA617928-61BC-402F-8280-7F30F6CB1D13}"/>
    <cellStyle name="Normal 4 6 3 4 3" xfId="5602" xr:uid="{00000000-0005-0000-0000-00006E160000}"/>
    <cellStyle name="Normal 4 6 3 4 3 2" xfId="14031" xr:uid="{FEBB242A-BDFA-4EDE-B4FE-4397C3F89132}"/>
    <cellStyle name="Normal 4 6 3 4 4" xfId="9813" xr:uid="{6C057665-34E3-428A-8BF3-2B859AC7DF2F}"/>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6C769807-0928-455A-B93F-8A5CB478D0A1}"/>
    <cellStyle name="Normal 4 6 3 5 2 3" xfId="12371" xr:uid="{4331D110-9AB2-48E9-8AAB-2ADFB840B11D}"/>
    <cellStyle name="Normal 4 6 3 5 3" xfId="6015" xr:uid="{00000000-0005-0000-0000-000072160000}"/>
    <cellStyle name="Normal 4 6 3 5 3 2" xfId="14444" xr:uid="{925A180C-9468-41AA-80C0-9E67819D5B6A}"/>
    <cellStyle name="Normal 4 6 3 5 4" xfId="10226" xr:uid="{2825D1F7-BBFA-49AE-8F28-8A060585D367}"/>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77E429BD-D529-4903-BB3B-F479C54DCE67}"/>
    <cellStyle name="Normal 4 6 3 6 2 3" xfId="12784" xr:uid="{81620980-D7B2-46C0-B1E6-45031CA8064A}"/>
    <cellStyle name="Normal 4 6 3 6 3" xfId="6428" xr:uid="{00000000-0005-0000-0000-000076160000}"/>
    <cellStyle name="Normal 4 6 3 6 3 2" xfId="14857" xr:uid="{8C8A1911-752D-4144-A9E7-5992FEBBE48C}"/>
    <cellStyle name="Normal 4 6 3 6 4" xfId="10639" xr:uid="{A59C10EA-8E7B-4B49-9F93-C24D3E5C440F}"/>
    <cellStyle name="Normal 4 6 3 7" xfId="2556" xr:uid="{00000000-0005-0000-0000-000077160000}"/>
    <cellStyle name="Normal 4 6 3 7 2" xfId="6841" xr:uid="{00000000-0005-0000-0000-000078160000}"/>
    <cellStyle name="Normal 4 6 3 7 2 2" xfId="15270" xr:uid="{A5C69305-D652-45D3-93C4-5CA8C36C177F}"/>
    <cellStyle name="Normal 4 6 3 7 3" xfId="11052" xr:uid="{13F730D7-D562-4772-BA38-49437C2C2AD0}"/>
    <cellStyle name="Normal 4 6 3 8" xfId="4776" xr:uid="{00000000-0005-0000-0000-000079160000}"/>
    <cellStyle name="Normal 4 6 3 8 2" xfId="13205" xr:uid="{90466A7F-C904-4FDD-8E61-C65BD0F97426}"/>
    <cellStyle name="Normal 4 6 3 9" xfId="8987" xr:uid="{C76174AB-1CA3-4D95-87CA-9D49892818ED}"/>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42C78497-E6F3-421C-A5C4-7BBBAF22660B}"/>
    <cellStyle name="Normal 4 6 4 2 2 3" xfId="11547" xr:uid="{D78FD1B3-4B08-4640-A8C0-E84BEA0B5FEE}"/>
    <cellStyle name="Normal 4 6 4 2 3" xfId="5191" xr:uid="{00000000-0005-0000-0000-00007E160000}"/>
    <cellStyle name="Normal 4 6 4 2 3 2" xfId="13620" xr:uid="{F5DEDB43-0476-432E-82DA-13BB7482B87B}"/>
    <cellStyle name="Normal 4 6 4 2 4" xfId="9402" xr:uid="{CB28ABA9-B29B-437A-AE2F-3F3F86C1E272}"/>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582CB2DA-7027-4148-A201-C67DC22AC0B3}"/>
    <cellStyle name="Normal 4 6 4 3 2 3" xfId="11960" xr:uid="{38D5AEEC-39FC-4F7B-A564-FB75AD838C9F}"/>
    <cellStyle name="Normal 4 6 4 3 3" xfId="5604" xr:uid="{00000000-0005-0000-0000-000082160000}"/>
    <cellStyle name="Normal 4 6 4 3 3 2" xfId="14033" xr:uid="{E3F441CE-CE79-4CFE-A4C6-D64769A951BB}"/>
    <cellStyle name="Normal 4 6 4 3 4" xfId="9815" xr:uid="{A48AA10A-B64E-49B0-A6F5-A8342B666624}"/>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35E543B7-6636-47D2-841C-B5FD9F76FB1E}"/>
    <cellStyle name="Normal 4 6 4 4 2 3" xfId="12373" xr:uid="{A0EE7D23-2BD0-4DA3-9BCE-169238126E95}"/>
    <cellStyle name="Normal 4 6 4 4 3" xfId="6017" xr:uid="{00000000-0005-0000-0000-000086160000}"/>
    <cellStyle name="Normal 4 6 4 4 3 2" xfId="14446" xr:uid="{C422C450-3495-4CEB-A463-4000539DC74D}"/>
    <cellStyle name="Normal 4 6 4 4 4" xfId="10228" xr:uid="{A50C8020-6152-4B4F-A1BB-0D269AFC13F0}"/>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01F128D1-EE6E-4ECB-8E68-19F90003A0E8}"/>
    <cellStyle name="Normal 4 6 4 5 2 3" xfId="12786" xr:uid="{7CF0804F-5E6A-48F6-A721-13F60C3E1A80}"/>
    <cellStyle name="Normal 4 6 4 5 3" xfId="6430" xr:uid="{00000000-0005-0000-0000-00008A160000}"/>
    <cellStyle name="Normal 4 6 4 5 3 2" xfId="14859" xr:uid="{7DF063C9-7A94-4E5D-ABD4-9CECA5FD7B8F}"/>
    <cellStyle name="Normal 4 6 4 5 4" xfId="10641" xr:uid="{F9253791-C0DC-42FF-B386-FB969B396AE6}"/>
    <cellStyle name="Normal 4 6 4 6" xfId="2558" xr:uid="{00000000-0005-0000-0000-00008B160000}"/>
    <cellStyle name="Normal 4 6 4 6 2" xfId="6843" xr:uid="{00000000-0005-0000-0000-00008C160000}"/>
    <cellStyle name="Normal 4 6 4 6 2 2" xfId="15272" xr:uid="{E36BAE38-66F0-43CE-83F2-88936AF69FB6}"/>
    <cellStyle name="Normal 4 6 4 6 3" xfId="11054" xr:uid="{3B172B85-35E4-4BF1-9C98-02A837B63C25}"/>
    <cellStyle name="Normal 4 6 4 7" xfId="4778" xr:uid="{00000000-0005-0000-0000-00008D160000}"/>
    <cellStyle name="Normal 4 6 4 7 2" xfId="13207" xr:uid="{8B1E2612-3F75-4EAA-A578-53EA78715AE5}"/>
    <cellStyle name="Normal 4 6 4 8" xfId="8989" xr:uid="{CB7F6782-2047-4F6C-834B-0D3F92588C50}"/>
    <cellStyle name="Normal 4 6 5" xfId="870" xr:uid="{00000000-0005-0000-0000-00008E160000}"/>
    <cellStyle name="Normal 4 6 5 2" xfId="3105" xr:uid="{00000000-0005-0000-0000-00008F160000}"/>
    <cellStyle name="Normal 4 6 5 2 2" xfId="7329" xr:uid="{00000000-0005-0000-0000-000090160000}"/>
    <cellStyle name="Normal 4 6 5 2 2 2" xfId="15758" xr:uid="{5C545411-EEC8-4274-A405-5563EEEDED77}"/>
    <cellStyle name="Normal 4 6 5 2 3" xfId="11540" xr:uid="{4CA33038-B2D7-4039-9FF1-A26658C2841B}"/>
    <cellStyle name="Normal 4 6 5 3" xfId="5184" xr:uid="{00000000-0005-0000-0000-000091160000}"/>
    <cellStyle name="Normal 4 6 5 3 2" xfId="13613" xr:uid="{858A4285-5A6D-415F-967B-7639882C8402}"/>
    <cellStyle name="Normal 4 6 5 4" xfId="9395" xr:uid="{DEB46AA1-EB1E-4C74-8101-1DEB75F7AFCE}"/>
    <cellStyle name="Normal 4 6 6" xfId="1288" xr:uid="{00000000-0005-0000-0000-000092160000}"/>
    <cellStyle name="Normal 4 6 6 2" xfId="3518" xr:uid="{00000000-0005-0000-0000-000093160000}"/>
    <cellStyle name="Normal 4 6 6 2 2" xfId="7742" xr:uid="{00000000-0005-0000-0000-000094160000}"/>
    <cellStyle name="Normal 4 6 6 2 2 2" xfId="16171" xr:uid="{2FE2AC1D-577C-4810-881B-C361182336A3}"/>
    <cellStyle name="Normal 4 6 6 2 3" xfId="11953" xr:uid="{3011AB19-4DA4-4BBD-AFCA-41044DA0C61D}"/>
    <cellStyle name="Normal 4 6 6 3" xfId="5597" xr:uid="{00000000-0005-0000-0000-000095160000}"/>
    <cellStyle name="Normal 4 6 6 3 2" xfId="14026" xr:uid="{260E319C-1DDC-434C-A50A-3C954D114741}"/>
    <cellStyle name="Normal 4 6 6 4" xfId="9808" xr:uid="{E19154C6-6B17-4DAF-BFB5-00190F06A4E7}"/>
    <cellStyle name="Normal 4 6 7" xfId="1701" xr:uid="{00000000-0005-0000-0000-000096160000}"/>
    <cellStyle name="Normal 4 6 7 2" xfId="3931" xr:uid="{00000000-0005-0000-0000-000097160000}"/>
    <cellStyle name="Normal 4 6 7 2 2" xfId="8155" xr:uid="{00000000-0005-0000-0000-000098160000}"/>
    <cellStyle name="Normal 4 6 7 2 2 2" xfId="16584" xr:uid="{DB69A3DD-118E-4475-9BB9-6EB3561DC978}"/>
    <cellStyle name="Normal 4 6 7 2 3" xfId="12366" xr:uid="{8EB9C1A5-D030-4E6F-96ED-41D0A57629C2}"/>
    <cellStyle name="Normal 4 6 7 3" xfId="6010" xr:uid="{00000000-0005-0000-0000-000099160000}"/>
    <cellStyle name="Normal 4 6 7 3 2" xfId="14439" xr:uid="{8A006DF0-DA32-4729-A387-5DD7F11F2312}"/>
    <cellStyle name="Normal 4 6 7 4" xfId="10221" xr:uid="{5177FEF3-E668-4FD0-A6EE-2E8F10AAAC07}"/>
    <cellStyle name="Normal 4 6 8" xfId="2115" xr:uid="{00000000-0005-0000-0000-00009A160000}"/>
    <cellStyle name="Normal 4 6 8 2" xfId="4344" xr:uid="{00000000-0005-0000-0000-00009B160000}"/>
    <cellStyle name="Normal 4 6 8 2 2" xfId="8568" xr:uid="{00000000-0005-0000-0000-00009C160000}"/>
    <cellStyle name="Normal 4 6 8 2 2 2" xfId="16997" xr:uid="{645FABF0-7A58-4030-99A8-AAEDD4C68A89}"/>
    <cellStyle name="Normal 4 6 8 2 3" xfId="12779" xr:uid="{AD5C3D8A-B575-4A2F-96F1-2FB108386260}"/>
    <cellStyle name="Normal 4 6 8 3" xfId="6423" xr:uid="{00000000-0005-0000-0000-00009D160000}"/>
    <cellStyle name="Normal 4 6 8 3 2" xfId="14852" xr:uid="{533E56C0-BCDD-4700-B9C7-5A5E74659135}"/>
    <cellStyle name="Normal 4 6 8 4" xfId="10634" xr:uid="{69A4C1A0-3BA1-46F7-ABF2-C05DCBE0A9D4}"/>
    <cellStyle name="Normal 4 6 9" xfId="2551" xr:uid="{00000000-0005-0000-0000-00009E160000}"/>
    <cellStyle name="Normal 4 6 9 2" xfId="6836" xr:uid="{00000000-0005-0000-0000-00009F160000}"/>
    <cellStyle name="Normal 4 6 9 2 2" xfId="15265" xr:uid="{D135F9AA-5DBE-4524-823D-EE240D2BF345}"/>
    <cellStyle name="Normal 4 6 9 3" xfId="11047" xr:uid="{F06ABC23-A5B3-4A78-972A-02B303D26981}"/>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51E0FBF9-9BD5-4D76-A03F-275CF805A2B9}"/>
    <cellStyle name="Normal 4 7 2 2 2 3" xfId="11549" xr:uid="{CD7BB697-507D-425F-A2BB-41B9CDB3D2E2}"/>
    <cellStyle name="Normal 4 7 2 2 3" xfId="5193" xr:uid="{00000000-0005-0000-0000-0000A5160000}"/>
    <cellStyle name="Normal 4 7 2 2 3 2" xfId="13622" xr:uid="{FD3BF8D8-1548-4CDB-87CD-BEC5E01AE0D1}"/>
    <cellStyle name="Normal 4 7 2 2 4" xfId="9404" xr:uid="{60BCD53F-9216-472E-84C6-5CE5E2BC575F}"/>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788B194F-2361-4A6D-910B-661D81D63203}"/>
    <cellStyle name="Normal 4 7 2 3 2 3" xfId="11962" xr:uid="{CBDDAE46-4F9E-4012-B6B5-E2BB9398EDFB}"/>
    <cellStyle name="Normal 4 7 2 3 3" xfId="5606" xr:uid="{00000000-0005-0000-0000-0000A9160000}"/>
    <cellStyle name="Normal 4 7 2 3 3 2" xfId="14035" xr:uid="{37C0C53C-869B-4386-9B62-01EEAF257ADE}"/>
    <cellStyle name="Normal 4 7 2 3 4" xfId="9817" xr:uid="{5945E125-90E6-455D-9B2A-BDE69AEF046C}"/>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962F3F8A-1E39-4B80-86DA-BEC9FFA433DF}"/>
    <cellStyle name="Normal 4 7 2 4 2 3" xfId="12375" xr:uid="{4FFF664F-95C2-4216-9B10-A17DAD9AD4C2}"/>
    <cellStyle name="Normal 4 7 2 4 3" xfId="6019" xr:uid="{00000000-0005-0000-0000-0000AD160000}"/>
    <cellStyle name="Normal 4 7 2 4 3 2" xfId="14448" xr:uid="{1BB490A7-4029-4791-953C-A41F5C94040E}"/>
    <cellStyle name="Normal 4 7 2 4 4" xfId="10230" xr:uid="{58045C27-0600-44DF-9FF6-99D735C80BAC}"/>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56E3125E-EEAD-48CA-BF8C-8E24C6021001}"/>
    <cellStyle name="Normal 4 7 2 5 2 3" xfId="12788" xr:uid="{F57828CA-8955-4D83-8830-8F458C388F29}"/>
    <cellStyle name="Normal 4 7 2 5 3" xfId="6432" xr:uid="{00000000-0005-0000-0000-0000B1160000}"/>
    <cellStyle name="Normal 4 7 2 5 3 2" xfId="14861" xr:uid="{5E0F3772-BFDC-48F5-85D0-F2B61A296635}"/>
    <cellStyle name="Normal 4 7 2 5 4" xfId="10643" xr:uid="{5835C39B-43BE-4F99-80AF-419319E88E06}"/>
    <cellStyle name="Normal 4 7 2 6" xfId="2560" xr:uid="{00000000-0005-0000-0000-0000B2160000}"/>
    <cellStyle name="Normal 4 7 2 6 2" xfId="6845" xr:uid="{00000000-0005-0000-0000-0000B3160000}"/>
    <cellStyle name="Normal 4 7 2 6 2 2" xfId="15274" xr:uid="{69310081-F57D-45A3-A8E4-E7082390DE35}"/>
    <cellStyle name="Normal 4 7 2 6 3" xfId="11056" xr:uid="{AA1BA891-9B21-473D-81F6-92528EAF37C7}"/>
    <cellStyle name="Normal 4 7 2 7" xfId="4780" xr:uid="{00000000-0005-0000-0000-0000B4160000}"/>
    <cellStyle name="Normal 4 7 2 7 2" xfId="13209" xr:uid="{2AF1FFFF-269F-4810-8F8B-88C916771C9E}"/>
    <cellStyle name="Normal 4 7 2 8" xfId="8991" xr:uid="{10F89FD2-4FCD-454B-925F-340C7A8E75C4}"/>
    <cellStyle name="Normal 4 7 3" xfId="878" xr:uid="{00000000-0005-0000-0000-0000B5160000}"/>
    <cellStyle name="Normal 4 7 3 2" xfId="3113" xr:uid="{00000000-0005-0000-0000-0000B6160000}"/>
    <cellStyle name="Normal 4 7 3 2 2" xfId="7337" xr:uid="{00000000-0005-0000-0000-0000B7160000}"/>
    <cellStyle name="Normal 4 7 3 2 2 2" xfId="15766" xr:uid="{52A53676-75A3-4718-8135-B64A74A73669}"/>
    <cellStyle name="Normal 4 7 3 2 3" xfId="11548" xr:uid="{F5FC8CF0-E373-4BBB-8761-996BE59CD6C8}"/>
    <cellStyle name="Normal 4 7 3 3" xfId="5192" xr:uid="{00000000-0005-0000-0000-0000B8160000}"/>
    <cellStyle name="Normal 4 7 3 3 2" xfId="13621" xr:uid="{6D688807-3B81-47CB-953A-14DC8CD56B37}"/>
    <cellStyle name="Normal 4 7 3 4" xfId="9403" xr:uid="{79EF3210-E1DD-4C78-9383-857A58F90C63}"/>
    <cellStyle name="Normal 4 7 4" xfId="1296" xr:uid="{00000000-0005-0000-0000-0000B9160000}"/>
    <cellStyle name="Normal 4 7 4 2" xfId="3526" xr:uid="{00000000-0005-0000-0000-0000BA160000}"/>
    <cellStyle name="Normal 4 7 4 2 2" xfId="7750" xr:uid="{00000000-0005-0000-0000-0000BB160000}"/>
    <cellStyle name="Normal 4 7 4 2 2 2" xfId="16179" xr:uid="{81BD09D8-BB6B-4705-A4C9-EA1DB79336BF}"/>
    <cellStyle name="Normal 4 7 4 2 3" xfId="11961" xr:uid="{3FD5CF57-ACAF-4FB5-AA0E-CE9FD9B688E7}"/>
    <cellStyle name="Normal 4 7 4 3" xfId="5605" xr:uid="{00000000-0005-0000-0000-0000BC160000}"/>
    <cellStyle name="Normal 4 7 4 3 2" xfId="14034" xr:uid="{AE0265A0-9FB2-4370-AAFC-1D2D669FA6DA}"/>
    <cellStyle name="Normal 4 7 4 4" xfId="9816" xr:uid="{BDABAA77-379B-48EB-BE22-1A9958F85406}"/>
    <cellStyle name="Normal 4 7 5" xfId="1709" xr:uid="{00000000-0005-0000-0000-0000BD160000}"/>
    <cellStyle name="Normal 4 7 5 2" xfId="3939" xr:uid="{00000000-0005-0000-0000-0000BE160000}"/>
    <cellStyle name="Normal 4 7 5 2 2" xfId="8163" xr:uid="{00000000-0005-0000-0000-0000BF160000}"/>
    <cellStyle name="Normal 4 7 5 2 2 2" xfId="16592" xr:uid="{5C5E7091-C0F4-403B-A13C-70496A4CA1C2}"/>
    <cellStyle name="Normal 4 7 5 2 3" xfId="12374" xr:uid="{857E3529-4EF6-4B6D-9F51-9961E1C79D27}"/>
    <cellStyle name="Normal 4 7 5 3" xfId="6018" xr:uid="{00000000-0005-0000-0000-0000C0160000}"/>
    <cellStyle name="Normal 4 7 5 3 2" xfId="14447" xr:uid="{5038B64C-E5EB-4F3E-A52C-996A7ED2ED92}"/>
    <cellStyle name="Normal 4 7 5 4" xfId="10229" xr:uid="{B26C4ACF-2F63-4E6D-8EAB-51C0EED106D0}"/>
    <cellStyle name="Normal 4 7 6" xfId="2123" xr:uid="{00000000-0005-0000-0000-0000C1160000}"/>
    <cellStyle name="Normal 4 7 6 2" xfId="4352" xr:uid="{00000000-0005-0000-0000-0000C2160000}"/>
    <cellStyle name="Normal 4 7 6 2 2" xfId="8576" xr:uid="{00000000-0005-0000-0000-0000C3160000}"/>
    <cellStyle name="Normal 4 7 6 2 2 2" xfId="17005" xr:uid="{8A137FFA-809C-4E14-84D1-8F8E95BAD552}"/>
    <cellStyle name="Normal 4 7 6 2 3" xfId="12787" xr:uid="{A7BE6B59-41E6-4B9B-97BE-7D5D7C97E750}"/>
    <cellStyle name="Normal 4 7 6 3" xfId="6431" xr:uid="{00000000-0005-0000-0000-0000C4160000}"/>
    <cellStyle name="Normal 4 7 6 3 2" xfId="14860" xr:uid="{B773B72E-57DC-4469-B387-B2A45C51E239}"/>
    <cellStyle name="Normal 4 7 6 4" xfId="10642" xr:uid="{11E106B7-FC01-46A2-8DAB-8603CCA38A23}"/>
    <cellStyle name="Normal 4 7 7" xfId="2559" xr:uid="{00000000-0005-0000-0000-0000C5160000}"/>
    <cellStyle name="Normal 4 7 7 2" xfId="6844" xr:uid="{00000000-0005-0000-0000-0000C6160000}"/>
    <cellStyle name="Normal 4 7 7 2 2" xfId="15273" xr:uid="{23ABB64B-27B1-4C75-A0FA-83E0D2E05732}"/>
    <cellStyle name="Normal 4 7 7 3" xfId="11055" xr:uid="{4C2767C6-9462-4884-8568-3E7040144E23}"/>
    <cellStyle name="Normal 4 7 8" xfId="4779" xr:uid="{00000000-0005-0000-0000-0000C7160000}"/>
    <cellStyle name="Normal 4 7 8 2" xfId="13208" xr:uid="{4AA0A5EA-7D75-446F-B0D2-B8245B9FB7A8}"/>
    <cellStyle name="Normal 4 7 9" xfId="8990" xr:uid="{5A41442C-568D-41F9-AA22-0118DC5B107E}"/>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199AF2BE-2B6F-4149-ADEE-6EE37CD7DD81}"/>
    <cellStyle name="Normal 4 8 2 2 3" xfId="11550" xr:uid="{35CD6120-3B2D-494D-8598-04D560D5C26B}"/>
    <cellStyle name="Normal 4 8 2 3" xfId="5194" xr:uid="{00000000-0005-0000-0000-0000CC160000}"/>
    <cellStyle name="Normal 4 8 2 3 2" xfId="13623" xr:uid="{15EDFBCA-538D-4FDB-AE67-57085A0C131D}"/>
    <cellStyle name="Normal 4 8 2 4" xfId="9405" xr:uid="{43351137-C004-4B5B-B10E-7DAF9C53440E}"/>
    <cellStyle name="Normal 4 8 3" xfId="1298" xr:uid="{00000000-0005-0000-0000-0000CD160000}"/>
    <cellStyle name="Normal 4 8 3 2" xfId="3528" xr:uid="{00000000-0005-0000-0000-0000CE160000}"/>
    <cellStyle name="Normal 4 8 3 2 2" xfId="7752" xr:uid="{00000000-0005-0000-0000-0000CF160000}"/>
    <cellStyle name="Normal 4 8 3 2 2 2" xfId="16181" xr:uid="{D5157A71-0631-4CB9-88AC-E6961E078879}"/>
    <cellStyle name="Normal 4 8 3 2 3" xfId="11963" xr:uid="{195AED17-34D0-42D2-BDF9-2247BC9775AB}"/>
    <cellStyle name="Normal 4 8 3 3" xfId="5607" xr:uid="{00000000-0005-0000-0000-0000D0160000}"/>
    <cellStyle name="Normal 4 8 3 3 2" xfId="14036" xr:uid="{FA125663-F58B-47A4-8943-4FA25605337E}"/>
    <cellStyle name="Normal 4 8 3 4" xfId="9818" xr:uid="{AEFF160C-5A7E-465D-9C88-6A927C21F64D}"/>
    <cellStyle name="Normal 4 8 4" xfId="1711" xr:uid="{00000000-0005-0000-0000-0000D1160000}"/>
    <cellStyle name="Normal 4 8 4 2" xfId="3941" xr:uid="{00000000-0005-0000-0000-0000D2160000}"/>
    <cellStyle name="Normal 4 8 4 2 2" xfId="8165" xr:uid="{00000000-0005-0000-0000-0000D3160000}"/>
    <cellStyle name="Normal 4 8 4 2 2 2" xfId="16594" xr:uid="{016F8549-C56D-47DB-8BB3-D0FEB30CF884}"/>
    <cellStyle name="Normal 4 8 4 2 3" xfId="12376" xr:uid="{B1D12DDB-6A44-4A75-A698-951FFD8121B3}"/>
    <cellStyle name="Normal 4 8 4 3" xfId="6020" xr:uid="{00000000-0005-0000-0000-0000D4160000}"/>
    <cellStyle name="Normal 4 8 4 3 2" xfId="14449" xr:uid="{52987115-7656-4BB7-884A-27D4B49A552F}"/>
    <cellStyle name="Normal 4 8 4 4" xfId="10231" xr:uid="{B21896AC-77DA-46F6-860C-BA7D482F146C}"/>
    <cellStyle name="Normal 4 8 5" xfId="2125" xr:uid="{00000000-0005-0000-0000-0000D5160000}"/>
    <cellStyle name="Normal 4 8 5 2" xfId="4354" xr:uid="{00000000-0005-0000-0000-0000D6160000}"/>
    <cellStyle name="Normal 4 8 5 2 2" xfId="8578" xr:uid="{00000000-0005-0000-0000-0000D7160000}"/>
    <cellStyle name="Normal 4 8 5 2 2 2" xfId="17007" xr:uid="{7D99F498-9971-49DE-AFD7-F9410E899FED}"/>
    <cellStyle name="Normal 4 8 5 2 3" xfId="12789" xr:uid="{DCD849A3-9AD2-476E-8B3B-29A8A1DB916A}"/>
    <cellStyle name="Normal 4 8 5 3" xfId="6433" xr:uid="{00000000-0005-0000-0000-0000D8160000}"/>
    <cellStyle name="Normal 4 8 5 3 2" xfId="14862" xr:uid="{35333EB2-D18C-4C70-A7AE-EA4EFB7A6A15}"/>
    <cellStyle name="Normal 4 8 5 4" xfId="10644" xr:uid="{B3F8D443-1B62-49BD-AEDA-D425868B067B}"/>
    <cellStyle name="Normal 4 8 6" xfId="2561" xr:uid="{00000000-0005-0000-0000-0000D9160000}"/>
    <cellStyle name="Normal 4 8 6 2" xfId="6846" xr:uid="{00000000-0005-0000-0000-0000DA160000}"/>
    <cellStyle name="Normal 4 8 6 2 2" xfId="15275" xr:uid="{81460EED-5B44-45B8-9310-B71E6AC3627A}"/>
    <cellStyle name="Normal 4 8 6 3" xfId="11057" xr:uid="{10366419-C527-44C3-8B9B-8F4D8CB27C93}"/>
    <cellStyle name="Normal 4 8 7" xfId="4781" xr:uid="{00000000-0005-0000-0000-0000DB160000}"/>
    <cellStyle name="Normal 4 8 7 2" xfId="13210" xr:uid="{13AAA512-F263-46A5-BA74-F0AD80C0D83C}"/>
    <cellStyle name="Normal 4 8 8" xfId="8992" xr:uid="{350E98E3-6343-4739-BB29-6A90C35F92A0}"/>
    <cellStyle name="Normal 4 9" xfId="4718" xr:uid="{00000000-0005-0000-0000-0000DC160000}"/>
    <cellStyle name="Normal 4 9 2" xfId="13147" xr:uid="{59BC1388-4944-4D67-A7B6-E56511BD5079}"/>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15685DF4-F8A6-405E-9860-668BB71EAC69}"/>
    <cellStyle name="Normal 5 10 2 3" xfId="12377" xr:uid="{D1B41C87-D63B-477C-BEF2-DFA222BB3351}"/>
    <cellStyle name="Normal 5 10 3" xfId="6021" xr:uid="{00000000-0005-0000-0000-0000E1160000}"/>
    <cellStyle name="Normal 5 10 3 2" xfId="14450" xr:uid="{7C513F93-9301-4A8C-BBCE-53C75801B6BB}"/>
    <cellStyle name="Normal 5 10 4" xfId="10232" xr:uid="{ECF073B4-EC01-4647-85BD-5287AEC33472}"/>
    <cellStyle name="Normal 5 11" xfId="2126" xr:uid="{00000000-0005-0000-0000-0000E2160000}"/>
    <cellStyle name="Normal 5 11 2" xfId="4355" xr:uid="{00000000-0005-0000-0000-0000E3160000}"/>
    <cellStyle name="Normal 5 11 2 2" xfId="8579" xr:uid="{00000000-0005-0000-0000-0000E4160000}"/>
    <cellStyle name="Normal 5 11 2 2 2" xfId="17008" xr:uid="{38F1D477-7FBF-4F87-9AAF-9C4C98A9A4A3}"/>
    <cellStyle name="Normal 5 11 2 3" xfId="12790" xr:uid="{00E9B9AB-89A1-4474-A101-CDFD8C017549}"/>
    <cellStyle name="Normal 5 11 3" xfId="6434" xr:uid="{00000000-0005-0000-0000-0000E5160000}"/>
    <cellStyle name="Normal 5 11 3 2" xfId="14863" xr:uid="{13F1EF6D-320F-4355-845B-7DA3C109A169}"/>
    <cellStyle name="Normal 5 11 4" xfId="10645" xr:uid="{55BE2FC6-4937-454B-B220-048762FEBFD3}"/>
    <cellStyle name="Normal 5 12" xfId="2562" xr:uid="{00000000-0005-0000-0000-0000E6160000}"/>
    <cellStyle name="Normal 5 12 2" xfId="6847" xr:uid="{00000000-0005-0000-0000-0000E7160000}"/>
    <cellStyle name="Normal 5 12 2 2" xfId="15276" xr:uid="{777736CE-5B8A-4CAA-9ED6-8498B59D9DB3}"/>
    <cellStyle name="Normal 5 12 3" xfId="11058" xr:uid="{1F1728F7-74C8-4A1A-B802-762A59EE8C57}"/>
    <cellStyle name="Normal 5 13" xfId="4782" xr:uid="{00000000-0005-0000-0000-0000E8160000}"/>
    <cellStyle name="Normal 5 13 2" xfId="13211" xr:uid="{FD4400EB-6618-4EB9-A0F5-D2A6DDEB65D2}"/>
    <cellStyle name="Normal 5 14" xfId="8993" xr:uid="{EEE69877-B2BC-4FF8-A7EF-340EFCCC997A}"/>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D03F15CA-8226-4754-9F03-696E39AE278B}"/>
    <cellStyle name="Normal 5 2 10 2 3" xfId="12791" xr:uid="{F290F27A-6877-4510-8E9D-AC08FBD2404D}"/>
    <cellStyle name="Normal 5 2 10 3" xfId="6435" xr:uid="{00000000-0005-0000-0000-0000ED160000}"/>
    <cellStyle name="Normal 5 2 10 3 2" xfId="14864" xr:uid="{312D790E-4B43-4123-AF7A-21AF42531950}"/>
    <cellStyle name="Normal 5 2 10 4" xfId="10646" xr:uid="{CE2BA86A-97DF-4EB0-A4FF-04E1D9A925C5}"/>
    <cellStyle name="Normal 5 2 11" xfId="2563" xr:uid="{00000000-0005-0000-0000-0000EE160000}"/>
    <cellStyle name="Normal 5 2 11 2" xfId="6848" xr:uid="{00000000-0005-0000-0000-0000EF160000}"/>
    <cellStyle name="Normal 5 2 11 2 2" xfId="15277" xr:uid="{CEF9E138-C885-4095-BA56-6D48F9B30471}"/>
    <cellStyle name="Normal 5 2 11 3" xfId="11059" xr:uid="{D4A93B74-F7A5-4271-ADC4-6B083CE94ABA}"/>
    <cellStyle name="Normal 5 2 12" xfId="4783" xr:uid="{00000000-0005-0000-0000-0000F0160000}"/>
    <cellStyle name="Normal 5 2 12 2" xfId="13212" xr:uid="{A7AC8EBD-383B-4A24-ACC7-EB3269A83A67}"/>
    <cellStyle name="Normal 5 2 13" xfId="8994" xr:uid="{36A492BD-9F15-4EA3-ADEB-041745A010F6}"/>
    <cellStyle name="Normal 5 2 2" xfId="408" xr:uid="{00000000-0005-0000-0000-0000F1160000}"/>
    <cellStyle name="Normal 5 2 2 10" xfId="2564" xr:uid="{00000000-0005-0000-0000-0000F2160000}"/>
    <cellStyle name="Normal 5 2 2 10 2" xfId="6849" xr:uid="{00000000-0005-0000-0000-0000F3160000}"/>
    <cellStyle name="Normal 5 2 2 10 2 2" xfId="15278" xr:uid="{045CF794-35DE-498A-BF47-E862C4BCAF7F}"/>
    <cellStyle name="Normal 5 2 2 10 3" xfId="11060" xr:uid="{5AFFA94C-9410-417C-9FB5-78EC8EF6A3A4}"/>
    <cellStyle name="Normal 5 2 2 11" xfId="4784" xr:uid="{00000000-0005-0000-0000-0000F4160000}"/>
    <cellStyle name="Normal 5 2 2 11 2" xfId="13213" xr:uid="{E71B6B0A-613F-4A5B-AB5F-CA9FEAE775A4}"/>
    <cellStyle name="Normal 5 2 2 12" xfId="8995" xr:uid="{6046898D-AAFB-4D0D-8129-993DD2C870A2}"/>
    <cellStyle name="Normal 5 2 2 2" xfId="409" xr:uid="{00000000-0005-0000-0000-0000F5160000}"/>
    <cellStyle name="Normal 5 2 2 2 10" xfId="4785" xr:uid="{00000000-0005-0000-0000-0000F6160000}"/>
    <cellStyle name="Normal 5 2 2 2 10 2" xfId="13214" xr:uid="{046229A3-8D25-48F5-91F1-46EDDC1610C9}"/>
    <cellStyle name="Normal 5 2 2 2 11" xfId="8996" xr:uid="{ADC55B7E-28EB-4C60-A74A-919D7B7D6C37}"/>
    <cellStyle name="Normal 5 2 2 2 2" xfId="410" xr:uid="{00000000-0005-0000-0000-0000F7160000}"/>
    <cellStyle name="Normal 5 2 2 2 2 10" xfId="8997" xr:uid="{C964C119-909D-42A2-A6D2-93250F4E992E}"/>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2411301B-BD96-48B3-9EC8-8A478BA21CD6}"/>
    <cellStyle name="Normal 5 2 2 2 2 2 2 2 2 3" xfId="11557" xr:uid="{591DEA26-E1D4-40E8-9589-6BFA0867D636}"/>
    <cellStyle name="Normal 5 2 2 2 2 2 2 2 3" xfId="5201" xr:uid="{00000000-0005-0000-0000-0000FD160000}"/>
    <cellStyle name="Normal 5 2 2 2 2 2 2 2 3 2" xfId="13630" xr:uid="{FC682A9F-C6FE-4EEE-96C6-14135B3E378F}"/>
    <cellStyle name="Normal 5 2 2 2 2 2 2 2 4" xfId="9412" xr:uid="{1AA2159E-FE2D-4F0C-BC39-1C4326013732}"/>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6AC4F16C-4222-40BC-864C-728D48238432}"/>
    <cellStyle name="Normal 5 2 2 2 2 2 2 3 2 3" xfId="11970" xr:uid="{E198FA62-14B5-4075-B87F-FF1EEFDA478B}"/>
    <cellStyle name="Normal 5 2 2 2 2 2 2 3 3" xfId="5614" xr:uid="{00000000-0005-0000-0000-000001170000}"/>
    <cellStyle name="Normal 5 2 2 2 2 2 2 3 3 2" xfId="14043" xr:uid="{65B536F2-0093-441C-86DE-B902B4C34151}"/>
    <cellStyle name="Normal 5 2 2 2 2 2 2 3 4" xfId="9825" xr:uid="{FE8CA7AD-158D-4755-B13E-5CC0535955C3}"/>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EB98422B-40B8-4C72-8805-FAE87D14E114}"/>
    <cellStyle name="Normal 5 2 2 2 2 2 2 4 2 3" xfId="12383" xr:uid="{205C6E2F-241F-44C0-9D43-F4D90594B6B7}"/>
    <cellStyle name="Normal 5 2 2 2 2 2 2 4 3" xfId="6027" xr:uid="{00000000-0005-0000-0000-000005170000}"/>
    <cellStyle name="Normal 5 2 2 2 2 2 2 4 3 2" xfId="14456" xr:uid="{601BCE51-63F3-47FA-8600-BABED6EBD9EC}"/>
    <cellStyle name="Normal 5 2 2 2 2 2 2 4 4" xfId="10238" xr:uid="{2FDB1212-1D55-4DD5-8B08-1D216F722779}"/>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D07D9AEC-93D4-488E-BAFE-89902F798D90}"/>
    <cellStyle name="Normal 5 2 2 2 2 2 2 5 2 3" xfId="12796" xr:uid="{4132309A-063B-4D1F-A59D-F179F355F179}"/>
    <cellStyle name="Normal 5 2 2 2 2 2 2 5 3" xfId="6440" xr:uid="{00000000-0005-0000-0000-000009170000}"/>
    <cellStyle name="Normal 5 2 2 2 2 2 2 5 3 2" xfId="14869" xr:uid="{9DACD4EF-90C1-4819-B910-F008F9E267DA}"/>
    <cellStyle name="Normal 5 2 2 2 2 2 2 5 4" xfId="10651" xr:uid="{89B079BB-5F74-4309-8A47-820EC177C53F}"/>
    <cellStyle name="Normal 5 2 2 2 2 2 2 6" xfId="2568" xr:uid="{00000000-0005-0000-0000-00000A170000}"/>
    <cellStyle name="Normal 5 2 2 2 2 2 2 6 2" xfId="6853" xr:uid="{00000000-0005-0000-0000-00000B170000}"/>
    <cellStyle name="Normal 5 2 2 2 2 2 2 6 2 2" xfId="15282" xr:uid="{CD4E32C0-653F-453F-B8A6-88120E505D33}"/>
    <cellStyle name="Normal 5 2 2 2 2 2 2 6 3" xfId="11064" xr:uid="{8053325B-D2DE-4764-BD39-256FB83B2A25}"/>
    <cellStyle name="Normal 5 2 2 2 2 2 2 7" xfId="4788" xr:uid="{00000000-0005-0000-0000-00000C170000}"/>
    <cellStyle name="Normal 5 2 2 2 2 2 2 7 2" xfId="13217" xr:uid="{6E6685F6-93B9-46EB-B588-536EF1A9B481}"/>
    <cellStyle name="Normal 5 2 2 2 2 2 2 8" xfId="8999" xr:uid="{3492B5D2-878A-4259-A66E-D7D5FE699D8D}"/>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95E80B4E-9633-460C-9FB4-C32C65F06E6A}"/>
    <cellStyle name="Normal 5 2 2 2 2 2 3 2 3" xfId="11556" xr:uid="{88728EA9-DF24-42C3-BB3D-32009CB5D5E4}"/>
    <cellStyle name="Normal 5 2 2 2 2 2 3 3" xfId="5200" xr:uid="{00000000-0005-0000-0000-000010170000}"/>
    <cellStyle name="Normal 5 2 2 2 2 2 3 3 2" xfId="13629" xr:uid="{1F802569-9733-4C60-9EC9-3459C246A82E}"/>
    <cellStyle name="Normal 5 2 2 2 2 2 3 4" xfId="9411" xr:uid="{1B54FE63-9CF1-4DD8-BB1D-191037DDA085}"/>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7A6328DC-A679-4BF2-B7BE-A8BE9FDE6879}"/>
    <cellStyle name="Normal 5 2 2 2 2 2 4 2 3" xfId="11969" xr:uid="{523D9C63-8400-4F47-8553-7414B9450919}"/>
    <cellStyle name="Normal 5 2 2 2 2 2 4 3" xfId="5613" xr:uid="{00000000-0005-0000-0000-000014170000}"/>
    <cellStyle name="Normal 5 2 2 2 2 2 4 3 2" xfId="14042" xr:uid="{A7AC2486-81B3-4731-8A1B-B0658904CFA6}"/>
    <cellStyle name="Normal 5 2 2 2 2 2 4 4" xfId="9824" xr:uid="{01A9B2AB-578A-476B-826C-95B410F5DE66}"/>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E7BE16F7-3DA8-40F2-984D-008475DCF8AD}"/>
    <cellStyle name="Normal 5 2 2 2 2 2 5 2 3" xfId="12382" xr:uid="{5D83CDBD-2B1E-4B08-AE1E-10D8050D33B3}"/>
    <cellStyle name="Normal 5 2 2 2 2 2 5 3" xfId="6026" xr:uid="{00000000-0005-0000-0000-000018170000}"/>
    <cellStyle name="Normal 5 2 2 2 2 2 5 3 2" xfId="14455" xr:uid="{A54EB819-A28C-475F-8773-2A3CFE952CFD}"/>
    <cellStyle name="Normal 5 2 2 2 2 2 5 4" xfId="10237" xr:uid="{79DE297E-18BF-491F-98C7-4ED6DE8DB334}"/>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6686F0EB-DC28-4750-9092-FFC74378EF92}"/>
    <cellStyle name="Normal 5 2 2 2 2 2 6 2 3" xfId="12795" xr:uid="{6126C892-C823-4888-80F7-32E091707C5F}"/>
    <cellStyle name="Normal 5 2 2 2 2 2 6 3" xfId="6439" xr:uid="{00000000-0005-0000-0000-00001C170000}"/>
    <cellStyle name="Normal 5 2 2 2 2 2 6 3 2" xfId="14868" xr:uid="{ADDA6CC3-82CA-48FE-8AA0-9D3D9E45F643}"/>
    <cellStyle name="Normal 5 2 2 2 2 2 6 4" xfId="10650" xr:uid="{DE924790-1057-43B0-8451-2C017D1DEC21}"/>
    <cellStyle name="Normal 5 2 2 2 2 2 7" xfId="2567" xr:uid="{00000000-0005-0000-0000-00001D170000}"/>
    <cellStyle name="Normal 5 2 2 2 2 2 7 2" xfId="6852" xr:uid="{00000000-0005-0000-0000-00001E170000}"/>
    <cellStyle name="Normal 5 2 2 2 2 2 7 2 2" xfId="15281" xr:uid="{C4D09CE4-4423-48D0-8287-B59756F77059}"/>
    <cellStyle name="Normal 5 2 2 2 2 2 7 3" xfId="11063" xr:uid="{64737CB8-67AD-4EEE-A7CA-6212B073D4D3}"/>
    <cellStyle name="Normal 5 2 2 2 2 2 8" xfId="4787" xr:uid="{00000000-0005-0000-0000-00001F170000}"/>
    <cellStyle name="Normal 5 2 2 2 2 2 8 2" xfId="13216" xr:uid="{AB57C267-C1D2-40C2-8D71-9A55A44E4F5F}"/>
    <cellStyle name="Normal 5 2 2 2 2 2 9" xfId="8998" xr:uid="{42F8B3E6-C302-4A79-9E9A-76C27A242D1A}"/>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6550A5A2-ED65-4951-87B2-7DD69E96238A}"/>
    <cellStyle name="Normal 5 2 2 2 2 3 2 2 3" xfId="11558" xr:uid="{C611DCF7-F2B3-4019-86E6-9B8F5344B9C7}"/>
    <cellStyle name="Normal 5 2 2 2 2 3 2 3" xfId="5202" xr:uid="{00000000-0005-0000-0000-000024170000}"/>
    <cellStyle name="Normal 5 2 2 2 2 3 2 3 2" xfId="13631" xr:uid="{BE773959-620E-4479-BB21-59464EDA9590}"/>
    <cellStyle name="Normal 5 2 2 2 2 3 2 4" xfId="9413" xr:uid="{F2D75A42-AB62-4439-BCA3-20C2B0D80A81}"/>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FDE8F526-5BD6-4821-B267-484B1CB44FF4}"/>
    <cellStyle name="Normal 5 2 2 2 2 3 3 2 3" xfId="11971" xr:uid="{30B8D915-6BD4-4D03-B878-DB095D6E58A7}"/>
    <cellStyle name="Normal 5 2 2 2 2 3 3 3" xfId="5615" xr:uid="{00000000-0005-0000-0000-000028170000}"/>
    <cellStyle name="Normal 5 2 2 2 2 3 3 3 2" xfId="14044" xr:uid="{FDD1A880-04FC-4853-B82C-251AA359024D}"/>
    <cellStyle name="Normal 5 2 2 2 2 3 3 4" xfId="9826" xr:uid="{C3A2B673-CAE6-4E15-B4A5-44FB0CE16B27}"/>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0FF6BD0C-4443-4680-99B2-EF5D521105B7}"/>
    <cellStyle name="Normal 5 2 2 2 2 3 4 2 3" xfId="12384" xr:uid="{C8068DC9-C250-4127-8339-4080790EA231}"/>
    <cellStyle name="Normal 5 2 2 2 2 3 4 3" xfId="6028" xr:uid="{00000000-0005-0000-0000-00002C170000}"/>
    <cellStyle name="Normal 5 2 2 2 2 3 4 3 2" xfId="14457" xr:uid="{29751BF9-0810-4B85-A64C-F380ED0C0104}"/>
    <cellStyle name="Normal 5 2 2 2 2 3 4 4" xfId="10239" xr:uid="{B015E2AE-E359-4231-8871-4D482DAFD18D}"/>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A7C56BDA-DE86-48E4-A695-268007A01F57}"/>
    <cellStyle name="Normal 5 2 2 2 2 3 5 2 3" xfId="12797" xr:uid="{5AD992A1-A149-4E86-9DB9-B402E1AD8696}"/>
    <cellStyle name="Normal 5 2 2 2 2 3 5 3" xfId="6441" xr:uid="{00000000-0005-0000-0000-000030170000}"/>
    <cellStyle name="Normal 5 2 2 2 2 3 5 3 2" xfId="14870" xr:uid="{07777650-2690-467A-92AE-A7E4F5F697B8}"/>
    <cellStyle name="Normal 5 2 2 2 2 3 5 4" xfId="10652" xr:uid="{501FC9EF-9C81-4B1A-8591-0508E615D24A}"/>
    <cellStyle name="Normal 5 2 2 2 2 3 6" xfId="2569" xr:uid="{00000000-0005-0000-0000-000031170000}"/>
    <cellStyle name="Normal 5 2 2 2 2 3 6 2" xfId="6854" xr:uid="{00000000-0005-0000-0000-000032170000}"/>
    <cellStyle name="Normal 5 2 2 2 2 3 6 2 2" xfId="15283" xr:uid="{DB3D518E-1B1D-457B-93E4-4B23F5C5E4F6}"/>
    <cellStyle name="Normal 5 2 2 2 2 3 6 3" xfId="11065" xr:uid="{BB6C2447-1367-4167-80E2-151674F99C7C}"/>
    <cellStyle name="Normal 5 2 2 2 2 3 7" xfId="4789" xr:uid="{00000000-0005-0000-0000-000033170000}"/>
    <cellStyle name="Normal 5 2 2 2 2 3 7 2" xfId="13218" xr:uid="{6BB9B97E-6F46-4D0E-9BDF-600CD41996AB}"/>
    <cellStyle name="Normal 5 2 2 2 2 3 8" xfId="9000" xr:uid="{86D6EB28-81B4-4D47-A430-0EDAF6965AE2}"/>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91C47F73-DAD5-4841-AC5D-46F8DFA90551}"/>
    <cellStyle name="Normal 5 2 2 2 2 4 2 3" xfId="11555" xr:uid="{2092201E-E629-4FFF-B23C-D18BFBD6AD31}"/>
    <cellStyle name="Normal 5 2 2 2 2 4 3" xfId="5199" xr:uid="{00000000-0005-0000-0000-000037170000}"/>
    <cellStyle name="Normal 5 2 2 2 2 4 3 2" xfId="13628" xr:uid="{4510E560-88E9-4C38-8870-B7443F969716}"/>
    <cellStyle name="Normal 5 2 2 2 2 4 4" xfId="9410" xr:uid="{0332B7CE-36EE-4436-9F09-118AB8631B27}"/>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BA7AC238-6790-4D1A-8CFA-606A0FFEC1DF}"/>
    <cellStyle name="Normal 5 2 2 2 2 5 2 3" xfId="11968" xr:uid="{5356C5D8-1987-48A7-9F76-32F118BC5650}"/>
    <cellStyle name="Normal 5 2 2 2 2 5 3" xfId="5612" xr:uid="{00000000-0005-0000-0000-00003B170000}"/>
    <cellStyle name="Normal 5 2 2 2 2 5 3 2" xfId="14041" xr:uid="{5DD56352-813D-47DD-AD1C-F287FBE7CC4A}"/>
    <cellStyle name="Normal 5 2 2 2 2 5 4" xfId="9823" xr:uid="{17C75AF5-A9DC-4405-8D58-F180C7DE937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1028ECF8-CE86-47BC-A13B-9A44D2A44013}"/>
    <cellStyle name="Normal 5 2 2 2 2 6 2 3" xfId="12381" xr:uid="{E2A6B95D-275D-40CB-84CC-18374FA9E60A}"/>
    <cellStyle name="Normal 5 2 2 2 2 6 3" xfId="6025" xr:uid="{00000000-0005-0000-0000-00003F170000}"/>
    <cellStyle name="Normal 5 2 2 2 2 6 3 2" xfId="14454" xr:uid="{6215BCFC-DE83-45A1-A122-A2207E19B3F4}"/>
    <cellStyle name="Normal 5 2 2 2 2 6 4" xfId="10236" xr:uid="{8290E21B-AAFA-491D-937C-E4FB5B5EFE85}"/>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4DA665AE-7386-41C0-98D8-D9CD63AAB4EF}"/>
    <cellStyle name="Normal 5 2 2 2 2 7 2 3" xfId="12794" xr:uid="{FE905265-811B-4E94-94D7-BDC052192AAB}"/>
    <cellStyle name="Normal 5 2 2 2 2 7 3" xfId="6438" xr:uid="{00000000-0005-0000-0000-000043170000}"/>
    <cellStyle name="Normal 5 2 2 2 2 7 3 2" xfId="14867" xr:uid="{C62495EB-FF75-4AAA-B6D0-277097414D92}"/>
    <cellStyle name="Normal 5 2 2 2 2 7 4" xfId="10649" xr:uid="{584EFD64-EFBC-4C97-8B94-29F9079EAB35}"/>
    <cellStyle name="Normal 5 2 2 2 2 8" xfId="2566" xr:uid="{00000000-0005-0000-0000-000044170000}"/>
    <cellStyle name="Normal 5 2 2 2 2 8 2" xfId="6851" xr:uid="{00000000-0005-0000-0000-000045170000}"/>
    <cellStyle name="Normal 5 2 2 2 2 8 2 2" xfId="15280" xr:uid="{0B4BC388-4A1E-481A-AF4E-C8925FEBAC68}"/>
    <cellStyle name="Normal 5 2 2 2 2 8 3" xfId="11062" xr:uid="{325C8B3C-3E9E-4EBD-86EC-F379AACDDFA4}"/>
    <cellStyle name="Normal 5 2 2 2 2 9" xfId="4786" xr:uid="{00000000-0005-0000-0000-000046170000}"/>
    <cellStyle name="Normal 5 2 2 2 2 9 2" xfId="13215" xr:uid="{A662C1CB-890B-451D-8B07-0E7CFB5E1532}"/>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E578C2EB-524B-43FF-998D-A0FBD11029E2}"/>
    <cellStyle name="Normal 5 2 2 2 3 2 2 2 3" xfId="11560" xr:uid="{67F588C5-9F6B-4A85-8134-F62582B1B18F}"/>
    <cellStyle name="Normal 5 2 2 2 3 2 2 3" xfId="5204" xr:uid="{00000000-0005-0000-0000-00004C170000}"/>
    <cellStyle name="Normal 5 2 2 2 3 2 2 3 2" xfId="13633" xr:uid="{9DA2C6DD-D37F-486C-902D-A11598801230}"/>
    <cellStyle name="Normal 5 2 2 2 3 2 2 4" xfId="9415" xr:uid="{82005E29-4B53-4636-B91C-597956729E99}"/>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C69A6D2B-A5A5-49E8-89E5-A94C313FDCE1}"/>
    <cellStyle name="Normal 5 2 2 2 3 2 3 2 3" xfId="11973" xr:uid="{C70DF36C-4547-47BC-B63A-DBD072AC2159}"/>
    <cellStyle name="Normal 5 2 2 2 3 2 3 3" xfId="5617" xr:uid="{00000000-0005-0000-0000-000050170000}"/>
    <cellStyle name="Normal 5 2 2 2 3 2 3 3 2" xfId="14046" xr:uid="{8BE1CDB2-6A8E-4D68-A7FC-61AEE322A68A}"/>
    <cellStyle name="Normal 5 2 2 2 3 2 3 4" xfId="9828" xr:uid="{7CF59E94-099E-4C57-87C7-3070BE24801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6D9F8B36-91A6-4CC3-8805-E2E177B78A18}"/>
    <cellStyle name="Normal 5 2 2 2 3 2 4 2 3" xfId="12386" xr:uid="{8C63E1F5-94B0-47E4-84F1-E9688177AEC1}"/>
    <cellStyle name="Normal 5 2 2 2 3 2 4 3" xfId="6030" xr:uid="{00000000-0005-0000-0000-000054170000}"/>
    <cellStyle name="Normal 5 2 2 2 3 2 4 3 2" xfId="14459" xr:uid="{894F2173-9975-4A58-A974-042A4FD8EBAB}"/>
    <cellStyle name="Normal 5 2 2 2 3 2 4 4" xfId="10241" xr:uid="{5BF73B7B-2663-4BD2-9447-C8860F13BF81}"/>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56F8F385-7113-42BF-9C27-EBE332F0C891}"/>
    <cellStyle name="Normal 5 2 2 2 3 2 5 2 3" xfId="12799" xr:uid="{FBAC6425-6D83-4485-9AF2-8D8FE12CCACB}"/>
    <cellStyle name="Normal 5 2 2 2 3 2 5 3" xfId="6443" xr:uid="{00000000-0005-0000-0000-000058170000}"/>
    <cellStyle name="Normal 5 2 2 2 3 2 5 3 2" xfId="14872" xr:uid="{4B96AE51-AFF7-42CC-A086-6A29508696E4}"/>
    <cellStyle name="Normal 5 2 2 2 3 2 5 4" xfId="10654" xr:uid="{6DEAA0CB-E88E-488E-9109-A0FF25AA8AB8}"/>
    <cellStyle name="Normal 5 2 2 2 3 2 6" xfId="2571" xr:uid="{00000000-0005-0000-0000-000059170000}"/>
    <cellStyle name="Normal 5 2 2 2 3 2 6 2" xfId="6856" xr:uid="{00000000-0005-0000-0000-00005A170000}"/>
    <cellStyle name="Normal 5 2 2 2 3 2 6 2 2" xfId="15285" xr:uid="{D2367B57-4833-4D4D-AC1C-57F0C8008C22}"/>
    <cellStyle name="Normal 5 2 2 2 3 2 6 3" xfId="11067" xr:uid="{766B74F2-7B18-4447-AA76-831173137687}"/>
    <cellStyle name="Normal 5 2 2 2 3 2 7" xfId="4791" xr:uid="{00000000-0005-0000-0000-00005B170000}"/>
    <cellStyle name="Normal 5 2 2 2 3 2 7 2" xfId="13220" xr:uid="{4D9324AE-30F9-4051-9ED6-155C0EA0478B}"/>
    <cellStyle name="Normal 5 2 2 2 3 2 8" xfId="9002" xr:uid="{40BE96CC-3498-430D-80DD-51A87A954E5F}"/>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078BA6BE-A1F8-44FB-8A43-EB1C2A2F4621}"/>
    <cellStyle name="Normal 5 2 2 2 3 3 2 3" xfId="11559" xr:uid="{69C1A2EB-4727-4BD3-A1FA-3A59A06C870A}"/>
    <cellStyle name="Normal 5 2 2 2 3 3 3" xfId="5203" xr:uid="{00000000-0005-0000-0000-00005F170000}"/>
    <cellStyle name="Normal 5 2 2 2 3 3 3 2" xfId="13632" xr:uid="{731F4DBD-C1A5-4D8A-88E5-73C535A61CB9}"/>
    <cellStyle name="Normal 5 2 2 2 3 3 4" xfId="9414" xr:uid="{F3CAF257-D417-44B2-B2F4-FB2A2276FB96}"/>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8BA77304-0EAC-456F-831B-F3904F18CE5D}"/>
    <cellStyle name="Normal 5 2 2 2 3 4 2 3" xfId="11972" xr:uid="{05CD114D-CCFB-499F-8B02-376EFE7352E4}"/>
    <cellStyle name="Normal 5 2 2 2 3 4 3" xfId="5616" xr:uid="{00000000-0005-0000-0000-000063170000}"/>
    <cellStyle name="Normal 5 2 2 2 3 4 3 2" xfId="14045" xr:uid="{C76ECC48-453A-4CD8-BF2E-C0809A2D18E6}"/>
    <cellStyle name="Normal 5 2 2 2 3 4 4" xfId="9827" xr:uid="{A7F83596-8B2C-4788-9073-455E5B47CE26}"/>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A680885E-2652-4B2F-8B5F-46DB2D7BCAF4}"/>
    <cellStyle name="Normal 5 2 2 2 3 5 2 3" xfId="12385" xr:uid="{3322C947-0F84-4A5D-B724-A0CDB5D345BA}"/>
    <cellStyle name="Normal 5 2 2 2 3 5 3" xfId="6029" xr:uid="{00000000-0005-0000-0000-000067170000}"/>
    <cellStyle name="Normal 5 2 2 2 3 5 3 2" xfId="14458" xr:uid="{479C0F14-8CBD-4B31-82E1-2B0D1C21C24B}"/>
    <cellStyle name="Normal 5 2 2 2 3 5 4" xfId="10240" xr:uid="{B53D3687-FD17-4838-A761-4A17D3FA1D5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9D96FC03-D1D9-48D8-AE1D-09B0DAD44F4C}"/>
    <cellStyle name="Normal 5 2 2 2 3 6 2 3" xfId="12798" xr:uid="{B31F0250-646D-49D2-A712-AD91DA79BAC3}"/>
    <cellStyle name="Normal 5 2 2 2 3 6 3" xfId="6442" xr:uid="{00000000-0005-0000-0000-00006B170000}"/>
    <cellStyle name="Normal 5 2 2 2 3 6 3 2" xfId="14871" xr:uid="{6C7742F5-B6FA-4CC3-B3A9-F057E410999E}"/>
    <cellStyle name="Normal 5 2 2 2 3 6 4" xfId="10653" xr:uid="{4896AD69-9006-4E96-AF54-CE60774F131F}"/>
    <cellStyle name="Normal 5 2 2 2 3 7" xfId="2570" xr:uid="{00000000-0005-0000-0000-00006C170000}"/>
    <cellStyle name="Normal 5 2 2 2 3 7 2" xfId="6855" xr:uid="{00000000-0005-0000-0000-00006D170000}"/>
    <cellStyle name="Normal 5 2 2 2 3 7 2 2" xfId="15284" xr:uid="{793C77E2-BABE-4946-A3E8-EA7099BD8E37}"/>
    <cellStyle name="Normal 5 2 2 2 3 7 3" xfId="11066" xr:uid="{487397E6-294C-46FA-A2CA-8EE57E163A7A}"/>
    <cellStyle name="Normal 5 2 2 2 3 8" xfId="4790" xr:uid="{00000000-0005-0000-0000-00006E170000}"/>
    <cellStyle name="Normal 5 2 2 2 3 8 2" xfId="13219" xr:uid="{9E41E9C1-CD86-4B65-9719-515C6099DE7B}"/>
    <cellStyle name="Normal 5 2 2 2 3 9" xfId="9001" xr:uid="{E45CF8A7-4C7C-4DF6-AFAB-84FE4338BD63}"/>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43889878-0152-4312-A5A8-4449C8E71CC9}"/>
    <cellStyle name="Normal 5 2 2 2 4 2 2 3" xfId="11561" xr:uid="{51114DE1-50AE-4B34-825A-0597C406E646}"/>
    <cellStyle name="Normal 5 2 2 2 4 2 3" xfId="5205" xr:uid="{00000000-0005-0000-0000-000073170000}"/>
    <cellStyle name="Normal 5 2 2 2 4 2 3 2" xfId="13634" xr:uid="{2725769B-75CA-4D21-B016-71829EF1BED9}"/>
    <cellStyle name="Normal 5 2 2 2 4 2 4" xfId="9416" xr:uid="{AFB5E9B7-38B6-4F25-A5AA-15EA281E6654}"/>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821C715D-D840-48E3-B20F-116D673BEF38}"/>
    <cellStyle name="Normal 5 2 2 2 4 3 2 3" xfId="11974" xr:uid="{9C74FBE9-DCA2-4651-A876-413E2EAA9619}"/>
    <cellStyle name="Normal 5 2 2 2 4 3 3" xfId="5618" xr:uid="{00000000-0005-0000-0000-000077170000}"/>
    <cellStyle name="Normal 5 2 2 2 4 3 3 2" xfId="14047" xr:uid="{B2CBC277-076D-42D5-BCF6-8F5A741EB72A}"/>
    <cellStyle name="Normal 5 2 2 2 4 3 4" xfId="9829" xr:uid="{F9BACCC8-933D-416E-9B3E-45E83B569F75}"/>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C699D9E7-B83F-4BBF-9008-4AD811D3CAD2}"/>
    <cellStyle name="Normal 5 2 2 2 4 4 2 3" xfId="12387" xr:uid="{775D4173-3A98-46D6-B059-9E0112208B54}"/>
    <cellStyle name="Normal 5 2 2 2 4 4 3" xfId="6031" xr:uid="{00000000-0005-0000-0000-00007B170000}"/>
    <cellStyle name="Normal 5 2 2 2 4 4 3 2" xfId="14460" xr:uid="{DF7F057D-271F-447D-B8F4-520E047ADA20}"/>
    <cellStyle name="Normal 5 2 2 2 4 4 4" xfId="10242" xr:uid="{E3E0AB20-D6B4-4C2A-A18B-568FCDC1DE78}"/>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A97B8036-7680-4CD0-A9E9-D36DF852A37D}"/>
    <cellStyle name="Normal 5 2 2 2 4 5 2 3" xfId="12800" xr:uid="{AEC9CC6B-0178-4509-8891-EE81F0CA0B3C}"/>
    <cellStyle name="Normal 5 2 2 2 4 5 3" xfId="6444" xr:uid="{00000000-0005-0000-0000-00007F170000}"/>
    <cellStyle name="Normal 5 2 2 2 4 5 3 2" xfId="14873" xr:uid="{70267A24-CC1D-4862-BF63-857C3BFC4D39}"/>
    <cellStyle name="Normal 5 2 2 2 4 5 4" xfId="10655" xr:uid="{3F876FDC-4AA4-4E08-8F4F-8BA5F51A0154}"/>
    <cellStyle name="Normal 5 2 2 2 4 6" xfId="2572" xr:uid="{00000000-0005-0000-0000-000080170000}"/>
    <cellStyle name="Normal 5 2 2 2 4 6 2" xfId="6857" xr:uid="{00000000-0005-0000-0000-000081170000}"/>
    <cellStyle name="Normal 5 2 2 2 4 6 2 2" xfId="15286" xr:uid="{22600D20-261A-4B65-8769-4192894A3D44}"/>
    <cellStyle name="Normal 5 2 2 2 4 6 3" xfId="11068" xr:uid="{FB71B214-E454-40EC-A9EF-7F1803FEDFC7}"/>
    <cellStyle name="Normal 5 2 2 2 4 7" xfId="4792" xr:uid="{00000000-0005-0000-0000-000082170000}"/>
    <cellStyle name="Normal 5 2 2 2 4 7 2" xfId="13221" xr:uid="{658402E8-9EA2-4FEE-9BF4-B07FCC05F647}"/>
    <cellStyle name="Normal 5 2 2 2 4 8" xfId="9003" xr:uid="{AA72EA5F-E500-4446-BB95-30A96413ECD1}"/>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64FBCE13-A781-4F07-91B6-71EA0451A566}"/>
    <cellStyle name="Normal 5 2 2 2 5 2 3" xfId="11554" xr:uid="{000F07E7-EEA0-4F8D-836E-9E8E13D642AC}"/>
    <cellStyle name="Normal 5 2 2 2 5 3" xfId="5198" xr:uid="{00000000-0005-0000-0000-000086170000}"/>
    <cellStyle name="Normal 5 2 2 2 5 3 2" xfId="13627" xr:uid="{E1275C98-F2DA-43C5-BB88-570F892C2715}"/>
    <cellStyle name="Normal 5 2 2 2 5 4" xfId="9409" xr:uid="{87356747-2B0A-4020-AA56-42A9597A097C}"/>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7E27409D-2E24-4593-A955-BAD0F0A33D29}"/>
    <cellStyle name="Normal 5 2 2 2 6 2 3" xfId="11967" xr:uid="{519808B9-E865-4FE2-9E83-7E4FB1C7B266}"/>
    <cellStyle name="Normal 5 2 2 2 6 3" xfId="5611" xr:uid="{00000000-0005-0000-0000-00008A170000}"/>
    <cellStyle name="Normal 5 2 2 2 6 3 2" xfId="14040" xr:uid="{6412F476-1517-482A-804F-A696F7EBE528}"/>
    <cellStyle name="Normal 5 2 2 2 6 4" xfId="9822" xr:uid="{E53EAF95-35F2-434F-9A45-2212E2DB0635}"/>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AE1A790B-99CE-4932-8F8D-C9589D4C144A}"/>
    <cellStyle name="Normal 5 2 2 2 7 2 3" xfId="12380" xr:uid="{4BC9A653-B510-448F-AB2C-A36968F5E9F6}"/>
    <cellStyle name="Normal 5 2 2 2 7 3" xfId="6024" xr:uid="{00000000-0005-0000-0000-00008E170000}"/>
    <cellStyle name="Normal 5 2 2 2 7 3 2" xfId="14453" xr:uid="{483886CD-F31F-4183-BDBA-F8649BAEF3BD}"/>
    <cellStyle name="Normal 5 2 2 2 7 4" xfId="10235" xr:uid="{1191B5DB-B598-47E4-A6EA-C28E1BF19B7D}"/>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99BAC1C9-7BD1-4C6C-A71A-D1F7486190DF}"/>
    <cellStyle name="Normal 5 2 2 2 8 2 3" xfId="12793" xr:uid="{3BDBE98D-D5AF-4C87-AF08-CFB1DE0C6B18}"/>
    <cellStyle name="Normal 5 2 2 2 8 3" xfId="6437" xr:uid="{00000000-0005-0000-0000-000092170000}"/>
    <cellStyle name="Normal 5 2 2 2 8 3 2" xfId="14866" xr:uid="{B4E195B8-E6E0-4BCD-8890-44AF20CB7CA3}"/>
    <cellStyle name="Normal 5 2 2 2 8 4" xfId="10648" xr:uid="{EE8B4793-344B-4EAD-B5D9-E2A2B5E29A6A}"/>
    <cellStyle name="Normal 5 2 2 2 9" xfId="2565" xr:uid="{00000000-0005-0000-0000-000093170000}"/>
    <cellStyle name="Normal 5 2 2 2 9 2" xfId="6850" xr:uid="{00000000-0005-0000-0000-000094170000}"/>
    <cellStyle name="Normal 5 2 2 2 9 2 2" xfId="15279" xr:uid="{55F224FB-EC0C-472F-B363-96F5C357A716}"/>
    <cellStyle name="Normal 5 2 2 2 9 3" xfId="11061" xr:uid="{F985F940-5CF6-442E-955E-9DE907F0E36C}"/>
    <cellStyle name="Normal 5 2 2 3" xfId="417" xr:uid="{00000000-0005-0000-0000-000095170000}"/>
    <cellStyle name="Normal 5 2 2 3 10" xfId="9004" xr:uid="{2AE90A28-C7B8-409C-9967-AA3D155FC323}"/>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26CA8598-5EDA-4316-AE8A-49B50D954934}"/>
    <cellStyle name="Normal 5 2 2 3 2 2 2 2 3" xfId="11564" xr:uid="{55B64E7C-89FA-46B7-9248-032C8196BB72}"/>
    <cellStyle name="Normal 5 2 2 3 2 2 2 3" xfId="5208" xr:uid="{00000000-0005-0000-0000-00009B170000}"/>
    <cellStyle name="Normal 5 2 2 3 2 2 2 3 2" xfId="13637" xr:uid="{214A8525-A6A1-45F9-9F92-684D749160C5}"/>
    <cellStyle name="Normal 5 2 2 3 2 2 2 4" xfId="9419" xr:uid="{3A597EE5-5C30-4DD3-A458-D6A760B8D1A4}"/>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697258FD-3464-40AD-9646-0DD0DE72F265}"/>
    <cellStyle name="Normal 5 2 2 3 2 2 3 2 3" xfId="11977" xr:uid="{CA5A0BE6-185B-4C1A-9583-72A734197A58}"/>
    <cellStyle name="Normal 5 2 2 3 2 2 3 3" xfId="5621" xr:uid="{00000000-0005-0000-0000-00009F170000}"/>
    <cellStyle name="Normal 5 2 2 3 2 2 3 3 2" xfId="14050" xr:uid="{1D3E3BF4-4469-4EE0-B725-8C623742ECB4}"/>
    <cellStyle name="Normal 5 2 2 3 2 2 3 4" xfId="9832" xr:uid="{2E2376D3-92E7-47CB-824B-E0845E2B631D}"/>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AF22DE3B-4AD0-4B90-A426-73B19F0C7017}"/>
    <cellStyle name="Normal 5 2 2 3 2 2 4 2 3" xfId="12390" xr:uid="{A93CFCF3-A109-47A8-8053-549DAA5D9151}"/>
    <cellStyle name="Normal 5 2 2 3 2 2 4 3" xfId="6034" xr:uid="{00000000-0005-0000-0000-0000A3170000}"/>
    <cellStyle name="Normal 5 2 2 3 2 2 4 3 2" xfId="14463" xr:uid="{C90AA65A-C35A-4026-AEF4-010975C6785F}"/>
    <cellStyle name="Normal 5 2 2 3 2 2 4 4" xfId="10245" xr:uid="{6636C249-88CD-4620-AB95-83C016755995}"/>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43CCCABE-66BB-46C6-BF09-B0E269417016}"/>
    <cellStyle name="Normal 5 2 2 3 2 2 5 2 3" xfId="12803" xr:uid="{307188B9-8A13-4178-B15E-C1AF8043B6A4}"/>
    <cellStyle name="Normal 5 2 2 3 2 2 5 3" xfId="6447" xr:uid="{00000000-0005-0000-0000-0000A7170000}"/>
    <cellStyle name="Normal 5 2 2 3 2 2 5 3 2" xfId="14876" xr:uid="{8645CF35-9D2C-4E8B-A8D8-870E8DEC9E1B}"/>
    <cellStyle name="Normal 5 2 2 3 2 2 5 4" xfId="10658" xr:uid="{A66AEEE3-BF02-49C1-A5AD-67EBDD078F49}"/>
    <cellStyle name="Normal 5 2 2 3 2 2 6" xfId="2575" xr:uid="{00000000-0005-0000-0000-0000A8170000}"/>
    <cellStyle name="Normal 5 2 2 3 2 2 6 2" xfId="6860" xr:uid="{00000000-0005-0000-0000-0000A9170000}"/>
    <cellStyle name="Normal 5 2 2 3 2 2 6 2 2" xfId="15289" xr:uid="{ED782873-D651-4604-BF4F-8AF9DEB92A79}"/>
    <cellStyle name="Normal 5 2 2 3 2 2 6 3" xfId="11071" xr:uid="{5B2F2EDD-7FEC-4EF1-A22E-62CE375FDD51}"/>
    <cellStyle name="Normal 5 2 2 3 2 2 7" xfId="4795" xr:uid="{00000000-0005-0000-0000-0000AA170000}"/>
    <cellStyle name="Normal 5 2 2 3 2 2 7 2" xfId="13224" xr:uid="{A358BD32-9F18-41AE-8D7C-A3764FA9B9C7}"/>
    <cellStyle name="Normal 5 2 2 3 2 2 8" xfId="9006" xr:uid="{7E50509D-EAE8-442B-8402-544A494D7D7D}"/>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90606D27-F0BD-496C-8508-38292442E541}"/>
    <cellStyle name="Normal 5 2 2 3 2 3 2 3" xfId="11563" xr:uid="{AFE9FE34-8C15-4579-B33F-A24897D1A228}"/>
    <cellStyle name="Normal 5 2 2 3 2 3 3" xfId="5207" xr:uid="{00000000-0005-0000-0000-0000AE170000}"/>
    <cellStyle name="Normal 5 2 2 3 2 3 3 2" xfId="13636" xr:uid="{F0314C9B-FBC1-4AC0-A7B1-7BACE42CCD64}"/>
    <cellStyle name="Normal 5 2 2 3 2 3 4" xfId="9418" xr:uid="{4AFB642D-64D0-4069-92AB-BB1C0E9C2071}"/>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14406BDE-5A84-4E04-82D8-1611F17DCA67}"/>
    <cellStyle name="Normal 5 2 2 3 2 4 2 3" xfId="11976" xr:uid="{8CD725E9-7B53-4AC0-AF7E-FDC49C08708C}"/>
    <cellStyle name="Normal 5 2 2 3 2 4 3" xfId="5620" xr:uid="{00000000-0005-0000-0000-0000B2170000}"/>
    <cellStyle name="Normal 5 2 2 3 2 4 3 2" xfId="14049" xr:uid="{5C0BB982-8546-4BA1-BA0E-1382E047DCFD}"/>
    <cellStyle name="Normal 5 2 2 3 2 4 4" xfId="9831" xr:uid="{94945CAD-F348-46CD-A2CF-D0A25E56C515}"/>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0593A217-8FBE-458D-8DBE-C3D3F62304AC}"/>
    <cellStyle name="Normal 5 2 2 3 2 5 2 3" xfId="12389" xr:uid="{CD11165A-FC61-4596-A491-4D4757F5D33C}"/>
    <cellStyle name="Normal 5 2 2 3 2 5 3" xfId="6033" xr:uid="{00000000-0005-0000-0000-0000B6170000}"/>
    <cellStyle name="Normal 5 2 2 3 2 5 3 2" xfId="14462" xr:uid="{71B56554-046D-4F9B-9C16-FA18EC88F204}"/>
    <cellStyle name="Normal 5 2 2 3 2 5 4" xfId="10244" xr:uid="{A2507C4F-6C08-4E70-9C23-11C10CD8361F}"/>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A4334E93-E7D4-41F1-A116-AF6082BD60EA}"/>
    <cellStyle name="Normal 5 2 2 3 2 6 2 3" xfId="12802" xr:uid="{EC53573E-070D-42AF-BFFF-93EBD183B2D7}"/>
    <cellStyle name="Normal 5 2 2 3 2 6 3" xfId="6446" xr:uid="{00000000-0005-0000-0000-0000BA170000}"/>
    <cellStyle name="Normal 5 2 2 3 2 6 3 2" xfId="14875" xr:uid="{99993DB5-9906-4D4A-8A6F-49FF48D8B688}"/>
    <cellStyle name="Normal 5 2 2 3 2 6 4" xfId="10657" xr:uid="{046E17E7-7A52-414C-B27E-6A48FFF79D81}"/>
    <cellStyle name="Normal 5 2 2 3 2 7" xfId="2574" xr:uid="{00000000-0005-0000-0000-0000BB170000}"/>
    <cellStyle name="Normal 5 2 2 3 2 7 2" xfId="6859" xr:uid="{00000000-0005-0000-0000-0000BC170000}"/>
    <cellStyle name="Normal 5 2 2 3 2 7 2 2" xfId="15288" xr:uid="{9034AC5F-9C12-4204-AC31-30D45C506DB7}"/>
    <cellStyle name="Normal 5 2 2 3 2 7 3" xfId="11070" xr:uid="{C78C3184-F22D-41E2-BDA5-4530FA52AFFD}"/>
    <cellStyle name="Normal 5 2 2 3 2 8" xfId="4794" xr:uid="{00000000-0005-0000-0000-0000BD170000}"/>
    <cellStyle name="Normal 5 2 2 3 2 8 2" xfId="13223" xr:uid="{7A032625-B2F9-4339-9EFB-3861BE285A0B}"/>
    <cellStyle name="Normal 5 2 2 3 2 9" xfId="9005" xr:uid="{00145C3A-B4B8-4A49-8770-FFC257FE395C}"/>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FF808F0C-F083-4412-9B12-D719B02083B6}"/>
    <cellStyle name="Normal 5 2 2 3 3 2 2 3" xfId="11565" xr:uid="{829C8923-3792-4435-951F-E7487B0575AD}"/>
    <cellStyle name="Normal 5 2 2 3 3 2 3" xfId="5209" xr:uid="{00000000-0005-0000-0000-0000C2170000}"/>
    <cellStyle name="Normal 5 2 2 3 3 2 3 2" xfId="13638" xr:uid="{E98885E9-E492-4623-95C9-6C70C7C9ED95}"/>
    <cellStyle name="Normal 5 2 2 3 3 2 4" xfId="9420" xr:uid="{AB642906-CE14-4E74-9CC5-586518C9203E}"/>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2E645E39-FD69-4B9E-BC8A-1C2830C7D530}"/>
    <cellStyle name="Normal 5 2 2 3 3 3 2 3" xfId="11978" xr:uid="{6A93797A-DD8B-4379-86BB-047FD931EC84}"/>
    <cellStyle name="Normal 5 2 2 3 3 3 3" xfId="5622" xr:uid="{00000000-0005-0000-0000-0000C6170000}"/>
    <cellStyle name="Normal 5 2 2 3 3 3 3 2" xfId="14051" xr:uid="{6C6C8045-36AC-42CF-A161-481FC66956D3}"/>
    <cellStyle name="Normal 5 2 2 3 3 3 4" xfId="9833" xr:uid="{C112D968-91F0-4139-86F8-2D058E8642AC}"/>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E133F943-34F3-4606-B7E9-BBA035FFB42F}"/>
    <cellStyle name="Normal 5 2 2 3 3 4 2 3" xfId="12391" xr:uid="{6D7EA78D-DB7B-4EEF-94B9-BD5015CF1F8E}"/>
    <cellStyle name="Normal 5 2 2 3 3 4 3" xfId="6035" xr:uid="{00000000-0005-0000-0000-0000CA170000}"/>
    <cellStyle name="Normal 5 2 2 3 3 4 3 2" xfId="14464" xr:uid="{7823FCB2-919D-4A82-ADED-9870518E1EC0}"/>
    <cellStyle name="Normal 5 2 2 3 3 4 4" xfId="10246" xr:uid="{A9B59D9F-BD15-46E7-91B6-47B1F6D0B66F}"/>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CF8AAB4D-DA11-4586-86D7-62DDE9F5321F}"/>
    <cellStyle name="Normal 5 2 2 3 3 5 2 3" xfId="12804" xr:uid="{F13FE8E3-A101-43C3-9BB8-AB0308974C01}"/>
    <cellStyle name="Normal 5 2 2 3 3 5 3" xfId="6448" xr:uid="{00000000-0005-0000-0000-0000CE170000}"/>
    <cellStyle name="Normal 5 2 2 3 3 5 3 2" xfId="14877" xr:uid="{4962F84C-42A5-4A8D-B0F9-93728E558144}"/>
    <cellStyle name="Normal 5 2 2 3 3 5 4" xfId="10659" xr:uid="{709ECFD6-F7D1-4D6E-9E64-EDA347F7319F}"/>
    <cellStyle name="Normal 5 2 2 3 3 6" xfId="2576" xr:uid="{00000000-0005-0000-0000-0000CF170000}"/>
    <cellStyle name="Normal 5 2 2 3 3 6 2" xfId="6861" xr:uid="{00000000-0005-0000-0000-0000D0170000}"/>
    <cellStyle name="Normal 5 2 2 3 3 6 2 2" xfId="15290" xr:uid="{62F51E0A-5AD4-4F32-B126-B6F6C63C1E4F}"/>
    <cellStyle name="Normal 5 2 2 3 3 6 3" xfId="11072" xr:uid="{D8B9B7E1-9B91-4792-B272-78663ED42193}"/>
    <cellStyle name="Normal 5 2 2 3 3 7" xfId="4796" xr:uid="{00000000-0005-0000-0000-0000D1170000}"/>
    <cellStyle name="Normal 5 2 2 3 3 7 2" xfId="13225" xr:uid="{B2AE5782-FC22-47B6-A6BE-6864F7567416}"/>
    <cellStyle name="Normal 5 2 2 3 3 8" xfId="9007" xr:uid="{6A4ED37F-FB23-488A-9F96-A8A0D551FC9A}"/>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5FA23C14-744B-4611-8E72-EF53E66F3D73}"/>
    <cellStyle name="Normal 5 2 2 3 4 2 3" xfId="11562" xr:uid="{9F7867B5-1368-4BD8-AECC-D1DE0FC14B6A}"/>
    <cellStyle name="Normal 5 2 2 3 4 3" xfId="5206" xr:uid="{00000000-0005-0000-0000-0000D5170000}"/>
    <cellStyle name="Normal 5 2 2 3 4 3 2" xfId="13635" xr:uid="{34DFCF07-15AD-490A-B024-294A6F03F04A}"/>
    <cellStyle name="Normal 5 2 2 3 4 4" xfId="9417" xr:uid="{E41C012F-E598-4A68-8ED3-3C06E4156F16}"/>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E33CF52F-B995-4F64-BBE1-07BDE57D20F9}"/>
    <cellStyle name="Normal 5 2 2 3 5 2 3" xfId="11975" xr:uid="{74C24266-6AF4-4708-8E78-35CB361B6B53}"/>
    <cellStyle name="Normal 5 2 2 3 5 3" xfId="5619" xr:uid="{00000000-0005-0000-0000-0000D9170000}"/>
    <cellStyle name="Normal 5 2 2 3 5 3 2" xfId="14048" xr:uid="{AD44D0BC-6E9E-4477-AD7E-08A33E7A3595}"/>
    <cellStyle name="Normal 5 2 2 3 5 4" xfId="9830" xr:uid="{94564C46-61DD-4B0A-9242-D6E0C00A0C88}"/>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7B385CF9-B025-40D1-BBEA-6758C3008CB7}"/>
    <cellStyle name="Normal 5 2 2 3 6 2 3" xfId="12388" xr:uid="{984EEA6B-F744-4CE9-B262-AA29CA50DE02}"/>
    <cellStyle name="Normal 5 2 2 3 6 3" xfId="6032" xr:uid="{00000000-0005-0000-0000-0000DD170000}"/>
    <cellStyle name="Normal 5 2 2 3 6 3 2" xfId="14461" xr:uid="{146A8AA9-9559-47CE-837F-84C214744040}"/>
    <cellStyle name="Normal 5 2 2 3 6 4" xfId="10243" xr:uid="{2D54F629-CD1C-4499-B5C4-88297D0B0557}"/>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B04F17A5-52E2-4439-8869-DA360119C727}"/>
    <cellStyle name="Normal 5 2 2 3 7 2 3" xfId="12801" xr:uid="{3B87A41C-47B8-49C8-B003-4FC8CFC73301}"/>
    <cellStyle name="Normal 5 2 2 3 7 3" xfId="6445" xr:uid="{00000000-0005-0000-0000-0000E1170000}"/>
    <cellStyle name="Normal 5 2 2 3 7 3 2" xfId="14874" xr:uid="{1A520D32-A9A1-4269-978A-995B7372E7DA}"/>
    <cellStyle name="Normal 5 2 2 3 7 4" xfId="10656" xr:uid="{390C6378-3932-4DFC-9B4D-F819E702F9AC}"/>
    <cellStyle name="Normal 5 2 2 3 8" xfId="2573" xr:uid="{00000000-0005-0000-0000-0000E2170000}"/>
    <cellStyle name="Normal 5 2 2 3 8 2" xfId="6858" xr:uid="{00000000-0005-0000-0000-0000E3170000}"/>
    <cellStyle name="Normal 5 2 2 3 8 2 2" xfId="15287" xr:uid="{175B544A-8C28-484B-9F31-94A0F0018218}"/>
    <cellStyle name="Normal 5 2 2 3 8 3" xfId="11069" xr:uid="{D26844B0-2BA8-4C29-986E-479577F87486}"/>
    <cellStyle name="Normal 5 2 2 3 9" xfId="4793" xr:uid="{00000000-0005-0000-0000-0000E4170000}"/>
    <cellStyle name="Normal 5 2 2 3 9 2" xfId="13222" xr:uid="{79FFD54F-7BC7-4738-B5EA-95A5483FD839}"/>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5DF3B2F2-CA32-4295-B3D8-AD2C47EAE394}"/>
    <cellStyle name="Normal 5 2 2 4 2 2 2 3" xfId="11567" xr:uid="{64B2AC7A-D8B5-4D3A-98E8-CE8C08DCBB49}"/>
    <cellStyle name="Normal 5 2 2 4 2 2 3" xfId="5211" xr:uid="{00000000-0005-0000-0000-0000EA170000}"/>
    <cellStyle name="Normal 5 2 2 4 2 2 3 2" xfId="13640" xr:uid="{5E268BD6-1024-418D-ACBE-33C4185E9E9F}"/>
    <cellStyle name="Normal 5 2 2 4 2 2 4" xfId="9422" xr:uid="{232758AB-79D1-4D50-B2C6-BC49314A65A4}"/>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DC13FDD2-3505-4F89-9009-2692E08B7B6D}"/>
    <cellStyle name="Normal 5 2 2 4 2 3 2 3" xfId="11980" xr:uid="{2C89948D-F6BD-4B70-AF45-40BCB870C65B}"/>
    <cellStyle name="Normal 5 2 2 4 2 3 3" xfId="5624" xr:uid="{00000000-0005-0000-0000-0000EE170000}"/>
    <cellStyle name="Normal 5 2 2 4 2 3 3 2" xfId="14053" xr:uid="{B0D857CB-98E2-40FF-89A8-31C7D9AD6B50}"/>
    <cellStyle name="Normal 5 2 2 4 2 3 4" xfId="9835" xr:uid="{164D79C3-FB64-49DF-990E-CC20B87C8E26}"/>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7346FE16-E329-488B-A63A-F2A877FB622F}"/>
    <cellStyle name="Normal 5 2 2 4 2 4 2 3" xfId="12393" xr:uid="{8AC2CA1C-6EF2-4B5D-BF3D-EB2171F876DA}"/>
    <cellStyle name="Normal 5 2 2 4 2 4 3" xfId="6037" xr:uid="{00000000-0005-0000-0000-0000F2170000}"/>
    <cellStyle name="Normal 5 2 2 4 2 4 3 2" xfId="14466" xr:uid="{6303FB2D-1C1E-4FEF-BBD7-7DF9530B16F9}"/>
    <cellStyle name="Normal 5 2 2 4 2 4 4" xfId="10248" xr:uid="{2A3BEAD8-B073-47FA-BB1B-6A53C54219B8}"/>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AF8B4A89-6C86-4313-9637-C9C70162D97A}"/>
    <cellStyle name="Normal 5 2 2 4 2 5 2 3" xfId="12806" xr:uid="{8A1A4F38-BEC0-4BD6-B24F-5A53F0F9FB1D}"/>
    <cellStyle name="Normal 5 2 2 4 2 5 3" xfId="6450" xr:uid="{00000000-0005-0000-0000-0000F6170000}"/>
    <cellStyle name="Normal 5 2 2 4 2 5 3 2" xfId="14879" xr:uid="{D42CFE87-D0D4-48DD-83A9-F0E0E1776C65}"/>
    <cellStyle name="Normal 5 2 2 4 2 5 4" xfId="10661" xr:uid="{FAD099DD-F93A-4D9D-9008-EFA01F7A06EB}"/>
    <cellStyle name="Normal 5 2 2 4 2 6" xfId="2578" xr:uid="{00000000-0005-0000-0000-0000F7170000}"/>
    <cellStyle name="Normal 5 2 2 4 2 6 2" xfId="6863" xr:uid="{00000000-0005-0000-0000-0000F8170000}"/>
    <cellStyle name="Normal 5 2 2 4 2 6 2 2" xfId="15292" xr:uid="{43B6C443-315D-455D-8E90-1B593C6911FB}"/>
    <cellStyle name="Normal 5 2 2 4 2 6 3" xfId="11074" xr:uid="{6A07AC31-70A2-4CB7-9A8C-A383B4A8677A}"/>
    <cellStyle name="Normal 5 2 2 4 2 7" xfId="4798" xr:uid="{00000000-0005-0000-0000-0000F9170000}"/>
    <cellStyle name="Normal 5 2 2 4 2 7 2" xfId="13227" xr:uid="{E2692D9B-062D-4CEA-816C-96BEAD49072B}"/>
    <cellStyle name="Normal 5 2 2 4 2 8" xfId="9009" xr:uid="{746DFEF0-021C-48D4-9C3D-6BF0677C8EE0}"/>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1071EE96-7360-4038-A54B-1162BDD250ED}"/>
    <cellStyle name="Normal 5 2 2 4 3 2 3" xfId="11566" xr:uid="{FBA8FDDD-6369-42CF-9CD5-2063BB282CF3}"/>
    <cellStyle name="Normal 5 2 2 4 3 3" xfId="5210" xr:uid="{00000000-0005-0000-0000-0000FD170000}"/>
    <cellStyle name="Normal 5 2 2 4 3 3 2" xfId="13639" xr:uid="{BB12B113-6EAD-47D6-98C1-6603D1600064}"/>
    <cellStyle name="Normal 5 2 2 4 3 4" xfId="9421" xr:uid="{5970B3AD-F094-430D-83A6-7606506E837E}"/>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F765D32-0222-4EFA-A79B-03A4ABA5D446}"/>
    <cellStyle name="Normal 5 2 2 4 4 2 3" xfId="11979" xr:uid="{96E24BBB-3CBE-4A01-89B5-6380152A172E}"/>
    <cellStyle name="Normal 5 2 2 4 4 3" xfId="5623" xr:uid="{00000000-0005-0000-0000-000001180000}"/>
    <cellStyle name="Normal 5 2 2 4 4 3 2" xfId="14052" xr:uid="{190FF23B-95B7-41E8-B209-31EA04B7ED1E}"/>
    <cellStyle name="Normal 5 2 2 4 4 4" xfId="9834" xr:uid="{C71F3D83-B23E-4328-81F9-AC9D1B56116C}"/>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BB172C9C-2118-4A9D-8CF2-DDEF32516367}"/>
    <cellStyle name="Normal 5 2 2 4 5 2 3" xfId="12392" xr:uid="{B1A62617-2454-418C-901F-1DC9841133F8}"/>
    <cellStyle name="Normal 5 2 2 4 5 3" xfId="6036" xr:uid="{00000000-0005-0000-0000-000005180000}"/>
    <cellStyle name="Normal 5 2 2 4 5 3 2" xfId="14465" xr:uid="{FD8991F1-58FD-4970-A4DB-48CD17AE284E}"/>
    <cellStyle name="Normal 5 2 2 4 5 4" xfId="10247" xr:uid="{2F8AD17C-8153-44D4-9982-2DB9C33E594E}"/>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3895EF3A-9EF7-4917-BE08-B65028B58720}"/>
    <cellStyle name="Normal 5 2 2 4 6 2 3" xfId="12805" xr:uid="{80076D67-7BFC-46CB-8F1E-2F1C8DFFE042}"/>
    <cellStyle name="Normal 5 2 2 4 6 3" xfId="6449" xr:uid="{00000000-0005-0000-0000-000009180000}"/>
    <cellStyle name="Normal 5 2 2 4 6 3 2" xfId="14878" xr:uid="{C013D971-9F47-4408-AC7B-7B63D1050B3B}"/>
    <cellStyle name="Normal 5 2 2 4 6 4" xfId="10660" xr:uid="{25C1BC72-A9DB-4C0A-9351-CE28CC00A735}"/>
    <cellStyle name="Normal 5 2 2 4 7" xfId="2577" xr:uid="{00000000-0005-0000-0000-00000A180000}"/>
    <cellStyle name="Normal 5 2 2 4 7 2" xfId="6862" xr:uid="{00000000-0005-0000-0000-00000B180000}"/>
    <cellStyle name="Normal 5 2 2 4 7 2 2" xfId="15291" xr:uid="{AC6F830A-8EBE-4349-9BC1-A4F7F74F8D10}"/>
    <cellStyle name="Normal 5 2 2 4 7 3" xfId="11073" xr:uid="{0EF2C492-02FA-4495-B792-D190AF4A712C}"/>
    <cellStyle name="Normal 5 2 2 4 8" xfId="4797" xr:uid="{00000000-0005-0000-0000-00000C180000}"/>
    <cellStyle name="Normal 5 2 2 4 8 2" xfId="13226" xr:uid="{E6CC8201-0B3D-4665-B9E6-621EFC8D7F51}"/>
    <cellStyle name="Normal 5 2 2 4 9" xfId="9008" xr:uid="{4FBD5D44-D2CE-46B9-99E5-8B503BBC191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ADC09CA0-AD8B-47E8-8247-B1772900BF25}"/>
    <cellStyle name="Normal 5 2 2 5 2 2 3" xfId="11568" xr:uid="{B48194BA-7028-4832-BC50-70470A34F877}"/>
    <cellStyle name="Normal 5 2 2 5 2 3" xfId="5212" xr:uid="{00000000-0005-0000-0000-000011180000}"/>
    <cellStyle name="Normal 5 2 2 5 2 3 2" xfId="13641" xr:uid="{B1FEDF06-8859-4471-B032-87768C348590}"/>
    <cellStyle name="Normal 5 2 2 5 2 4" xfId="9423" xr:uid="{3268FC7B-88D8-422E-8CF7-6294DBE800A0}"/>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5CBEB85A-2EB6-47C3-BDEC-BC76C073D69F}"/>
    <cellStyle name="Normal 5 2 2 5 3 2 3" xfId="11981" xr:uid="{DCF71149-FC03-4CC5-A1CD-36D259026B44}"/>
    <cellStyle name="Normal 5 2 2 5 3 3" xfId="5625" xr:uid="{00000000-0005-0000-0000-000015180000}"/>
    <cellStyle name="Normal 5 2 2 5 3 3 2" xfId="14054" xr:uid="{44B8B015-A83D-4A1D-BA07-834A53829A5B}"/>
    <cellStyle name="Normal 5 2 2 5 3 4" xfId="9836" xr:uid="{AD39BDC9-D64D-4E6C-951A-3918D3CE760F}"/>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79B4D7F0-0043-4248-9D21-1C9B78F98240}"/>
    <cellStyle name="Normal 5 2 2 5 4 2 3" xfId="12394" xr:uid="{6FB509CD-8C66-4548-A5D8-26DC7DA9BA14}"/>
    <cellStyle name="Normal 5 2 2 5 4 3" xfId="6038" xr:uid="{00000000-0005-0000-0000-000019180000}"/>
    <cellStyle name="Normal 5 2 2 5 4 3 2" xfId="14467" xr:uid="{8F17DA52-6476-4342-A4E7-250B8C9F833D}"/>
    <cellStyle name="Normal 5 2 2 5 4 4" xfId="10249" xr:uid="{E50C1EFB-0E50-4922-A34D-A94B81E19325}"/>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02F41EDA-CB1B-474C-8D0C-A859A4B60EBD}"/>
    <cellStyle name="Normal 5 2 2 5 5 2 3" xfId="12807" xr:uid="{85AAEEB5-579D-4FCD-A90D-E64953F115F3}"/>
    <cellStyle name="Normal 5 2 2 5 5 3" xfId="6451" xr:uid="{00000000-0005-0000-0000-00001D180000}"/>
    <cellStyle name="Normal 5 2 2 5 5 3 2" xfId="14880" xr:uid="{79A8550B-4D88-4C03-B37D-CB8F914BC79C}"/>
    <cellStyle name="Normal 5 2 2 5 5 4" xfId="10662" xr:uid="{5A257DC0-A79D-416F-8BFA-01D68912E5CC}"/>
    <cellStyle name="Normal 5 2 2 5 6" xfId="2579" xr:uid="{00000000-0005-0000-0000-00001E180000}"/>
    <cellStyle name="Normal 5 2 2 5 6 2" xfId="6864" xr:uid="{00000000-0005-0000-0000-00001F180000}"/>
    <cellStyle name="Normal 5 2 2 5 6 2 2" xfId="15293" xr:uid="{CA8E07F7-FC55-403F-B122-34C0FECC2C51}"/>
    <cellStyle name="Normal 5 2 2 5 6 3" xfId="11075" xr:uid="{B5E4897B-D827-4B87-9B08-43FD8A82E635}"/>
    <cellStyle name="Normal 5 2 2 5 7" xfId="4799" xr:uid="{00000000-0005-0000-0000-000020180000}"/>
    <cellStyle name="Normal 5 2 2 5 7 2" xfId="13228" xr:uid="{BB2BB664-83D4-47E0-B645-FB04DECE49C0}"/>
    <cellStyle name="Normal 5 2 2 5 8" xfId="9010" xr:uid="{62548FAC-4484-4A71-9DB5-47023607C166}"/>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4F73DC3B-3457-41C3-8BA6-BB3F592E875A}"/>
    <cellStyle name="Normal 5 2 2 6 2 3" xfId="11553" xr:uid="{372D9473-A621-4271-9029-6EEFA81247B4}"/>
    <cellStyle name="Normal 5 2 2 6 3" xfId="5197" xr:uid="{00000000-0005-0000-0000-000024180000}"/>
    <cellStyle name="Normal 5 2 2 6 3 2" xfId="13626" xr:uid="{BD1605CE-CDA5-4231-9578-8C389EC362B2}"/>
    <cellStyle name="Normal 5 2 2 6 4" xfId="9408" xr:uid="{3080812F-FBF7-418F-9997-184461CB062E}"/>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6FC5ED9F-BEB9-4B68-8A7D-F61294ED1551}"/>
    <cellStyle name="Normal 5 2 2 7 2 3" xfId="11966" xr:uid="{6CF2AA31-7214-412C-A5C3-2AB67B7C9A53}"/>
    <cellStyle name="Normal 5 2 2 7 3" xfId="5610" xr:uid="{00000000-0005-0000-0000-000028180000}"/>
    <cellStyle name="Normal 5 2 2 7 3 2" xfId="14039" xr:uid="{0361E446-0D1B-4C6E-A71B-4D9761175B53}"/>
    <cellStyle name="Normal 5 2 2 7 4" xfId="9821" xr:uid="{172DC4A2-BC78-47E7-AAB7-9480C503955D}"/>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BD70806C-9BB3-4E9D-B316-D798012BD700}"/>
    <cellStyle name="Normal 5 2 2 8 2 3" xfId="12379" xr:uid="{5D9379AA-3B43-4283-8AB9-5C542391CDCB}"/>
    <cellStyle name="Normal 5 2 2 8 3" xfId="6023" xr:uid="{00000000-0005-0000-0000-00002C180000}"/>
    <cellStyle name="Normal 5 2 2 8 3 2" xfId="14452" xr:uid="{AC9E8D59-216F-46E8-A6BD-8BB4B90C8B87}"/>
    <cellStyle name="Normal 5 2 2 8 4" xfId="10234" xr:uid="{2E6BD418-80A9-41B7-A007-4973983DD753}"/>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22CAD416-2F5E-4F16-A7FD-730324B766D5}"/>
    <cellStyle name="Normal 5 2 2 9 2 3" xfId="12792" xr:uid="{AC4B1B73-2A15-4829-9438-1FFB7D1B6167}"/>
    <cellStyle name="Normal 5 2 2 9 3" xfId="6436" xr:uid="{00000000-0005-0000-0000-000030180000}"/>
    <cellStyle name="Normal 5 2 2 9 3 2" xfId="14865" xr:uid="{4E91D108-CF3A-4C8A-AF92-B20055C64E9D}"/>
    <cellStyle name="Normal 5 2 2 9 4" xfId="10647" xr:uid="{EB5EB9DE-71AA-4542-BF0B-2C7E4C5F17D3}"/>
    <cellStyle name="Normal 5 2 3" xfId="424" xr:uid="{00000000-0005-0000-0000-000031180000}"/>
    <cellStyle name="Normal 5 2 3 10" xfId="4800" xr:uid="{00000000-0005-0000-0000-000032180000}"/>
    <cellStyle name="Normal 5 2 3 10 2" xfId="13229" xr:uid="{C0F0353B-4F72-4B74-A722-148D0DF4672D}"/>
    <cellStyle name="Normal 5 2 3 11" xfId="9011" xr:uid="{32B58079-DB02-497F-B884-98B3D1B730A0}"/>
    <cellStyle name="Normal 5 2 3 2" xfId="425" xr:uid="{00000000-0005-0000-0000-000033180000}"/>
    <cellStyle name="Normal 5 2 3 2 10" xfId="9012" xr:uid="{D5597A8F-BB64-4A7E-B870-55D90D10351E}"/>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C67EC447-F13C-4BA7-B908-33C505C6A0F0}"/>
    <cellStyle name="Normal 5 2 3 2 2 2 2 2 3" xfId="11572" xr:uid="{7AB74D9B-D736-4B1F-B25B-FC777BFC9E80}"/>
    <cellStyle name="Normal 5 2 3 2 2 2 2 3" xfId="5216" xr:uid="{00000000-0005-0000-0000-000039180000}"/>
    <cellStyle name="Normal 5 2 3 2 2 2 2 3 2" xfId="13645" xr:uid="{67A42349-3E76-4E91-B601-09FDA9D82401}"/>
    <cellStyle name="Normal 5 2 3 2 2 2 2 4" xfId="9427" xr:uid="{D2B25004-0075-4261-9F0F-446C9A4E6F78}"/>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BA951BF5-5FBF-4AC0-A35D-E6B0FE47195C}"/>
    <cellStyle name="Normal 5 2 3 2 2 2 3 2 3" xfId="11985" xr:uid="{4CDE8F56-4FEB-4A62-B30E-3FB079528834}"/>
    <cellStyle name="Normal 5 2 3 2 2 2 3 3" xfId="5629" xr:uid="{00000000-0005-0000-0000-00003D180000}"/>
    <cellStyle name="Normal 5 2 3 2 2 2 3 3 2" xfId="14058" xr:uid="{0C5FF2DA-E644-4999-83A8-E26540BD76E2}"/>
    <cellStyle name="Normal 5 2 3 2 2 2 3 4" xfId="9840" xr:uid="{40BABA60-0313-43DC-9956-33699D28EF97}"/>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D9C5A919-468B-4691-9893-FA7E71831CDC}"/>
    <cellStyle name="Normal 5 2 3 2 2 2 4 2 3" xfId="12398" xr:uid="{BD2FF2DD-DF77-4727-9CFE-50C949F982BD}"/>
    <cellStyle name="Normal 5 2 3 2 2 2 4 3" xfId="6042" xr:uid="{00000000-0005-0000-0000-000041180000}"/>
    <cellStyle name="Normal 5 2 3 2 2 2 4 3 2" xfId="14471" xr:uid="{7F57444F-0BEF-4F5A-BEDD-A95E0451DCB8}"/>
    <cellStyle name="Normal 5 2 3 2 2 2 4 4" xfId="10253" xr:uid="{BAAE4923-05CB-405B-9726-267DDCE8D27E}"/>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CAF3E12E-E9BB-43D9-BE16-EC1B4B9B6A38}"/>
    <cellStyle name="Normal 5 2 3 2 2 2 5 2 3" xfId="12811" xr:uid="{68755FAC-AD13-4545-B9D0-46637D0B1188}"/>
    <cellStyle name="Normal 5 2 3 2 2 2 5 3" xfId="6455" xr:uid="{00000000-0005-0000-0000-000045180000}"/>
    <cellStyle name="Normal 5 2 3 2 2 2 5 3 2" xfId="14884" xr:uid="{7258E243-EF14-4B78-B62E-4F5A0AD25CF7}"/>
    <cellStyle name="Normal 5 2 3 2 2 2 5 4" xfId="10666" xr:uid="{6F2A7170-CB9B-455A-9FA4-5CEDFE30DBE8}"/>
    <cellStyle name="Normal 5 2 3 2 2 2 6" xfId="2583" xr:uid="{00000000-0005-0000-0000-000046180000}"/>
    <cellStyle name="Normal 5 2 3 2 2 2 6 2" xfId="6868" xr:uid="{00000000-0005-0000-0000-000047180000}"/>
    <cellStyle name="Normal 5 2 3 2 2 2 6 2 2" xfId="15297" xr:uid="{DE10CC17-2038-47B1-AE2E-8B4455121E04}"/>
    <cellStyle name="Normal 5 2 3 2 2 2 6 3" xfId="11079" xr:uid="{C2A934AD-03D8-4258-A304-C6BC33307C74}"/>
    <cellStyle name="Normal 5 2 3 2 2 2 7" xfId="4803" xr:uid="{00000000-0005-0000-0000-000048180000}"/>
    <cellStyle name="Normal 5 2 3 2 2 2 7 2" xfId="13232" xr:uid="{8B7E04B5-F2E1-43A8-A988-6EAC61D9FBA2}"/>
    <cellStyle name="Normal 5 2 3 2 2 2 8" xfId="9014" xr:uid="{B59CB0B3-F66A-4665-8AFF-B94AF5219191}"/>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07EF47C4-C496-4E52-9F7D-66F3C5307761}"/>
    <cellStyle name="Normal 5 2 3 2 2 3 2 3" xfId="11571" xr:uid="{BFB42D4D-46A3-4F49-95D7-5ECD1FE58450}"/>
    <cellStyle name="Normal 5 2 3 2 2 3 3" xfId="5215" xr:uid="{00000000-0005-0000-0000-00004C180000}"/>
    <cellStyle name="Normal 5 2 3 2 2 3 3 2" xfId="13644" xr:uid="{11EB19D1-9620-4893-8A38-A3A0F300FC61}"/>
    <cellStyle name="Normal 5 2 3 2 2 3 4" xfId="9426" xr:uid="{94FC7D02-015E-4ABF-AE51-E640FF4C4F18}"/>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F1A85249-75DF-46D6-A45E-C22CF773CCD9}"/>
    <cellStyle name="Normal 5 2 3 2 2 4 2 3" xfId="11984" xr:uid="{EE41BA0C-E780-4F46-B259-B89BAEB2497C}"/>
    <cellStyle name="Normal 5 2 3 2 2 4 3" xfId="5628" xr:uid="{00000000-0005-0000-0000-000050180000}"/>
    <cellStyle name="Normal 5 2 3 2 2 4 3 2" xfId="14057" xr:uid="{B88D00A6-D790-4501-8386-735A77CBC26B}"/>
    <cellStyle name="Normal 5 2 3 2 2 4 4" xfId="9839" xr:uid="{6D116D9A-F551-4453-9FA3-8F2704F10F3E}"/>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BC1C170A-DB9B-40C7-83D7-C3CE92FF9DF1}"/>
    <cellStyle name="Normal 5 2 3 2 2 5 2 3" xfId="12397" xr:uid="{32E65A93-2045-4E25-A9A7-BDA1910BB9D9}"/>
    <cellStyle name="Normal 5 2 3 2 2 5 3" xfId="6041" xr:uid="{00000000-0005-0000-0000-000054180000}"/>
    <cellStyle name="Normal 5 2 3 2 2 5 3 2" xfId="14470" xr:uid="{0A7109F9-097F-4ECB-989C-A42114A1F925}"/>
    <cellStyle name="Normal 5 2 3 2 2 5 4" xfId="10252" xr:uid="{3672B5C8-988C-41A0-8B03-8AB6CC4E2AFF}"/>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7601BA2B-4332-4821-8CC5-12DB2086556D}"/>
    <cellStyle name="Normal 5 2 3 2 2 6 2 3" xfId="12810" xr:uid="{115C7453-39BB-4896-B0CD-B815C935226E}"/>
    <cellStyle name="Normal 5 2 3 2 2 6 3" xfId="6454" xr:uid="{00000000-0005-0000-0000-000058180000}"/>
    <cellStyle name="Normal 5 2 3 2 2 6 3 2" xfId="14883" xr:uid="{FDD80EC4-B136-4981-BF49-4EFBC26C3501}"/>
    <cellStyle name="Normal 5 2 3 2 2 6 4" xfId="10665" xr:uid="{41904C6E-C3ED-40A7-80FF-BE365811AFE5}"/>
    <cellStyle name="Normal 5 2 3 2 2 7" xfId="2582" xr:uid="{00000000-0005-0000-0000-000059180000}"/>
    <cellStyle name="Normal 5 2 3 2 2 7 2" xfId="6867" xr:uid="{00000000-0005-0000-0000-00005A180000}"/>
    <cellStyle name="Normal 5 2 3 2 2 7 2 2" xfId="15296" xr:uid="{287E8523-D2D2-4E65-A508-1DD3E8D5C925}"/>
    <cellStyle name="Normal 5 2 3 2 2 7 3" xfId="11078" xr:uid="{76CA36B6-7EFE-466D-97DF-EC5BB184C9E6}"/>
    <cellStyle name="Normal 5 2 3 2 2 8" xfId="4802" xr:uid="{00000000-0005-0000-0000-00005B180000}"/>
    <cellStyle name="Normal 5 2 3 2 2 8 2" xfId="13231" xr:uid="{0154CB1B-2DB3-4F60-85DA-BA3BB2FFB0A1}"/>
    <cellStyle name="Normal 5 2 3 2 2 9" xfId="9013" xr:uid="{08848CF5-1113-4946-979D-FA5F262D12C4}"/>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F71C9C84-D99C-472B-A1A6-75B438F34F69}"/>
    <cellStyle name="Normal 5 2 3 2 3 2 2 3" xfId="11573" xr:uid="{9AC6A9EE-BC34-477C-BE84-DE272DAB39A4}"/>
    <cellStyle name="Normal 5 2 3 2 3 2 3" xfId="5217" xr:uid="{00000000-0005-0000-0000-000060180000}"/>
    <cellStyle name="Normal 5 2 3 2 3 2 3 2" xfId="13646" xr:uid="{96AE31AD-CD49-41F9-B1ED-D42961F3B788}"/>
    <cellStyle name="Normal 5 2 3 2 3 2 4" xfId="9428" xr:uid="{3336AD2C-3438-4C29-A1B6-0B22C2F4D624}"/>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A08D8D1F-294A-462E-A15A-5386655066A9}"/>
    <cellStyle name="Normal 5 2 3 2 3 3 2 3" xfId="11986" xr:uid="{5BA64438-E4F6-4C43-A365-87EFF002DA00}"/>
    <cellStyle name="Normal 5 2 3 2 3 3 3" xfId="5630" xr:uid="{00000000-0005-0000-0000-000064180000}"/>
    <cellStyle name="Normal 5 2 3 2 3 3 3 2" xfId="14059" xr:uid="{A10D455E-8AA1-48CD-8298-2382BBC19999}"/>
    <cellStyle name="Normal 5 2 3 2 3 3 4" xfId="9841" xr:uid="{4902040B-E0BA-451F-B899-027BA9EBE8FD}"/>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180B5612-44DB-4A31-BDA5-E4A61EFA2A41}"/>
    <cellStyle name="Normal 5 2 3 2 3 4 2 3" xfId="12399" xr:uid="{09DA0FD3-14B4-4799-A1A1-55D0A7E31C32}"/>
    <cellStyle name="Normal 5 2 3 2 3 4 3" xfId="6043" xr:uid="{00000000-0005-0000-0000-000068180000}"/>
    <cellStyle name="Normal 5 2 3 2 3 4 3 2" xfId="14472" xr:uid="{20D0BCEB-69AE-4D6A-92E9-C8BC8B73AA5F}"/>
    <cellStyle name="Normal 5 2 3 2 3 4 4" xfId="10254" xr:uid="{BE89A0DD-2187-4FA5-8FEE-9035E7F26EF9}"/>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12DF4ADE-B537-4EB5-8347-BC6FF1D5AF34}"/>
    <cellStyle name="Normal 5 2 3 2 3 5 2 3" xfId="12812" xr:uid="{33295A08-C922-425D-8419-E76FA7C578B2}"/>
    <cellStyle name="Normal 5 2 3 2 3 5 3" xfId="6456" xr:uid="{00000000-0005-0000-0000-00006C180000}"/>
    <cellStyle name="Normal 5 2 3 2 3 5 3 2" xfId="14885" xr:uid="{FBE71A56-6610-4CA6-8133-1588E51B08EA}"/>
    <cellStyle name="Normal 5 2 3 2 3 5 4" xfId="10667" xr:uid="{627D4185-B8E6-4485-AB6B-5A43A63B9B14}"/>
    <cellStyle name="Normal 5 2 3 2 3 6" xfId="2584" xr:uid="{00000000-0005-0000-0000-00006D180000}"/>
    <cellStyle name="Normal 5 2 3 2 3 6 2" xfId="6869" xr:uid="{00000000-0005-0000-0000-00006E180000}"/>
    <cellStyle name="Normal 5 2 3 2 3 6 2 2" xfId="15298" xr:uid="{AE436E30-39D2-44EC-A9A9-ED57CFDF6940}"/>
    <cellStyle name="Normal 5 2 3 2 3 6 3" xfId="11080" xr:uid="{2288F4F7-D8B3-4EC1-965F-2EA8131F53F5}"/>
    <cellStyle name="Normal 5 2 3 2 3 7" xfId="4804" xr:uid="{00000000-0005-0000-0000-00006F180000}"/>
    <cellStyle name="Normal 5 2 3 2 3 7 2" xfId="13233" xr:uid="{7C530EB7-6BAA-48F1-BA78-3DA4C493A6AC}"/>
    <cellStyle name="Normal 5 2 3 2 3 8" xfId="9015" xr:uid="{1C8A9183-BF57-436D-A2D2-5C8B12AD0CEA}"/>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F99B19FE-47C2-45F6-8F42-826CA906A77C}"/>
    <cellStyle name="Normal 5 2 3 2 4 2 3" xfId="11570" xr:uid="{580B7485-4591-4E96-9E82-8A1D1E16CEE1}"/>
    <cellStyle name="Normal 5 2 3 2 4 3" xfId="5214" xr:uid="{00000000-0005-0000-0000-000073180000}"/>
    <cellStyle name="Normal 5 2 3 2 4 3 2" xfId="13643" xr:uid="{E5C6A0D2-EB3E-4AB3-A4F8-AF9DB9995815}"/>
    <cellStyle name="Normal 5 2 3 2 4 4" xfId="9425" xr:uid="{38E24C9B-3443-4085-80A0-1F594B505AEB}"/>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C3ABD2C8-4675-4F24-9C8A-824C2AACFBC8}"/>
    <cellStyle name="Normal 5 2 3 2 5 2 3" xfId="11983" xr:uid="{9B76D2CC-DE72-4620-9A77-69E7FC31E28E}"/>
    <cellStyle name="Normal 5 2 3 2 5 3" xfId="5627" xr:uid="{00000000-0005-0000-0000-000077180000}"/>
    <cellStyle name="Normal 5 2 3 2 5 3 2" xfId="14056" xr:uid="{F9B8FF3E-572F-4273-8F24-92DE995B4AED}"/>
    <cellStyle name="Normal 5 2 3 2 5 4" xfId="9838" xr:uid="{5C0E7A55-09B8-4705-8743-A0EC00A0430E}"/>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30E08D0F-F3F1-42A8-BE24-69B732488D15}"/>
    <cellStyle name="Normal 5 2 3 2 6 2 3" xfId="12396" xr:uid="{15526124-BA0C-4F72-9CF0-E0A987458023}"/>
    <cellStyle name="Normal 5 2 3 2 6 3" xfId="6040" xr:uid="{00000000-0005-0000-0000-00007B180000}"/>
    <cellStyle name="Normal 5 2 3 2 6 3 2" xfId="14469" xr:uid="{1EDD8D90-04E9-427B-8A76-98AC6BE74F12}"/>
    <cellStyle name="Normal 5 2 3 2 6 4" xfId="10251" xr:uid="{1D0AF700-EF67-4BDA-A009-1641E7B26FDF}"/>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F844823A-B985-4D98-A079-3492F3CF51D9}"/>
    <cellStyle name="Normal 5 2 3 2 7 2 3" xfId="12809" xr:uid="{B403A86D-C85A-49CF-9E59-9641BBC7D3CC}"/>
    <cellStyle name="Normal 5 2 3 2 7 3" xfId="6453" xr:uid="{00000000-0005-0000-0000-00007F180000}"/>
    <cellStyle name="Normal 5 2 3 2 7 3 2" xfId="14882" xr:uid="{CF1C5F20-4A9E-46E8-B42E-35BF0EF1884D}"/>
    <cellStyle name="Normal 5 2 3 2 7 4" xfId="10664" xr:uid="{803C9808-5C2A-4AE1-B78A-72E022722E2A}"/>
    <cellStyle name="Normal 5 2 3 2 8" xfId="2581" xr:uid="{00000000-0005-0000-0000-000080180000}"/>
    <cellStyle name="Normal 5 2 3 2 8 2" xfId="6866" xr:uid="{00000000-0005-0000-0000-000081180000}"/>
    <cellStyle name="Normal 5 2 3 2 8 2 2" xfId="15295" xr:uid="{AAA0D6F5-628D-4D49-8692-219CB550A915}"/>
    <cellStyle name="Normal 5 2 3 2 8 3" xfId="11077" xr:uid="{C6AD1D77-D4F1-4664-899A-43F935166B9A}"/>
    <cellStyle name="Normal 5 2 3 2 9" xfId="4801" xr:uid="{00000000-0005-0000-0000-000082180000}"/>
    <cellStyle name="Normal 5 2 3 2 9 2" xfId="13230" xr:uid="{B3FC1245-B886-4930-AF6F-D3F9986B37FE}"/>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F813BBD7-1EA5-4CB1-B60E-FF0213B90A2B}"/>
    <cellStyle name="Normal 5 2 3 3 2 2 2 3" xfId="11575" xr:uid="{2C7FF817-2478-481E-AFC3-BCCD1081DBA8}"/>
    <cellStyle name="Normal 5 2 3 3 2 2 3" xfId="5219" xr:uid="{00000000-0005-0000-0000-000088180000}"/>
    <cellStyle name="Normal 5 2 3 3 2 2 3 2" xfId="13648" xr:uid="{8364D914-4028-4782-B60F-B4F797A4C1C6}"/>
    <cellStyle name="Normal 5 2 3 3 2 2 4" xfId="9430" xr:uid="{09915449-7C31-4862-8439-9E7D4BAE43D8}"/>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C42007F2-EAA1-439C-87F0-3908A812DD56}"/>
    <cellStyle name="Normal 5 2 3 3 2 3 2 3" xfId="11988" xr:uid="{4DA6CF7A-957D-4A0E-8C8F-C8999065725F}"/>
    <cellStyle name="Normal 5 2 3 3 2 3 3" xfId="5632" xr:uid="{00000000-0005-0000-0000-00008C180000}"/>
    <cellStyle name="Normal 5 2 3 3 2 3 3 2" xfId="14061" xr:uid="{B556C35B-37BF-4F2E-91D8-715AA4EBD756}"/>
    <cellStyle name="Normal 5 2 3 3 2 3 4" xfId="9843" xr:uid="{81737849-40AD-4150-A033-2D238BFFE0C4}"/>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E5987D2C-0EFC-42BB-B8C0-D3BDA7E94C65}"/>
    <cellStyle name="Normal 5 2 3 3 2 4 2 3" xfId="12401" xr:uid="{559B6003-7FE7-4C69-844F-6425F1046D61}"/>
    <cellStyle name="Normal 5 2 3 3 2 4 3" xfId="6045" xr:uid="{00000000-0005-0000-0000-000090180000}"/>
    <cellStyle name="Normal 5 2 3 3 2 4 3 2" xfId="14474" xr:uid="{0671DB1C-08C5-448F-9456-D6A1988EF181}"/>
    <cellStyle name="Normal 5 2 3 3 2 4 4" xfId="10256" xr:uid="{722FDE76-A233-471E-9538-EA12FB0E90BB}"/>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0756D624-E0C6-4CB6-AD6C-FF42BC61A2B6}"/>
    <cellStyle name="Normal 5 2 3 3 2 5 2 3" xfId="12814" xr:uid="{04727243-E7B6-4D30-935F-55A3C0029680}"/>
    <cellStyle name="Normal 5 2 3 3 2 5 3" xfId="6458" xr:uid="{00000000-0005-0000-0000-000094180000}"/>
    <cellStyle name="Normal 5 2 3 3 2 5 3 2" xfId="14887" xr:uid="{3A86263C-100F-4F24-AAD8-732A8F9CBB17}"/>
    <cellStyle name="Normal 5 2 3 3 2 5 4" xfId="10669" xr:uid="{B3BC39B9-63D3-412E-A895-1B1350E5020E}"/>
    <cellStyle name="Normal 5 2 3 3 2 6" xfId="2586" xr:uid="{00000000-0005-0000-0000-000095180000}"/>
    <cellStyle name="Normal 5 2 3 3 2 6 2" xfId="6871" xr:uid="{00000000-0005-0000-0000-000096180000}"/>
    <cellStyle name="Normal 5 2 3 3 2 6 2 2" xfId="15300" xr:uid="{D33C57DE-4026-42C5-AF3A-3649A8946E46}"/>
    <cellStyle name="Normal 5 2 3 3 2 6 3" xfId="11082" xr:uid="{3B53B74F-E2AB-46A5-80B6-87993C7E090B}"/>
    <cellStyle name="Normal 5 2 3 3 2 7" xfId="4806" xr:uid="{00000000-0005-0000-0000-000097180000}"/>
    <cellStyle name="Normal 5 2 3 3 2 7 2" xfId="13235" xr:uid="{D69002C2-F31A-4C35-A810-6F3F5B8B285E}"/>
    <cellStyle name="Normal 5 2 3 3 2 8" xfId="9017" xr:uid="{02CD2152-EE7B-48B0-9367-FF199077C747}"/>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0485B619-CBA2-430B-A5E1-A2E151967D5C}"/>
    <cellStyle name="Normal 5 2 3 3 3 2 3" xfId="11574" xr:uid="{93298A6F-E9D9-40AC-AA3D-581A3490228B}"/>
    <cellStyle name="Normal 5 2 3 3 3 3" xfId="5218" xr:uid="{00000000-0005-0000-0000-00009B180000}"/>
    <cellStyle name="Normal 5 2 3 3 3 3 2" xfId="13647" xr:uid="{96B824FF-1E1E-4893-9BBA-4977C1CF97B1}"/>
    <cellStyle name="Normal 5 2 3 3 3 4" xfId="9429" xr:uid="{68EDDC3F-2870-46A9-8FA4-1CD9D3D5DECB}"/>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7B296389-FF3D-4B36-AF45-CFF32D3151EA}"/>
    <cellStyle name="Normal 5 2 3 3 4 2 3" xfId="11987" xr:uid="{4F0354E2-2E3E-4048-A1F1-AD4DFE939571}"/>
    <cellStyle name="Normal 5 2 3 3 4 3" xfId="5631" xr:uid="{00000000-0005-0000-0000-00009F180000}"/>
    <cellStyle name="Normal 5 2 3 3 4 3 2" xfId="14060" xr:uid="{67415D79-C5FC-4810-88B4-4C7CE7615B4B}"/>
    <cellStyle name="Normal 5 2 3 3 4 4" xfId="9842" xr:uid="{6CFB8C25-E607-484A-B7D7-B817B1C524A0}"/>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5F626C47-A6AF-4F5D-A0DD-DDAA5ECDFE29}"/>
    <cellStyle name="Normal 5 2 3 3 5 2 3" xfId="12400" xr:uid="{CA4A4BB4-3CD5-4977-9DC6-3A497BCDE839}"/>
    <cellStyle name="Normal 5 2 3 3 5 3" xfId="6044" xr:uid="{00000000-0005-0000-0000-0000A3180000}"/>
    <cellStyle name="Normal 5 2 3 3 5 3 2" xfId="14473" xr:uid="{66CD61B0-60D4-40B9-9626-0A3DA58FA48C}"/>
    <cellStyle name="Normal 5 2 3 3 5 4" xfId="10255" xr:uid="{6F241547-376F-4091-A147-6ED2D718194C}"/>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E54CF3BB-F4CC-401C-9DF9-B2367C95FA94}"/>
    <cellStyle name="Normal 5 2 3 3 6 2 3" xfId="12813" xr:uid="{D07BF718-21AC-4D44-B397-6639F6388AA2}"/>
    <cellStyle name="Normal 5 2 3 3 6 3" xfId="6457" xr:uid="{00000000-0005-0000-0000-0000A7180000}"/>
    <cellStyle name="Normal 5 2 3 3 6 3 2" xfId="14886" xr:uid="{F4556EB1-1CEE-4080-AC05-540BE48226BF}"/>
    <cellStyle name="Normal 5 2 3 3 6 4" xfId="10668" xr:uid="{4E2DC8E2-1FD4-443A-9C55-8D336EBADA76}"/>
    <cellStyle name="Normal 5 2 3 3 7" xfId="2585" xr:uid="{00000000-0005-0000-0000-0000A8180000}"/>
    <cellStyle name="Normal 5 2 3 3 7 2" xfId="6870" xr:uid="{00000000-0005-0000-0000-0000A9180000}"/>
    <cellStyle name="Normal 5 2 3 3 7 2 2" xfId="15299" xr:uid="{CBA30006-C985-43A3-AA01-F8B8F5EE251D}"/>
    <cellStyle name="Normal 5 2 3 3 7 3" xfId="11081" xr:uid="{6267279D-4F79-4929-8C1B-0A8D06E104CB}"/>
    <cellStyle name="Normal 5 2 3 3 8" xfId="4805" xr:uid="{00000000-0005-0000-0000-0000AA180000}"/>
    <cellStyle name="Normal 5 2 3 3 8 2" xfId="13234" xr:uid="{47393433-E2EA-4554-B515-F795A07055EC}"/>
    <cellStyle name="Normal 5 2 3 3 9" xfId="9016" xr:uid="{668C0B99-16D5-4336-94F1-5EC6371B3D76}"/>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AC8FA9E3-A131-47D7-B8CF-6BEECCDB28F9}"/>
    <cellStyle name="Normal 5 2 3 4 2 2 3" xfId="11576" xr:uid="{A7EED532-B889-4318-A3B9-4B688ED5F728}"/>
    <cellStyle name="Normal 5 2 3 4 2 3" xfId="5220" xr:uid="{00000000-0005-0000-0000-0000AF180000}"/>
    <cellStyle name="Normal 5 2 3 4 2 3 2" xfId="13649" xr:uid="{05FB79A8-B593-470D-B910-BB173C53AE54}"/>
    <cellStyle name="Normal 5 2 3 4 2 4" xfId="9431" xr:uid="{FB275516-E085-4214-8C89-A8CE299499F1}"/>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05D5E031-79B8-4AE5-8CF1-DB44F779CA5B}"/>
    <cellStyle name="Normal 5 2 3 4 3 2 3" xfId="11989" xr:uid="{ECCF31FE-E6B3-410C-9B92-32E6B736CBD3}"/>
    <cellStyle name="Normal 5 2 3 4 3 3" xfId="5633" xr:uid="{00000000-0005-0000-0000-0000B3180000}"/>
    <cellStyle name="Normal 5 2 3 4 3 3 2" xfId="14062" xr:uid="{62F0FEC8-0460-47B3-953D-0001E064E7A7}"/>
    <cellStyle name="Normal 5 2 3 4 3 4" xfId="9844" xr:uid="{36495831-9445-49C7-A8FE-B074B8F9C4ED}"/>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4BEF17CE-B433-49FE-8700-3BC9A73F7E60}"/>
    <cellStyle name="Normal 5 2 3 4 4 2 3" xfId="12402" xr:uid="{8B8FCF1F-C75B-4C1A-A1E3-C9337796243C}"/>
    <cellStyle name="Normal 5 2 3 4 4 3" xfId="6046" xr:uid="{00000000-0005-0000-0000-0000B7180000}"/>
    <cellStyle name="Normal 5 2 3 4 4 3 2" xfId="14475" xr:uid="{391BEF31-DC61-4150-BB49-0DC1C3EEE3F0}"/>
    <cellStyle name="Normal 5 2 3 4 4 4" xfId="10257" xr:uid="{E25AC6A9-E8CF-4DB4-B004-374F8DC97493}"/>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C510033C-5163-4E9F-8D35-A8BA8B972CCE}"/>
    <cellStyle name="Normal 5 2 3 4 5 2 3" xfId="12815" xr:uid="{9F9F7973-4B1C-4328-886C-E6E691C40B51}"/>
    <cellStyle name="Normal 5 2 3 4 5 3" xfId="6459" xr:uid="{00000000-0005-0000-0000-0000BB180000}"/>
    <cellStyle name="Normal 5 2 3 4 5 3 2" xfId="14888" xr:uid="{38DC3110-51F9-4599-B0D3-4A3E9FB9F039}"/>
    <cellStyle name="Normal 5 2 3 4 5 4" xfId="10670" xr:uid="{5676AA1F-7C2A-4B71-8E83-8B13F0AA4ED9}"/>
    <cellStyle name="Normal 5 2 3 4 6" xfId="2587" xr:uid="{00000000-0005-0000-0000-0000BC180000}"/>
    <cellStyle name="Normal 5 2 3 4 6 2" xfId="6872" xr:uid="{00000000-0005-0000-0000-0000BD180000}"/>
    <cellStyle name="Normal 5 2 3 4 6 2 2" xfId="15301" xr:uid="{C598196A-FE2E-4758-BA15-047DEEF2EC67}"/>
    <cellStyle name="Normal 5 2 3 4 6 3" xfId="11083" xr:uid="{7536121B-828B-443E-8D8C-D75D7EB3222D}"/>
    <cellStyle name="Normal 5 2 3 4 7" xfId="4807" xr:uid="{00000000-0005-0000-0000-0000BE180000}"/>
    <cellStyle name="Normal 5 2 3 4 7 2" xfId="13236" xr:uid="{8159220F-1BB4-44AA-8B08-3E36455F2E7B}"/>
    <cellStyle name="Normal 5 2 3 4 8" xfId="9018" xr:uid="{AB36C1C1-0734-488D-A250-1035730B0315}"/>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05C3F293-CB1F-4B95-8B08-254114EF06C1}"/>
    <cellStyle name="Normal 5 2 3 5 2 3" xfId="11569" xr:uid="{B167A48F-2B6C-4218-A31A-C8071372D144}"/>
    <cellStyle name="Normal 5 2 3 5 3" xfId="5213" xr:uid="{00000000-0005-0000-0000-0000C2180000}"/>
    <cellStyle name="Normal 5 2 3 5 3 2" xfId="13642" xr:uid="{7DC97A92-4650-4DCB-99D2-0AFCEE4A5B57}"/>
    <cellStyle name="Normal 5 2 3 5 4" xfId="9424" xr:uid="{7DFED2D1-8D25-4870-BACF-D961D0B4063B}"/>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F2FA7A3C-A3B4-493B-B798-57E1675D8A5D}"/>
    <cellStyle name="Normal 5 2 3 6 2 3" xfId="11982" xr:uid="{4368E98B-2656-405C-AFD8-1E0789211EB5}"/>
    <cellStyle name="Normal 5 2 3 6 3" xfId="5626" xr:uid="{00000000-0005-0000-0000-0000C6180000}"/>
    <cellStyle name="Normal 5 2 3 6 3 2" xfId="14055" xr:uid="{134EEDB2-F0BF-43B5-BE03-2F7F3AE2FB21}"/>
    <cellStyle name="Normal 5 2 3 6 4" xfId="9837" xr:uid="{2B9B9BEB-5D78-4B3D-8D5B-DEE34DF7EFED}"/>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90619B89-457C-4A8D-9C74-71D718FB0EF0}"/>
    <cellStyle name="Normal 5 2 3 7 2 3" xfId="12395" xr:uid="{FD04B11B-D6F0-4362-841D-AFC22342D01F}"/>
    <cellStyle name="Normal 5 2 3 7 3" xfId="6039" xr:uid="{00000000-0005-0000-0000-0000CA180000}"/>
    <cellStyle name="Normal 5 2 3 7 3 2" xfId="14468" xr:uid="{1AAB2489-7DD3-483C-8800-B1EEB1FEFD58}"/>
    <cellStyle name="Normal 5 2 3 7 4" xfId="10250" xr:uid="{DDC6F70F-DCD9-41F2-B7AA-FFD31969B62C}"/>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8C248839-2997-487C-8E61-82709F3DB974}"/>
    <cellStyle name="Normal 5 2 3 8 2 3" xfId="12808" xr:uid="{EA2DD194-A3ED-47EE-AF2B-E340D0877FEF}"/>
    <cellStyle name="Normal 5 2 3 8 3" xfId="6452" xr:uid="{00000000-0005-0000-0000-0000CE180000}"/>
    <cellStyle name="Normal 5 2 3 8 3 2" xfId="14881" xr:uid="{10475671-725F-4F39-9457-F5595220ABBA}"/>
    <cellStyle name="Normal 5 2 3 8 4" xfId="10663" xr:uid="{B5C8D4FD-D1A5-453E-8724-F9A9A5352507}"/>
    <cellStyle name="Normal 5 2 3 9" xfId="2580" xr:uid="{00000000-0005-0000-0000-0000CF180000}"/>
    <cellStyle name="Normal 5 2 3 9 2" xfId="6865" xr:uid="{00000000-0005-0000-0000-0000D0180000}"/>
    <cellStyle name="Normal 5 2 3 9 2 2" xfId="15294" xr:uid="{8A8CA256-9BA8-46EB-A943-39097C83CFA3}"/>
    <cellStyle name="Normal 5 2 3 9 3" xfId="11076" xr:uid="{CBD0F9A1-C37D-428C-9C6F-909279ACDADA}"/>
    <cellStyle name="Normal 5 2 4" xfId="432" xr:uid="{00000000-0005-0000-0000-0000D1180000}"/>
    <cellStyle name="Normal 5 2 4 10" xfId="9019" xr:uid="{FB898DF1-460D-4EC8-838A-3C0A25F0FF62}"/>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BEDEE6E8-B096-4297-92A5-7F9017A12515}"/>
    <cellStyle name="Normal 5 2 4 2 2 2 2 3" xfId="11579" xr:uid="{E75F8A75-E4EC-4B66-ABD4-3B488A662A29}"/>
    <cellStyle name="Normal 5 2 4 2 2 2 3" xfId="5223" xr:uid="{00000000-0005-0000-0000-0000D7180000}"/>
    <cellStyle name="Normal 5 2 4 2 2 2 3 2" xfId="13652" xr:uid="{BEB1C545-18B1-4138-AB63-FEB7A318E47B}"/>
    <cellStyle name="Normal 5 2 4 2 2 2 4" xfId="9434" xr:uid="{81A0D0C7-A256-4BE3-8F6D-2D351C0DE28C}"/>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1E474B49-9FFF-4204-87FE-E6C7C132F2E5}"/>
    <cellStyle name="Normal 5 2 4 2 2 3 2 3" xfId="11992" xr:uid="{A428ACAB-BCBF-4443-964C-D81B575EBB2E}"/>
    <cellStyle name="Normal 5 2 4 2 2 3 3" xfId="5636" xr:uid="{00000000-0005-0000-0000-0000DB180000}"/>
    <cellStyle name="Normal 5 2 4 2 2 3 3 2" xfId="14065" xr:uid="{5107F0ED-B2C5-47A9-B58E-BF8636318E37}"/>
    <cellStyle name="Normal 5 2 4 2 2 3 4" xfId="9847" xr:uid="{7B1B255A-5C18-46B3-8B4D-DC305D8569A8}"/>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FD479C0E-285D-4BCF-B374-4930C29366A3}"/>
    <cellStyle name="Normal 5 2 4 2 2 4 2 3" xfId="12405" xr:uid="{DB799936-4C63-450B-AF79-EC7D013B9931}"/>
    <cellStyle name="Normal 5 2 4 2 2 4 3" xfId="6049" xr:uid="{00000000-0005-0000-0000-0000DF180000}"/>
    <cellStyle name="Normal 5 2 4 2 2 4 3 2" xfId="14478" xr:uid="{5944998E-BE6A-497D-8D4D-A2A7E6593BDF}"/>
    <cellStyle name="Normal 5 2 4 2 2 4 4" xfId="10260" xr:uid="{1799C3BE-CC3F-4CD2-B35E-3D45AE9D34FE}"/>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0C68C9A4-880A-4D6B-8C58-C7544D0C2368}"/>
    <cellStyle name="Normal 5 2 4 2 2 5 2 3" xfId="12818" xr:uid="{C351D684-CA73-45E3-9384-236271F5A858}"/>
    <cellStyle name="Normal 5 2 4 2 2 5 3" xfId="6462" xr:uid="{00000000-0005-0000-0000-0000E3180000}"/>
    <cellStyle name="Normal 5 2 4 2 2 5 3 2" xfId="14891" xr:uid="{71B78270-FD63-4592-8268-A9B61C522915}"/>
    <cellStyle name="Normal 5 2 4 2 2 5 4" xfId="10673" xr:uid="{33845E64-2CAE-43D2-BDD2-D3B66BA1AEB0}"/>
    <cellStyle name="Normal 5 2 4 2 2 6" xfId="2590" xr:uid="{00000000-0005-0000-0000-0000E4180000}"/>
    <cellStyle name="Normal 5 2 4 2 2 6 2" xfId="6875" xr:uid="{00000000-0005-0000-0000-0000E5180000}"/>
    <cellStyle name="Normal 5 2 4 2 2 6 2 2" xfId="15304" xr:uid="{AABBE63E-B04D-4ED9-9D19-885F8B937257}"/>
    <cellStyle name="Normal 5 2 4 2 2 6 3" xfId="11086" xr:uid="{CB7B89AD-2133-4CCB-BE21-A89827A03F3E}"/>
    <cellStyle name="Normal 5 2 4 2 2 7" xfId="4810" xr:uid="{00000000-0005-0000-0000-0000E6180000}"/>
    <cellStyle name="Normal 5 2 4 2 2 7 2" xfId="13239" xr:uid="{7BF5F15A-1C3A-477D-8BF1-731306CA310E}"/>
    <cellStyle name="Normal 5 2 4 2 2 8" xfId="9021" xr:uid="{55021F96-728C-46DE-B976-6EF38BC52601}"/>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D03CE07E-3515-4888-8E94-BB9D6F6C4B48}"/>
    <cellStyle name="Normal 5 2 4 2 3 2 3" xfId="11578" xr:uid="{C4820E2C-C825-42C7-904B-EDBDE592696B}"/>
    <cellStyle name="Normal 5 2 4 2 3 3" xfId="5222" xr:uid="{00000000-0005-0000-0000-0000EA180000}"/>
    <cellStyle name="Normal 5 2 4 2 3 3 2" xfId="13651" xr:uid="{36169458-12AA-4B75-A2B9-FBD4F59642C8}"/>
    <cellStyle name="Normal 5 2 4 2 3 4" xfId="9433" xr:uid="{B8E35E66-C357-4BF7-BD1B-D09FD9DBA0D3}"/>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0E3E87B7-CB03-463C-B3AB-806A939D478E}"/>
    <cellStyle name="Normal 5 2 4 2 4 2 3" xfId="11991" xr:uid="{D42A0E18-0A63-478E-9D60-70AD8F915FC7}"/>
    <cellStyle name="Normal 5 2 4 2 4 3" xfId="5635" xr:uid="{00000000-0005-0000-0000-0000EE180000}"/>
    <cellStyle name="Normal 5 2 4 2 4 3 2" xfId="14064" xr:uid="{C982EA2A-16EC-4A0F-8CF3-6D8894F400D9}"/>
    <cellStyle name="Normal 5 2 4 2 4 4" xfId="9846" xr:uid="{A548EA6C-D55F-4BDA-9DB8-E3314DBFFF2A}"/>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94D25F23-7D0B-4989-B01D-DBB4CCA49A67}"/>
    <cellStyle name="Normal 5 2 4 2 5 2 3" xfId="12404" xr:uid="{BBDEA1E4-BB2D-4F62-A617-29A93ED2BB6A}"/>
    <cellStyle name="Normal 5 2 4 2 5 3" xfId="6048" xr:uid="{00000000-0005-0000-0000-0000F2180000}"/>
    <cellStyle name="Normal 5 2 4 2 5 3 2" xfId="14477" xr:uid="{F55DAF01-5023-4DF7-AC58-BD2D303151BE}"/>
    <cellStyle name="Normal 5 2 4 2 5 4" xfId="10259" xr:uid="{B5B13F99-BB80-4F05-AE2A-E55AEC64C14E}"/>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1A0C41F3-57B5-47C5-8B47-D4B2DE811B19}"/>
    <cellStyle name="Normal 5 2 4 2 6 2 3" xfId="12817" xr:uid="{003EE808-77CF-4D93-9E5D-4E55FAB47FFB}"/>
    <cellStyle name="Normal 5 2 4 2 6 3" xfId="6461" xr:uid="{00000000-0005-0000-0000-0000F6180000}"/>
    <cellStyle name="Normal 5 2 4 2 6 3 2" xfId="14890" xr:uid="{1E472F2D-1C87-4EE8-8852-CF6976BCDC60}"/>
    <cellStyle name="Normal 5 2 4 2 6 4" xfId="10672" xr:uid="{AD7626DF-3C39-4EEF-9CA8-561450270054}"/>
    <cellStyle name="Normal 5 2 4 2 7" xfId="2589" xr:uid="{00000000-0005-0000-0000-0000F7180000}"/>
    <cellStyle name="Normal 5 2 4 2 7 2" xfId="6874" xr:uid="{00000000-0005-0000-0000-0000F8180000}"/>
    <cellStyle name="Normal 5 2 4 2 7 2 2" xfId="15303" xr:uid="{39AE1E5D-182E-42E9-9107-EC1614E3E4EE}"/>
    <cellStyle name="Normal 5 2 4 2 7 3" xfId="11085" xr:uid="{EB895511-D7A9-4A40-BE74-0671C1668BCE}"/>
    <cellStyle name="Normal 5 2 4 2 8" xfId="4809" xr:uid="{00000000-0005-0000-0000-0000F9180000}"/>
    <cellStyle name="Normal 5 2 4 2 8 2" xfId="13238" xr:uid="{49905E3D-F3FA-45B8-85F4-A3AA37DAFAE9}"/>
    <cellStyle name="Normal 5 2 4 2 9" xfId="9020" xr:uid="{3AA5BF9D-DEBD-49CC-8F79-271AA6A2B725}"/>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4D1C8CF0-23DF-46C8-8F7A-D87A44DF3621}"/>
    <cellStyle name="Normal 5 2 4 3 2 2 3" xfId="11580" xr:uid="{68BBE3FD-CE0C-48D2-ADCC-4456033100CD}"/>
    <cellStyle name="Normal 5 2 4 3 2 3" xfId="5224" xr:uid="{00000000-0005-0000-0000-0000FE180000}"/>
    <cellStyle name="Normal 5 2 4 3 2 3 2" xfId="13653" xr:uid="{3B5BCCA6-2CEB-49F9-873E-757333D94F9E}"/>
    <cellStyle name="Normal 5 2 4 3 2 4" xfId="9435" xr:uid="{7266FE00-1714-4D57-B43B-E01B0DA88F73}"/>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50480B14-840E-46BA-9759-E93AACB5F20F}"/>
    <cellStyle name="Normal 5 2 4 3 3 2 3" xfId="11993" xr:uid="{B6AC3A9D-A736-45D5-A64C-1A06112A1FFB}"/>
    <cellStyle name="Normal 5 2 4 3 3 3" xfId="5637" xr:uid="{00000000-0005-0000-0000-000002190000}"/>
    <cellStyle name="Normal 5 2 4 3 3 3 2" xfId="14066" xr:uid="{A4144B89-F3B8-4DCF-B9B2-3D105ABC618D}"/>
    <cellStyle name="Normal 5 2 4 3 3 4" xfId="9848" xr:uid="{22216CB0-5F0F-4E22-A275-B2A51D881F35}"/>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5A9E415D-25B9-4FF6-8477-5EEBC2C5D040}"/>
    <cellStyle name="Normal 5 2 4 3 4 2 3" xfId="12406" xr:uid="{230F6251-7658-474D-A939-1FFAA33AC575}"/>
    <cellStyle name="Normal 5 2 4 3 4 3" xfId="6050" xr:uid="{00000000-0005-0000-0000-000006190000}"/>
    <cellStyle name="Normal 5 2 4 3 4 3 2" xfId="14479" xr:uid="{4B0D6AEE-89CA-4B08-B45E-EE716E6B8E40}"/>
    <cellStyle name="Normal 5 2 4 3 4 4" xfId="10261" xr:uid="{B87482D9-FD36-48A4-BDAE-38D3EB9C6211}"/>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0A6A8D67-D1C4-474F-B8E9-CF1EB50AD0A4}"/>
    <cellStyle name="Normal 5 2 4 3 5 2 3" xfId="12819" xr:uid="{125CC002-6B11-4D1F-84C0-34F4C4B0A6DF}"/>
    <cellStyle name="Normal 5 2 4 3 5 3" xfId="6463" xr:uid="{00000000-0005-0000-0000-00000A190000}"/>
    <cellStyle name="Normal 5 2 4 3 5 3 2" xfId="14892" xr:uid="{514DC092-8627-4C6D-9385-460C6F977C0C}"/>
    <cellStyle name="Normal 5 2 4 3 5 4" xfId="10674" xr:uid="{36C124CF-7E3F-47A2-91CC-3DB14237E192}"/>
    <cellStyle name="Normal 5 2 4 3 6" xfId="2591" xr:uid="{00000000-0005-0000-0000-00000B190000}"/>
    <cellStyle name="Normal 5 2 4 3 6 2" xfId="6876" xr:uid="{00000000-0005-0000-0000-00000C190000}"/>
    <cellStyle name="Normal 5 2 4 3 6 2 2" xfId="15305" xr:uid="{1C562E13-9D75-4DBB-9DC4-204E705CB291}"/>
    <cellStyle name="Normal 5 2 4 3 6 3" xfId="11087" xr:uid="{AB117DF6-2389-49DC-9DB8-44E27DD3D05C}"/>
    <cellStyle name="Normal 5 2 4 3 7" xfId="4811" xr:uid="{00000000-0005-0000-0000-00000D190000}"/>
    <cellStyle name="Normal 5 2 4 3 7 2" xfId="13240" xr:uid="{B693C9C9-7D10-4AB3-BB80-02EECE3E7F10}"/>
    <cellStyle name="Normal 5 2 4 3 8" xfId="9022" xr:uid="{B9774F17-0E06-488B-A523-12559FDCA9A3}"/>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4C412485-67C7-41DD-86AC-55668090B02F}"/>
    <cellStyle name="Normal 5 2 4 4 2 3" xfId="11577" xr:uid="{CE5310BD-74AC-4236-968C-038EEF910FC9}"/>
    <cellStyle name="Normal 5 2 4 4 3" xfId="5221" xr:uid="{00000000-0005-0000-0000-000011190000}"/>
    <cellStyle name="Normal 5 2 4 4 3 2" xfId="13650" xr:uid="{5201B49B-B704-4065-A9E2-0520C256F2E2}"/>
    <cellStyle name="Normal 5 2 4 4 4" xfId="9432" xr:uid="{897CED50-A22D-4C83-A371-7AE905DF005E}"/>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BA09791F-CBBD-4F26-99CB-DC38B93D4D3C}"/>
    <cellStyle name="Normal 5 2 4 5 2 3" xfId="11990" xr:uid="{6C1EF163-4C21-42EB-B1E2-610CBF2F907B}"/>
    <cellStyle name="Normal 5 2 4 5 3" xfId="5634" xr:uid="{00000000-0005-0000-0000-000015190000}"/>
    <cellStyle name="Normal 5 2 4 5 3 2" xfId="14063" xr:uid="{E52F6587-FBBB-4F06-A0F8-0A80D75859BC}"/>
    <cellStyle name="Normal 5 2 4 5 4" xfId="9845" xr:uid="{414C40C1-3917-4E9F-A671-EBA505026956}"/>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E786A08E-82FF-44DB-9BF0-DDEFD06E76C7}"/>
    <cellStyle name="Normal 5 2 4 6 2 3" xfId="12403" xr:uid="{2F0A0384-5F82-42CA-981F-52EF191B6AC4}"/>
    <cellStyle name="Normal 5 2 4 6 3" xfId="6047" xr:uid="{00000000-0005-0000-0000-000019190000}"/>
    <cellStyle name="Normal 5 2 4 6 3 2" xfId="14476" xr:uid="{582B8F83-07C9-4A79-8CD6-5BD8AF4849CE}"/>
    <cellStyle name="Normal 5 2 4 6 4" xfId="10258" xr:uid="{2AC97DE2-6179-49D4-BA21-4E0EFE371694}"/>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6AFBE24B-3EBB-4D87-A58B-7AEC07BA3989}"/>
    <cellStyle name="Normal 5 2 4 7 2 3" xfId="12816" xr:uid="{B633965F-8028-4DB5-BCF2-EF6B51E02882}"/>
    <cellStyle name="Normal 5 2 4 7 3" xfId="6460" xr:uid="{00000000-0005-0000-0000-00001D190000}"/>
    <cellStyle name="Normal 5 2 4 7 3 2" xfId="14889" xr:uid="{F9991FE5-BAD8-46AF-85D4-C3398EDAFD2A}"/>
    <cellStyle name="Normal 5 2 4 7 4" xfId="10671" xr:uid="{B15A19BB-388D-4642-BC32-49A27AF3C31E}"/>
    <cellStyle name="Normal 5 2 4 8" xfId="2588" xr:uid="{00000000-0005-0000-0000-00001E190000}"/>
    <cellStyle name="Normal 5 2 4 8 2" xfId="6873" xr:uid="{00000000-0005-0000-0000-00001F190000}"/>
    <cellStyle name="Normal 5 2 4 8 2 2" xfId="15302" xr:uid="{B2839EBC-5B99-4C93-A175-1E64B765392B}"/>
    <cellStyle name="Normal 5 2 4 8 3" xfId="11084" xr:uid="{B21AD595-FCE2-4BA0-818B-CE414F5208BA}"/>
    <cellStyle name="Normal 5 2 4 9" xfId="4808" xr:uid="{00000000-0005-0000-0000-000020190000}"/>
    <cellStyle name="Normal 5 2 4 9 2" xfId="13237" xr:uid="{739A5A3D-CB21-41F6-9903-DFD4407CC5C8}"/>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00EE2D53-2BEA-40EE-953E-F732F884DE04}"/>
    <cellStyle name="Normal 5 2 5 2 2 2 3" xfId="11582" xr:uid="{8FC9FAD8-E45F-4A4F-B7D1-68ACAD1511FA}"/>
    <cellStyle name="Normal 5 2 5 2 2 3" xfId="5226" xr:uid="{00000000-0005-0000-0000-000026190000}"/>
    <cellStyle name="Normal 5 2 5 2 2 3 2" xfId="13655" xr:uid="{A96A5F8D-9402-40D1-A554-86C6B7183B2F}"/>
    <cellStyle name="Normal 5 2 5 2 2 4" xfId="9437" xr:uid="{319E3455-B059-4551-9B7C-9D007F112789}"/>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1CFC3A2C-F57B-4C8A-9990-FC8EEAFA8EDD}"/>
    <cellStyle name="Normal 5 2 5 2 3 2 3" xfId="11995" xr:uid="{F03046E2-FFA1-47F5-9763-63E4805C987F}"/>
    <cellStyle name="Normal 5 2 5 2 3 3" xfId="5639" xr:uid="{00000000-0005-0000-0000-00002A190000}"/>
    <cellStyle name="Normal 5 2 5 2 3 3 2" xfId="14068" xr:uid="{7296F177-64FA-4FE3-93FE-BCCE04557831}"/>
    <cellStyle name="Normal 5 2 5 2 3 4" xfId="9850" xr:uid="{BF2DDDB2-5D7E-4F68-8D1C-C4BE42BD6947}"/>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9A96C9A2-B323-436A-AB4D-8E8F26AE7AB8}"/>
    <cellStyle name="Normal 5 2 5 2 4 2 3" xfId="12408" xr:uid="{E020421E-5166-4902-BDDA-95C52E0245F3}"/>
    <cellStyle name="Normal 5 2 5 2 4 3" xfId="6052" xr:uid="{00000000-0005-0000-0000-00002E190000}"/>
    <cellStyle name="Normal 5 2 5 2 4 3 2" xfId="14481" xr:uid="{5D84FCE0-80E9-4A9C-B43C-8EE1ED1411AD}"/>
    <cellStyle name="Normal 5 2 5 2 4 4" xfId="10263" xr:uid="{8E296ABC-AA02-40C4-8BD3-004605A67E61}"/>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41045BF0-A09F-47EB-B2C5-B4DDB10E3968}"/>
    <cellStyle name="Normal 5 2 5 2 5 2 3" xfId="12821" xr:uid="{4045F50E-05D3-400E-B0EC-D2DC00EA63E9}"/>
    <cellStyle name="Normal 5 2 5 2 5 3" xfId="6465" xr:uid="{00000000-0005-0000-0000-000032190000}"/>
    <cellStyle name="Normal 5 2 5 2 5 3 2" xfId="14894" xr:uid="{11F37E22-8495-4F3B-A2A5-E4615D2700B2}"/>
    <cellStyle name="Normal 5 2 5 2 5 4" xfId="10676" xr:uid="{E4E77EE5-417F-4F56-A75C-4D51465CD770}"/>
    <cellStyle name="Normal 5 2 5 2 6" xfId="2593" xr:uid="{00000000-0005-0000-0000-000033190000}"/>
    <cellStyle name="Normal 5 2 5 2 6 2" xfId="6878" xr:uid="{00000000-0005-0000-0000-000034190000}"/>
    <cellStyle name="Normal 5 2 5 2 6 2 2" xfId="15307" xr:uid="{747C8892-1B50-440F-8F7C-97B2B1DB342A}"/>
    <cellStyle name="Normal 5 2 5 2 6 3" xfId="11089" xr:uid="{35ED109D-4777-4B45-8C29-E8F0BCAD4F75}"/>
    <cellStyle name="Normal 5 2 5 2 7" xfId="4813" xr:uid="{00000000-0005-0000-0000-000035190000}"/>
    <cellStyle name="Normal 5 2 5 2 7 2" xfId="13242" xr:uid="{B8E6B1F2-CBAA-498F-B6A1-6014EB9C9ED8}"/>
    <cellStyle name="Normal 5 2 5 2 8" xfId="9024" xr:uid="{ADFC0B46-C63B-4EC0-8919-EF70682B7C6A}"/>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A46543C1-FCEF-468D-B3F2-B9BD32AD041F}"/>
    <cellStyle name="Normal 5 2 5 3 2 3" xfId="11581" xr:uid="{E681CA84-2DB7-4715-97C0-BCDBA7BCBEFE}"/>
    <cellStyle name="Normal 5 2 5 3 3" xfId="5225" xr:uid="{00000000-0005-0000-0000-000039190000}"/>
    <cellStyle name="Normal 5 2 5 3 3 2" xfId="13654" xr:uid="{6357DDB5-7E6C-441A-818D-A349A20A3B13}"/>
    <cellStyle name="Normal 5 2 5 3 4" xfId="9436" xr:uid="{02975789-7B34-4FF5-B930-F232E1572216}"/>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4E7D12B3-2BBC-4BC2-A395-645A1A4FB533}"/>
    <cellStyle name="Normal 5 2 5 4 2 3" xfId="11994" xr:uid="{7D757908-0D93-4A72-86B9-F967439D43C1}"/>
    <cellStyle name="Normal 5 2 5 4 3" xfId="5638" xr:uid="{00000000-0005-0000-0000-00003D190000}"/>
    <cellStyle name="Normal 5 2 5 4 3 2" xfId="14067" xr:uid="{443F56E6-434E-4C6F-BC2E-2C522588B7BD}"/>
    <cellStyle name="Normal 5 2 5 4 4" xfId="9849" xr:uid="{D141C5BF-7217-431D-AD38-6C68CE79FF39}"/>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03355424-0BA5-4D40-A7FE-5FC5C06B1064}"/>
    <cellStyle name="Normal 5 2 5 5 2 3" xfId="12407" xr:uid="{28E3D630-B2DC-4B58-AB7A-64EE7DAC849C}"/>
    <cellStyle name="Normal 5 2 5 5 3" xfId="6051" xr:uid="{00000000-0005-0000-0000-000041190000}"/>
    <cellStyle name="Normal 5 2 5 5 3 2" xfId="14480" xr:uid="{4A7E8C46-0942-4EF8-930D-CA8F2F36107B}"/>
    <cellStyle name="Normal 5 2 5 5 4" xfId="10262" xr:uid="{56109D06-E302-4D56-9598-076F2467EA07}"/>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E47892B0-07A1-433C-A6C0-1ABFD3194733}"/>
    <cellStyle name="Normal 5 2 5 6 2 3" xfId="12820" xr:uid="{B6E0BB8C-A7F7-4933-A67A-D8E4BDEA12B5}"/>
    <cellStyle name="Normal 5 2 5 6 3" xfId="6464" xr:uid="{00000000-0005-0000-0000-000045190000}"/>
    <cellStyle name="Normal 5 2 5 6 3 2" xfId="14893" xr:uid="{0D08F9F7-98C2-45CC-B6F6-87C4A6A94EFC}"/>
    <cellStyle name="Normal 5 2 5 6 4" xfId="10675" xr:uid="{AD92C00F-F0E1-4C87-A275-5014621899FE}"/>
    <cellStyle name="Normal 5 2 5 7" xfId="2592" xr:uid="{00000000-0005-0000-0000-000046190000}"/>
    <cellStyle name="Normal 5 2 5 7 2" xfId="6877" xr:uid="{00000000-0005-0000-0000-000047190000}"/>
    <cellStyle name="Normal 5 2 5 7 2 2" xfId="15306" xr:uid="{7442BC95-C7BB-487E-8BC5-8C301266F10C}"/>
    <cellStyle name="Normal 5 2 5 7 3" xfId="11088" xr:uid="{771F5825-7EFD-4CA7-ADFF-B958344B3952}"/>
    <cellStyle name="Normal 5 2 5 8" xfId="4812" xr:uid="{00000000-0005-0000-0000-000048190000}"/>
    <cellStyle name="Normal 5 2 5 8 2" xfId="13241" xr:uid="{081B131B-5711-4AF1-B855-2C80B22E7A4F}"/>
    <cellStyle name="Normal 5 2 5 9" xfId="9023" xr:uid="{D3E702BC-BF12-42A7-BF41-D0BC2125CA6D}"/>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199126C6-0990-49A5-8676-D7A88EDDF0A8}"/>
    <cellStyle name="Normal 5 2 6 2 2 3" xfId="11583" xr:uid="{307005E0-2D3D-43C9-989E-EEBE1FCC655E}"/>
    <cellStyle name="Normal 5 2 6 2 3" xfId="5227" xr:uid="{00000000-0005-0000-0000-00004D190000}"/>
    <cellStyle name="Normal 5 2 6 2 3 2" xfId="13656" xr:uid="{3D266B5B-0672-41CE-887F-4719176B53A7}"/>
    <cellStyle name="Normal 5 2 6 2 4" xfId="9438" xr:uid="{03CF238C-AA52-4D18-B34D-CFEE5F40B4B3}"/>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D1E913DF-A704-4E92-A255-3CFDF0BF4069}"/>
    <cellStyle name="Normal 5 2 6 3 2 3" xfId="11996" xr:uid="{BB9A7396-FA23-4385-AC6A-1AC23CF80417}"/>
    <cellStyle name="Normal 5 2 6 3 3" xfId="5640" xr:uid="{00000000-0005-0000-0000-000051190000}"/>
    <cellStyle name="Normal 5 2 6 3 3 2" xfId="14069" xr:uid="{C72CD800-52DA-4982-9BD9-98288EC36916}"/>
    <cellStyle name="Normal 5 2 6 3 4" xfId="9851" xr:uid="{E78D335D-633D-457D-A0C1-06CDE833E50C}"/>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98192565-D1DA-4FC9-A530-315079996406}"/>
    <cellStyle name="Normal 5 2 6 4 2 3" xfId="12409" xr:uid="{E89C6E37-3E0D-4E8A-94D1-D62FB4EABC45}"/>
    <cellStyle name="Normal 5 2 6 4 3" xfId="6053" xr:uid="{00000000-0005-0000-0000-000055190000}"/>
    <cellStyle name="Normal 5 2 6 4 3 2" xfId="14482" xr:uid="{801AA4CA-564F-444B-AB09-338B207C6FB7}"/>
    <cellStyle name="Normal 5 2 6 4 4" xfId="10264" xr:uid="{6E194519-C77E-4575-838F-528099391260}"/>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57946018-C7F4-49A2-A67D-982C24556102}"/>
    <cellStyle name="Normal 5 2 6 5 2 3" xfId="12822" xr:uid="{18FB3AA8-46EE-4E46-BBA7-3212658E6892}"/>
    <cellStyle name="Normal 5 2 6 5 3" xfId="6466" xr:uid="{00000000-0005-0000-0000-000059190000}"/>
    <cellStyle name="Normal 5 2 6 5 3 2" xfId="14895" xr:uid="{EFBC3EBA-0E2E-4F18-89EF-679F7CAAEE7C}"/>
    <cellStyle name="Normal 5 2 6 5 4" xfId="10677" xr:uid="{42949B57-1DB1-421B-AA89-9BE7607A8A4E}"/>
    <cellStyle name="Normal 5 2 6 6" xfId="2594" xr:uid="{00000000-0005-0000-0000-00005A190000}"/>
    <cellStyle name="Normal 5 2 6 6 2" xfId="6879" xr:uid="{00000000-0005-0000-0000-00005B190000}"/>
    <cellStyle name="Normal 5 2 6 6 2 2" xfId="15308" xr:uid="{D786B2A8-A442-46C9-8A6B-4794A7B4CA6A}"/>
    <cellStyle name="Normal 5 2 6 6 3" xfId="11090" xr:uid="{46A11194-DF97-4660-8220-02D54DA3E288}"/>
    <cellStyle name="Normal 5 2 6 7" xfId="4814" xr:uid="{00000000-0005-0000-0000-00005C190000}"/>
    <cellStyle name="Normal 5 2 6 7 2" xfId="13243" xr:uid="{7E05CCEE-6561-4D43-8005-A153865A3C83}"/>
    <cellStyle name="Normal 5 2 6 8" xfId="9025" xr:uid="{C1E59530-6B6E-4444-8145-B0B8B6F77734}"/>
    <cellStyle name="Normal 5 2 7" xfId="882" xr:uid="{00000000-0005-0000-0000-00005D190000}"/>
    <cellStyle name="Normal 5 2 7 2" xfId="3117" xr:uid="{00000000-0005-0000-0000-00005E190000}"/>
    <cellStyle name="Normal 5 2 7 2 2" xfId="7341" xr:uid="{00000000-0005-0000-0000-00005F190000}"/>
    <cellStyle name="Normal 5 2 7 2 2 2" xfId="15770" xr:uid="{9016C43D-7AD0-41E0-BBB1-89F1EC3352A6}"/>
    <cellStyle name="Normal 5 2 7 2 3" xfId="11552" xr:uid="{578EF044-DA35-47DB-A358-6ADEDA7FCCF4}"/>
    <cellStyle name="Normal 5 2 7 3" xfId="5196" xr:uid="{00000000-0005-0000-0000-000060190000}"/>
    <cellStyle name="Normal 5 2 7 3 2" xfId="13625" xr:uid="{09408AA5-B047-4371-9438-D0F21A871D6C}"/>
    <cellStyle name="Normal 5 2 7 4" xfId="9407" xr:uid="{4717D13C-1F2D-4B2C-BE71-98658FA1447C}"/>
    <cellStyle name="Normal 5 2 8" xfId="1300" xr:uid="{00000000-0005-0000-0000-000061190000}"/>
    <cellStyle name="Normal 5 2 8 2" xfId="3530" xr:uid="{00000000-0005-0000-0000-000062190000}"/>
    <cellStyle name="Normal 5 2 8 2 2" xfId="7754" xr:uid="{00000000-0005-0000-0000-000063190000}"/>
    <cellStyle name="Normal 5 2 8 2 2 2" xfId="16183" xr:uid="{9970EA07-AB4D-422C-84B2-CD286DAEADDB}"/>
    <cellStyle name="Normal 5 2 8 2 3" xfId="11965" xr:uid="{F38F8486-5B34-479D-9AA7-F7CEBDA4BAA9}"/>
    <cellStyle name="Normal 5 2 8 3" xfId="5609" xr:uid="{00000000-0005-0000-0000-000064190000}"/>
    <cellStyle name="Normal 5 2 8 3 2" xfId="14038" xr:uid="{4193B490-5BE5-42D6-9DF4-2EB9B5DA0075}"/>
    <cellStyle name="Normal 5 2 8 4" xfId="9820" xr:uid="{173AFDB5-3BC2-4A0A-A9E3-E00767C6088D}"/>
    <cellStyle name="Normal 5 2 9" xfId="1713" xr:uid="{00000000-0005-0000-0000-000065190000}"/>
    <cellStyle name="Normal 5 2 9 2" xfId="3943" xr:uid="{00000000-0005-0000-0000-000066190000}"/>
    <cellStyle name="Normal 5 2 9 2 2" xfId="8167" xr:uid="{00000000-0005-0000-0000-000067190000}"/>
    <cellStyle name="Normal 5 2 9 2 2 2" xfId="16596" xr:uid="{6C08D873-03A0-4F77-9E91-87F3A8E85D34}"/>
    <cellStyle name="Normal 5 2 9 2 3" xfId="12378" xr:uid="{95239E52-A88F-4975-AF32-0682CEA76476}"/>
    <cellStyle name="Normal 5 2 9 3" xfId="6022" xr:uid="{00000000-0005-0000-0000-000068190000}"/>
    <cellStyle name="Normal 5 2 9 3 2" xfId="14451" xr:uid="{0215B6A5-BE5D-4EF4-9D21-5515B16836F0}"/>
    <cellStyle name="Normal 5 2 9 4" xfId="10233" xr:uid="{E3E35B6C-0DF3-4CED-BA71-CB8E713F58DB}"/>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1C776D98-616E-4BD8-AA33-928CA833AAF4}"/>
    <cellStyle name="Normal 5 3 10 2 3" xfId="12823" xr:uid="{1D8E625A-1245-4BA1-95BA-94D88522C18C}"/>
    <cellStyle name="Normal 5 3 10 3" xfId="6467" xr:uid="{00000000-0005-0000-0000-00006D190000}"/>
    <cellStyle name="Normal 5 3 10 3 2" xfId="14896" xr:uid="{33D7F25A-B5F3-4BB2-B5DE-A7D2D91B2FB6}"/>
    <cellStyle name="Normal 5 3 10 4" xfId="10678" xr:uid="{7DD09E37-F6C1-460F-B979-08461E4745A5}"/>
    <cellStyle name="Normal 5 3 11" xfId="2595" xr:uid="{00000000-0005-0000-0000-00006E190000}"/>
    <cellStyle name="Normal 5 3 11 2" xfId="6880" xr:uid="{00000000-0005-0000-0000-00006F190000}"/>
    <cellStyle name="Normal 5 3 11 2 2" xfId="15309" xr:uid="{6578CB79-F68F-4B33-9A51-E6968B03E23D}"/>
    <cellStyle name="Normal 5 3 11 3" xfId="11091" xr:uid="{2BECD109-EF93-4DFC-AE7A-2344B48AF070}"/>
    <cellStyle name="Normal 5 3 12" xfId="4815" xr:uid="{00000000-0005-0000-0000-000070190000}"/>
    <cellStyle name="Normal 5 3 12 2" xfId="13244" xr:uid="{97FC54B5-899E-4EE3-9C9D-561DC5883752}"/>
    <cellStyle name="Normal 5 3 13" xfId="9026" xr:uid="{BD9D4C4C-0D1B-43FF-8004-0E7D51671F42}"/>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915A749B-592C-43D2-BF44-0574D4A74429}"/>
    <cellStyle name="Normal 5 3 3 11" xfId="9027" xr:uid="{4070619B-A5E6-469E-B01D-147782FD629E}"/>
    <cellStyle name="Normal 5 3 3 2" xfId="442" xr:uid="{00000000-0005-0000-0000-000075190000}"/>
    <cellStyle name="Normal 5 3 3 2 10" xfId="9028" xr:uid="{E8C09B63-2972-490C-AB38-051B208796B6}"/>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8C314B57-FD1B-4A25-AD97-65EC5B7FE7B7}"/>
    <cellStyle name="Normal 5 3 3 2 2 2 2 2 3" xfId="11588" xr:uid="{067C3FE8-5135-4032-A34A-0BD7E0D39590}"/>
    <cellStyle name="Normal 5 3 3 2 2 2 2 3" xfId="5232" xr:uid="{00000000-0005-0000-0000-00007B190000}"/>
    <cellStyle name="Normal 5 3 3 2 2 2 2 3 2" xfId="13661" xr:uid="{80C267DD-D9C2-40BB-AA38-1986964015D2}"/>
    <cellStyle name="Normal 5 3 3 2 2 2 2 4" xfId="9443" xr:uid="{9EEF3FEE-D3B7-4D04-8A36-43632AF811FC}"/>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7A11A1F5-2B0D-4368-A2D5-18663C6FC2AD}"/>
    <cellStyle name="Normal 5 3 3 2 2 2 3 2 3" xfId="12001" xr:uid="{522844C3-9B2E-46D9-8307-BEF31D3998EE}"/>
    <cellStyle name="Normal 5 3 3 2 2 2 3 3" xfId="5645" xr:uid="{00000000-0005-0000-0000-00007F190000}"/>
    <cellStyle name="Normal 5 3 3 2 2 2 3 3 2" xfId="14074" xr:uid="{973DB50E-0A54-41BE-96C2-1CFF3D569513}"/>
    <cellStyle name="Normal 5 3 3 2 2 2 3 4" xfId="9856" xr:uid="{A7519E85-6AB0-478A-94A7-0B811CC8E29D}"/>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7EA41B9B-8964-424B-B21C-437FAEA406CC}"/>
    <cellStyle name="Normal 5 3 3 2 2 2 4 2 3" xfId="12414" xr:uid="{C5D55764-D06D-4713-BDAE-B20409950D14}"/>
    <cellStyle name="Normal 5 3 3 2 2 2 4 3" xfId="6058" xr:uid="{00000000-0005-0000-0000-000083190000}"/>
    <cellStyle name="Normal 5 3 3 2 2 2 4 3 2" xfId="14487" xr:uid="{29849A1F-C4C8-4AF4-BADA-402C8E6E7AC0}"/>
    <cellStyle name="Normal 5 3 3 2 2 2 4 4" xfId="10269" xr:uid="{667EBC8A-C77D-48CA-80DB-33BBCF9B871C}"/>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654D29F0-2AF4-43D1-87CE-BB9AC0844C72}"/>
    <cellStyle name="Normal 5 3 3 2 2 2 5 2 3" xfId="12827" xr:uid="{AD99C8D1-7E22-46E2-8B6E-A3C2A45A256A}"/>
    <cellStyle name="Normal 5 3 3 2 2 2 5 3" xfId="6471" xr:uid="{00000000-0005-0000-0000-000087190000}"/>
    <cellStyle name="Normal 5 3 3 2 2 2 5 3 2" xfId="14900" xr:uid="{3B9C44BC-70C3-4FB6-A3BB-CC3762D29196}"/>
    <cellStyle name="Normal 5 3 3 2 2 2 5 4" xfId="10682" xr:uid="{7CD1D369-7BA1-458B-84A4-BE315390E72D}"/>
    <cellStyle name="Normal 5 3 3 2 2 2 6" xfId="2599" xr:uid="{00000000-0005-0000-0000-000088190000}"/>
    <cellStyle name="Normal 5 3 3 2 2 2 6 2" xfId="6884" xr:uid="{00000000-0005-0000-0000-000089190000}"/>
    <cellStyle name="Normal 5 3 3 2 2 2 6 2 2" xfId="15313" xr:uid="{06A1C1E5-53A4-4C46-96F4-A7F265AAF95D}"/>
    <cellStyle name="Normal 5 3 3 2 2 2 6 3" xfId="11095" xr:uid="{80A16631-F97B-41B1-8675-E27B236A8237}"/>
    <cellStyle name="Normal 5 3 3 2 2 2 7" xfId="4819" xr:uid="{00000000-0005-0000-0000-00008A190000}"/>
    <cellStyle name="Normal 5 3 3 2 2 2 7 2" xfId="13248" xr:uid="{4176904F-838E-4A20-AE51-4B6F33FFD3D1}"/>
    <cellStyle name="Normal 5 3 3 2 2 2 8" xfId="9030" xr:uid="{A403F94B-8290-4454-AD93-C4613871138F}"/>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DC28B8D4-22E3-4BEE-97BD-32A3E31748CB}"/>
    <cellStyle name="Normal 5 3 3 2 2 3 2 3" xfId="11587" xr:uid="{2937AC2C-2EB1-4355-8A14-F471518644C2}"/>
    <cellStyle name="Normal 5 3 3 2 2 3 3" xfId="5231" xr:uid="{00000000-0005-0000-0000-00008E190000}"/>
    <cellStyle name="Normal 5 3 3 2 2 3 3 2" xfId="13660" xr:uid="{173D19A8-0F42-4E40-983A-2B4E77C539DD}"/>
    <cellStyle name="Normal 5 3 3 2 2 3 4" xfId="9442" xr:uid="{6299C94A-3239-4952-84EC-F58D2F03A2BA}"/>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837675E3-2B45-4409-A057-99134EF4F050}"/>
    <cellStyle name="Normal 5 3 3 2 2 4 2 3" xfId="12000" xr:uid="{E0123DDD-927E-4390-B225-104BB89FA4F7}"/>
    <cellStyle name="Normal 5 3 3 2 2 4 3" xfId="5644" xr:uid="{00000000-0005-0000-0000-000092190000}"/>
    <cellStyle name="Normal 5 3 3 2 2 4 3 2" xfId="14073" xr:uid="{F36746EF-16A9-42EC-A636-10834D99E139}"/>
    <cellStyle name="Normal 5 3 3 2 2 4 4" xfId="9855" xr:uid="{737F1992-89FB-4925-ADFD-1FA63FDCCDE7}"/>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2CBD4158-ECB8-4239-A8B1-E4C151C28806}"/>
    <cellStyle name="Normal 5 3 3 2 2 5 2 3" xfId="12413" xr:uid="{E80F21E6-C496-4BD0-BC54-4365EC730072}"/>
    <cellStyle name="Normal 5 3 3 2 2 5 3" xfId="6057" xr:uid="{00000000-0005-0000-0000-000096190000}"/>
    <cellStyle name="Normal 5 3 3 2 2 5 3 2" xfId="14486" xr:uid="{54F4E3A3-7C32-4ADE-9493-A3D8A6FBF6EA}"/>
    <cellStyle name="Normal 5 3 3 2 2 5 4" xfId="10268" xr:uid="{3CAAABD0-8841-4A56-814C-449E8A1208CE}"/>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A7D454A8-7D73-4508-A332-D28B44F878BD}"/>
    <cellStyle name="Normal 5 3 3 2 2 6 2 3" xfId="12826" xr:uid="{07040B41-527E-4F82-9A1B-2D8C2255798A}"/>
    <cellStyle name="Normal 5 3 3 2 2 6 3" xfId="6470" xr:uid="{00000000-0005-0000-0000-00009A190000}"/>
    <cellStyle name="Normal 5 3 3 2 2 6 3 2" xfId="14899" xr:uid="{AA3E74EE-88BC-449F-AC3A-07235D6B9CEA}"/>
    <cellStyle name="Normal 5 3 3 2 2 6 4" xfId="10681" xr:uid="{3291BA09-289C-42F1-A0F0-B0B85B7E3D34}"/>
    <cellStyle name="Normal 5 3 3 2 2 7" xfId="2598" xr:uid="{00000000-0005-0000-0000-00009B190000}"/>
    <cellStyle name="Normal 5 3 3 2 2 7 2" xfId="6883" xr:uid="{00000000-0005-0000-0000-00009C190000}"/>
    <cellStyle name="Normal 5 3 3 2 2 7 2 2" xfId="15312" xr:uid="{913D2B6F-780D-4D96-B874-32F33728FE41}"/>
    <cellStyle name="Normal 5 3 3 2 2 7 3" xfId="11094" xr:uid="{06F57873-E3A5-4DBA-A5C9-F8C63073A943}"/>
    <cellStyle name="Normal 5 3 3 2 2 8" xfId="4818" xr:uid="{00000000-0005-0000-0000-00009D190000}"/>
    <cellStyle name="Normal 5 3 3 2 2 8 2" xfId="13247" xr:uid="{5ACB3F1C-E6F3-4D08-B368-891EC75E6F48}"/>
    <cellStyle name="Normal 5 3 3 2 2 9" xfId="9029" xr:uid="{A1815AE5-E34E-4AA1-AA99-B19E97EA168D}"/>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4A3C6E4A-1D21-48EC-A0BE-5CE48C485BDB}"/>
    <cellStyle name="Normal 5 3 3 2 3 2 2 3" xfId="11589" xr:uid="{72522AE0-BB6A-4220-9A35-F55C074F0B08}"/>
    <cellStyle name="Normal 5 3 3 2 3 2 3" xfId="5233" xr:uid="{00000000-0005-0000-0000-0000A2190000}"/>
    <cellStyle name="Normal 5 3 3 2 3 2 3 2" xfId="13662" xr:uid="{D6387399-BB3D-4FFF-87B2-E92A02EF8B51}"/>
    <cellStyle name="Normal 5 3 3 2 3 2 4" xfId="9444" xr:uid="{0A03C741-A951-4C2B-93BE-E5423C9BDFFD}"/>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6B9A875B-4453-4385-8BE5-27AFC1DC65A3}"/>
    <cellStyle name="Normal 5 3 3 2 3 3 2 3" xfId="12002" xr:uid="{552DAEAC-4A2B-4C2D-A796-FF622EFC970E}"/>
    <cellStyle name="Normal 5 3 3 2 3 3 3" xfId="5646" xr:uid="{00000000-0005-0000-0000-0000A6190000}"/>
    <cellStyle name="Normal 5 3 3 2 3 3 3 2" xfId="14075" xr:uid="{68EA54E9-BD88-4E43-99B1-556B983B7F81}"/>
    <cellStyle name="Normal 5 3 3 2 3 3 4" xfId="9857" xr:uid="{BD1FBFB4-BDDD-49F8-A0B8-79FF543AA6A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6CE0B655-53BD-4976-97D2-B265AD79905F}"/>
    <cellStyle name="Normal 5 3 3 2 3 4 2 3" xfId="12415" xr:uid="{5803EC6C-D91B-41F6-B41E-F92884EF32C5}"/>
    <cellStyle name="Normal 5 3 3 2 3 4 3" xfId="6059" xr:uid="{00000000-0005-0000-0000-0000AA190000}"/>
    <cellStyle name="Normal 5 3 3 2 3 4 3 2" xfId="14488" xr:uid="{CC9C1E9C-CC17-456D-B9C2-4B513A676398}"/>
    <cellStyle name="Normal 5 3 3 2 3 4 4" xfId="10270" xr:uid="{E6AD35BA-7378-423F-BCDB-679DC3ED906C}"/>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6A3243AB-8D4E-4CB4-87C9-5AE3159837A6}"/>
    <cellStyle name="Normal 5 3 3 2 3 5 2 3" xfId="12828" xr:uid="{C3B97979-F867-43C2-A17D-B2CE1CB66F03}"/>
    <cellStyle name="Normal 5 3 3 2 3 5 3" xfId="6472" xr:uid="{00000000-0005-0000-0000-0000AE190000}"/>
    <cellStyle name="Normal 5 3 3 2 3 5 3 2" xfId="14901" xr:uid="{A98B3B2A-697F-444A-8EC6-8CC96291FFE5}"/>
    <cellStyle name="Normal 5 3 3 2 3 5 4" xfId="10683" xr:uid="{E41F3762-820C-4C81-9D77-C2E0FC93A0BF}"/>
    <cellStyle name="Normal 5 3 3 2 3 6" xfId="2600" xr:uid="{00000000-0005-0000-0000-0000AF190000}"/>
    <cellStyle name="Normal 5 3 3 2 3 6 2" xfId="6885" xr:uid="{00000000-0005-0000-0000-0000B0190000}"/>
    <cellStyle name="Normal 5 3 3 2 3 6 2 2" xfId="15314" xr:uid="{59193E1A-48DA-44FE-A30C-93942EFAB258}"/>
    <cellStyle name="Normal 5 3 3 2 3 6 3" xfId="11096" xr:uid="{6A7D1026-5AED-45CF-856A-882E4F6AE0DD}"/>
    <cellStyle name="Normal 5 3 3 2 3 7" xfId="4820" xr:uid="{00000000-0005-0000-0000-0000B1190000}"/>
    <cellStyle name="Normal 5 3 3 2 3 7 2" xfId="13249" xr:uid="{51A9670B-C30A-4A7C-9492-6E94D82BB731}"/>
    <cellStyle name="Normal 5 3 3 2 3 8" xfId="9031" xr:uid="{CFC86AE9-3195-4C7C-8C94-F9654333841E}"/>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D6830FA7-1DF0-41B6-A2AC-C4BA165D4B77}"/>
    <cellStyle name="Normal 5 3 3 2 4 2 3" xfId="11586" xr:uid="{1EF17E5C-4C6A-4A6F-839C-B281117BD98F}"/>
    <cellStyle name="Normal 5 3 3 2 4 3" xfId="5230" xr:uid="{00000000-0005-0000-0000-0000B5190000}"/>
    <cellStyle name="Normal 5 3 3 2 4 3 2" xfId="13659" xr:uid="{5775AFF6-488A-450A-801E-E42A473F6746}"/>
    <cellStyle name="Normal 5 3 3 2 4 4" xfId="9441" xr:uid="{07926EE1-2595-49C2-BA6E-20421501C68A}"/>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0BFA5809-5922-46E3-8D77-7EE1CC1A1D8D}"/>
    <cellStyle name="Normal 5 3 3 2 5 2 3" xfId="11999" xr:uid="{B81C5664-322A-40BD-A3D7-EB3F031F9B4F}"/>
    <cellStyle name="Normal 5 3 3 2 5 3" xfId="5643" xr:uid="{00000000-0005-0000-0000-0000B9190000}"/>
    <cellStyle name="Normal 5 3 3 2 5 3 2" xfId="14072" xr:uid="{316623FB-6939-43F8-A566-9043308FD45B}"/>
    <cellStyle name="Normal 5 3 3 2 5 4" xfId="9854" xr:uid="{D714BE88-5BFF-4BDA-AB53-03596CEFD85B}"/>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38F723DB-EBD5-405F-8B57-1AC58764148C}"/>
    <cellStyle name="Normal 5 3 3 2 6 2 3" xfId="12412" xr:uid="{1587F0AE-E009-4847-9A33-9EE9B20D3F9E}"/>
    <cellStyle name="Normal 5 3 3 2 6 3" xfId="6056" xr:uid="{00000000-0005-0000-0000-0000BD190000}"/>
    <cellStyle name="Normal 5 3 3 2 6 3 2" xfId="14485" xr:uid="{2DB57E10-FFEE-4515-945A-2EBEEED858DD}"/>
    <cellStyle name="Normal 5 3 3 2 6 4" xfId="10267" xr:uid="{AC55F2F4-8DDA-453E-80BB-D1769FBA8C4F}"/>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E4F23C4F-4CF7-4EEE-828F-291E651D32F2}"/>
    <cellStyle name="Normal 5 3 3 2 7 2 3" xfId="12825" xr:uid="{1337C0B8-7F62-476B-80F1-830CF3EE4150}"/>
    <cellStyle name="Normal 5 3 3 2 7 3" xfId="6469" xr:uid="{00000000-0005-0000-0000-0000C1190000}"/>
    <cellStyle name="Normal 5 3 3 2 7 3 2" xfId="14898" xr:uid="{850FBFB6-4700-4EEA-8332-ADAFD1A0E637}"/>
    <cellStyle name="Normal 5 3 3 2 7 4" xfId="10680" xr:uid="{78DE7783-EF6A-46F3-94B3-A4FD36675083}"/>
    <cellStyle name="Normal 5 3 3 2 8" xfId="2597" xr:uid="{00000000-0005-0000-0000-0000C2190000}"/>
    <cellStyle name="Normal 5 3 3 2 8 2" xfId="6882" xr:uid="{00000000-0005-0000-0000-0000C3190000}"/>
    <cellStyle name="Normal 5 3 3 2 8 2 2" xfId="15311" xr:uid="{FBB3AEB6-1D47-4EC6-85AA-9B5BD527DFB8}"/>
    <cellStyle name="Normal 5 3 3 2 8 3" xfId="11093" xr:uid="{6CE2FDCE-DD00-404E-B261-E1E3E76E4E28}"/>
    <cellStyle name="Normal 5 3 3 2 9" xfId="4817" xr:uid="{00000000-0005-0000-0000-0000C4190000}"/>
    <cellStyle name="Normal 5 3 3 2 9 2" xfId="13246" xr:uid="{856F9B9D-9C1D-41A2-BBB3-EE344904A10A}"/>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336AEF6E-CF33-4B64-B737-7D7ACCBED297}"/>
    <cellStyle name="Normal 5 3 3 3 2 2 2 3" xfId="11591" xr:uid="{23224A2A-220D-4C49-9B8B-AC51DABDA076}"/>
    <cellStyle name="Normal 5 3 3 3 2 2 3" xfId="5235" xr:uid="{00000000-0005-0000-0000-0000CA190000}"/>
    <cellStyle name="Normal 5 3 3 3 2 2 3 2" xfId="13664" xr:uid="{1F694025-2798-45B6-9639-277E1E2CE082}"/>
    <cellStyle name="Normal 5 3 3 3 2 2 4" xfId="9446" xr:uid="{3DCDEE1F-B332-4F55-828A-3ED81912BD15}"/>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265142CA-6638-4558-B7F0-197912DCA9D5}"/>
    <cellStyle name="Normal 5 3 3 3 2 3 2 3" xfId="12004" xr:uid="{25EEF82C-32C7-4EFA-A698-BE80CDB99F3A}"/>
    <cellStyle name="Normal 5 3 3 3 2 3 3" xfId="5648" xr:uid="{00000000-0005-0000-0000-0000CE190000}"/>
    <cellStyle name="Normal 5 3 3 3 2 3 3 2" xfId="14077" xr:uid="{32C33CAC-48F4-4B9B-98B8-95F0B1C04407}"/>
    <cellStyle name="Normal 5 3 3 3 2 3 4" xfId="9859" xr:uid="{71472241-1209-406A-8C62-46A02A110D7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665A8343-6EBE-4DDD-862C-CB6DE35C5A56}"/>
    <cellStyle name="Normal 5 3 3 3 2 4 2 3" xfId="12417" xr:uid="{FE7CE9EC-8933-44E8-A2EC-06298BEAC92A}"/>
    <cellStyle name="Normal 5 3 3 3 2 4 3" xfId="6061" xr:uid="{00000000-0005-0000-0000-0000D2190000}"/>
    <cellStyle name="Normal 5 3 3 3 2 4 3 2" xfId="14490" xr:uid="{1B255ECF-7B3C-4223-8C5D-8B9DA7541440}"/>
    <cellStyle name="Normal 5 3 3 3 2 4 4" xfId="10272" xr:uid="{C2EBF8DF-2069-4D0E-816B-5C17045CB74E}"/>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CC9DE944-F26F-4D09-B5CD-9DBE1482255C}"/>
    <cellStyle name="Normal 5 3 3 3 2 5 2 3" xfId="12830" xr:uid="{2AA48C24-3C7D-4656-B726-24F354D1529E}"/>
    <cellStyle name="Normal 5 3 3 3 2 5 3" xfId="6474" xr:uid="{00000000-0005-0000-0000-0000D6190000}"/>
    <cellStyle name="Normal 5 3 3 3 2 5 3 2" xfId="14903" xr:uid="{BB85C30A-F545-4E4E-AAEB-93BED220579A}"/>
    <cellStyle name="Normal 5 3 3 3 2 5 4" xfId="10685" xr:uid="{BB69B839-0961-47A1-8F13-63252C9B6691}"/>
    <cellStyle name="Normal 5 3 3 3 2 6" xfId="2602" xr:uid="{00000000-0005-0000-0000-0000D7190000}"/>
    <cellStyle name="Normal 5 3 3 3 2 6 2" xfId="6887" xr:uid="{00000000-0005-0000-0000-0000D8190000}"/>
    <cellStyle name="Normal 5 3 3 3 2 6 2 2" xfId="15316" xr:uid="{9C9E1371-05D6-43D1-A1E9-04423E2DAD5D}"/>
    <cellStyle name="Normal 5 3 3 3 2 6 3" xfId="11098" xr:uid="{526F1735-2A12-4134-BEC6-3DD61FB733AF}"/>
    <cellStyle name="Normal 5 3 3 3 2 7" xfId="4822" xr:uid="{00000000-0005-0000-0000-0000D9190000}"/>
    <cellStyle name="Normal 5 3 3 3 2 7 2" xfId="13251" xr:uid="{4B3D5984-F9F6-49EE-B36F-4D88D645A4BA}"/>
    <cellStyle name="Normal 5 3 3 3 2 8" xfId="9033" xr:uid="{EA08613C-78A9-42B6-9A89-493CD43408B7}"/>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FE3F8139-6FB1-4A2F-A135-7ED3544BCA6C}"/>
    <cellStyle name="Normal 5 3 3 3 3 2 3" xfId="11590" xr:uid="{E6AE72C6-C8F6-41B1-9E76-A7E2178A5593}"/>
    <cellStyle name="Normal 5 3 3 3 3 3" xfId="5234" xr:uid="{00000000-0005-0000-0000-0000DD190000}"/>
    <cellStyle name="Normal 5 3 3 3 3 3 2" xfId="13663" xr:uid="{A823EE29-3CEC-4CEF-8A8E-0D0651E6FCBF}"/>
    <cellStyle name="Normal 5 3 3 3 3 4" xfId="9445" xr:uid="{49EA3412-C7AF-4EAA-869B-F63B4B5851D3}"/>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41C9C139-ED28-4B70-9AAF-32184903A396}"/>
    <cellStyle name="Normal 5 3 3 3 4 2 3" xfId="12003" xr:uid="{BA8A3AC7-EBCC-432A-B34A-C58ADB366746}"/>
    <cellStyle name="Normal 5 3 3 3 4 3" xfId="5647" xr:uid="{00000000-0005-0000-0000-0000E1190000}"/>
    <cellStyle name="Normal 5 3 3 3 4 3 2" xfId="14076" xr:uid="{1B377831-53A0-45EB-A981-4B5F94FE6C3A}"/>
    <cellStyle name="Normal 5 3 3 3 4 4" xfId="9858" xr:uid="{0C8E02B1-B8F4-4C73-947E-F53966A0BE4E}"/>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7F1B4BED-DBCC-4343-8136-BBFBB4CF9B77}"/>
    <cellStyle name="Normal 5 3 3 3 5 2 3" xfId="12416" xr:uid="{C5F6F0D5-776A-446E-810B-CA050C014C35}"/>
    <cellStyle name="Normal 5 3 3 3 5 3" xfId="6060" xr:uid="{00000000-0005-0000-0000-0000E5190000}"/>
    <cellStyle name="Normal 5 3 3 3 5 3 2" xfId="14489" xr:uid="{C8676E2F-076D-4366-9FAD-EBB0FBCBA2FF}"/>
    <cellStyle name="Normal 5 3 3 3 5 4" xfId="10271" xr:uid="{7B39727A-34A8-4F0F-BA8E-1AFBC9899FCC}"/>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6F636081-0BFC-44DD-BCD6-EAE1392087D3}"/>
    <cellStyle name="Normal 5 3 3 3 6 2 3" xfId="12829" xr:uid="{E89A720C-5FBF-47BB-BAEE-8C4C65F05FAD}"/>
    <cellStyle name="Normal 5 3 3 3 6 3" xfId="6473" xr:uid="{00000000-0005-0000-0000-0000E9190000}"/>
    <cellStyle name="Normal 5 3 3 3 6 3 2" xfId="14902" xr:uid="{853EF31D-695D-46CB-9FC0-F2C543F9F6AF}"/>
    <cellStyle name="Normal 5 3 3 3 6 4" xfId="10684" xr:uid="{23BEB685-205A-4FEC-AE65-95DCDBCB1E13}"/>
    <cellStyle name="Normal 5 3 3 3 7" xfId="2601" xr:uid="{00000000-0005-0000-0000-0000EA190000}"/>
    <cellStyle name="Normal 5 3 3 3 7 2" xfId="6886" xr:uid="{00000000-0005-0000-0000-0000EB190000}"/>
    <cellStyle name="Normal 5 3 3 3 7 2 2" xfId="15315" xr:uid="{B9A5EC97-113D-4223-A1CD-EC9D0BC3B2BC}"/>
    <cellStyle name="Normal 5 3 3 3 7 3" xfId="11097" xr:uid="{AB618DF1-FD2A-4BC7-BC24-67BE34A7CC3A}"/>
    <cellStyle name="Normal 5 3 3 3 8" xfId="4821" xr:uid="{00000000-0005-0000-0000-0000EC190000}"/>
    <cellStyle name="Normal 5 3 3 3 8 2" xfId="13250" xr:uid="{A5B7C758-BCAB-4F2D-949C-38A47F39270A}"/>
    <cellStyle name="Normal 5 3 3 3 9" xfId="9032" xr:uid="{C042416C-7684-4D29-8D0D-E8F5A5FA471B}"/>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6BB9CFC8-92DE-46D8-9267-6E80352D35E3}"/>
    <cellStyle name="Normal 5 3 3 4 2 2 3" xfId="11592" xr:uid="{2B774AA5-7042-4458-BD93-D4809B000021}"/>
    <cellStyle name="Normal 5 3 3 4 2 3" xfId="5236" xr:uid="{00000000-0005-0000-0000-0000F1190000}"/>
    <cellStyle name="Normal 5 3 3 4 2 3 2" xfId="13665" xr:uid="{372DBA4D-C41B-4600-835D-5C2E1DF234B0}"/>
    <cellStyle name="Normal 5 3 3 4 2 4" xfId="9447" xr:uid="{BAAF6C15-8C27-4C4B-ADA5-14D4987D778D}"/>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99B39B16-3A2D-4FD3-BC61-4116EE04FB05}"/>
    <cellStyle name="Normal 5 3 3 4 3 2 3" xfId="12005" xr:uid="{29F03CD7-6D98-4887-8359-EB25FD3CE677}"/>
    <cellStyle name="Normal 5 3 3 4 3 3" xfId="5649" xr:uid="{00000000-0005-0000-0000-0000F5190000}"/>
    <cellStyle name="Normal 5 3 3 4 3 3 2" xfId="14078" xr:uid="{B145CE23-BDF1-4E24-A056-2A8797FF184E}"/>
    <cellStyle name="Normal 5 3 3 4 3 4" xfId="9860" xr:uid="{65B3BEED-381D-44F7-8106-63F1817B62DB}"/>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024391AD-025F-4CF6-A7ED-309018F97CD8}"/>
    <cellStyle name="Normal 5 3 3 4 4 2 3" xfId="12418" xr:uid="{FBBB5F1A-9DE7-4F1A-BA23-34A09D5B61C0}"/>
    <cellStyle name="Normal 5 3 3 4 4 3" xfId="6062" xr:uid="{00000000-0005-0000-0000-0000F9190000}"/>
    <cellStyle name="Normal 5 3 3 4 4 3 2" xfId="14491" xr:uid="{6C655318-B804-4848-9CCF-B3F063D2C504}"/>
    <cellStyle name="Normal 5 3 3 4 4 4" xfId="10273" xr:uid="{0456AB6B-8E9E-4E55-80D7-8F6E5BA8A9E0}"/>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16809444-BA85-4791-9C97-881E5F237526}"/>
    <cellStyle name="Normal 5 3 3 4 5 2 3" xfId="12831" xr:uid="{5F1BDB05-6B2F-4B04-9928-63B261321898}"/>
    <cellStyle name="Normal 5 3 3 4 5 3" xfId="6475" xr:uid="{00000000-0005-0000-0000-0000FD190000}"/>
    <cellStyle name="Normal 5 3 3 4 5 3 2" xfId="14904" xr:uid="{130DD38E-D150-4BBB-BADC-E95033B5FA52}"/>
    <cellStyle name="Normal 5 3 3 4 5 4" xfId="10686" xr:uid="{7725DEAD-0E2B-4BA0-AB3C-FE19C757EAC1}"/>
    <cellStyle name="Normal 5 3 3 4 6" xfId="2603" xr:uid="{00000000-0005-0000-0000-0000FE190000}"/>
    <cellStyle name="Normal 5 3 3 4 6 2" xfId="6888" xr:uid="{00000000-0005-0000-0000-0000FF190000}"/>
    <cellStyle name="Normal 5 3 3 4 6 2 2" xfId="15317" xr:uid="{E55685B5-CE3D-491B-91B6-B93E60A5F048}"/>
    <cellStyle name="Normal 5 3 3 4 6 3" xfId="11099" xr:uid="{45EB7EC7-137D-40EE-81E5-920F4B202BBA}"/>
    <cellStyle name="Normal 5 3 3 4 7" xfId="4823" xr:uid="{00000000-0005-0000-0000-0000001A0000}"/>
    <cellStyle name="Normal 5 3 3 4 7 2" xfId="13252" xr:uid="{71970F38-B46F-4130-B0B3-2BDDC0FB50AF}"/>
    <cellStyle name="Normal 5 3 3 4 8" xfId="9034" xr:uid="{3E1DBE33-4620-4B1E-8C77-AB4253E9B69B}"/>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AE8A8C2A-CEA7-46DC-80CB-0705219CA6FC}"/>
    <cellStyle name="Normal 5 3 3 5 2 3" xfId="11585" xr:uid="{A59BC387-DE7E-442A-851E-D9C841F389C5}"/>
    <cellStyle name="Normal 5 3 3 5 3" xfId="5229" xr:uid="{00000000-0005-0000-0000-0000041A0000}"/>
    <cellStyle name="Normal 5 3 3 5 3 2" xfId="13658" xr:uid="{C307D064-D28B-41DA-80E7-73FC604BEC7F}"/>
    <cellStyle name="Normal 5 3 3 5 4" xfId="9440" xr:uid="{F846888B-D3FD-4D2F-B2FD-69D2F2A76384}"/>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14B33A6D-4CC5-4B71-8B91-736128C205B0}"/>
    <cellStyle name="Normal 5 3 3 6 2 3" xfId="11998" xr:uid="{76F0C5DA-FA58-46EC-91CF-0D6C36AA36BB}"/>
    <cellStyle name="Normal 5 3 3 6 3" xfId="5642" xr:uid="{00000000-0005-0000-0000-0000081A0000}"/>
    <cellStyle name="Normal 5 3 3 6 3 2" xfId="14071" xr:uid="{1EE5E2AA-066B-4CD1-8720-F597EE57A8D6}"/>
    <cellStyle name="Normal 5 3 3 6 4" xfId="9853" xr:uid="{3B8FC814-D2B9-4A6B-BBAD-A9016379A608}"/>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A192CE9E-8A6E-4AA9-9C38-9097797E9928}"/>
    <cellStyle name="Normal 5 3 3 7 2 3" xfId="12411" xr:uid="{1794A7BB-3C88-4A49-94A4-900C3DCB0C17}"/>
    <cellStyle name="Normal 5 3 3 7 3" xfId="6055" xr:uid="{00000000-0005-0000-0000-00000C1A0000}"/>
    <cellStyle name="Normal 5 3 3 7 3 2" xfId="14484" xr:uid="{F1CF2768-9070-4BE5-9A14-54EFCA89578F}"/>
    <cellStyle name="Normal 5 3 3 7 4" xfId="10266" xr:uid="{4A5E1C8D-8DDC-4559-A979-E1DEE7DD063F}"/>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BAD13F1C-BD51-4932-BCE8-E5ABA869361F}"/>
    <cellStyle name="Normal 5 3 3 8 2 3" xfId="12824" xr:uid="{54D91741-69A7-47BA-AA46-780D08643622}"/>
    <cellStyle name="Normal 5 3 3 8 3" xfId="6468" xr:uid="{00000000-0005-0000-0000-0000101A0000}"/>
    <cellStyle name="Normal 5 3 3 8 3 2" xfId="14897" xr:uid="{363F11B2-8CE8-4694-B4FA-2C0066A74758}"/>
    <cellStyle name="Normal 5 3 3 8 4" xfId="10679" xr:uid="{BDE18497-F9B2-4561-85C2-C2C08AFF0EF1}"/>
    <cellStyle name="Normal 5 3 3 9" xfId="2596" xr:uid="{00000000-0005-0000-0000-0000111A0000}"/>
    <cellStyle name="Normal 5 3 3 9 2" xfId="6881" xr:uid="{00000000-0005-0000-0000-0000121A0000}"/>
    <cellStyle name="Normal 5 3 3 9 2 2" xfId="15310" xr:uid="{B0FF6CB9-6EDF-4ABA-BC2A-89F3DD376DFD}"/>
    <cellStyle name="Normal 5 3 3 9 3" xfId="11092" xr:uid="{FEA7D6D3-A48D-4205-8E25-73F32EF31E85}"/>
    <cellStyle name="Normal 5 3 4" xfId="449" xr:uid="{00000000-0005-0000-0000-0000131A0000}"/>
    <cellStyle name="Normal 5 3 4 10" xfId="9035" xr:uid="{24505B0C-BA00-4B87-8B0C-010B14626C9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CF0439BC-5E79-4144-8199-461E0C2121BD}"/>
    <cellStyle name="Normal 5 3 4 2 2 2 2 3" xfId="11595" xr:uid="{06EB5D66-EE6A-4595-9889-FCDB1265A689}"/>
    <cellStyle name="Normal 5 3 4 2 2 2 3" xfId="5239" xr:uid="{00000000-0005-0000-0000-0000191A0000}"/>
    <cellStyle name="Normal 5 3 4 2 2 2 3 2" xfId="13668" xr:uid="{571EDF0A-6EA6-485D-9FCA-A97E87CB91DF}"/>
    <cellStyle name="Normal 5 3 4 2 2 2 4" xfId="9450" xr:uid="{EE47EBE8-49A7-4D39-87DE-CF0F3A32E84B}"/>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3F3C2CF1-72E3-48B6-9F70-6D9CC08F4E29}"/>
    <cellStyle name="Normal 5 3 4 2 2 3 2 3" xfId="12008" xr:uid="{FDA36C70-D7A9-4D29-A831-40B4420EF597}"/>
    <cellStyle name="Normal 5 3 4 2 2 3 3" xfId="5652" xr:uid="{00000000-0005-0000-0000-00001D1A0000}"/>
    <cellStyle name="Normal 5 3 4 2 2 3 3 2" xfId="14081" xr:uid="{BEDE63A2-BD61-4569-9910-A5C80AFBA698}"/>
    <cellStyle name="Normal 5 3 4 2 2 3 4" xfId="9863" xr:uid="{F5589577-D3C2-4CB3-AFB3-EA309E4D47FF}"/>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B276AA8F-1E93-4AF4-99D6-6C5A381B8392}"/>
    <cellStyle name="Normal 5 3 4 2 2 4 2 3" xfId="12421" xr:uid="{70F9A7C6-599F-4B02-9FFC-BD8251B117AC}"/>
    <cellStyle name="Normal 5 3 4 2 2 4 3" xfId="6065" xr:uid="{00000000-0005-0000-0000-0000211A0000}"/>
    <cellStyle name="Normal 5 3 4 2 2 4 3 2" xfId="14494" xr:uid="{09572DDA-D064-4B47-B47B-EDBA58491938}"/>
    <cellStyle name="Normal 5 3 4 2 2 4 4" xfId="10276" xr:uid="{746105CF-7F1F-43FB-96D5-5F48204EA488}"/>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D99297FB-57FE-4CA0-9A86-65660EC48F2A}"/>
    <cellStyle name="Normal 5 3 4 2 2 5 2 3" xfId="12834" xr:uid="{CC16321B-2400-4193-8AD9-8A818E3B3558}"/>
    <cellStyle name="Normal 5 3 4 2 2 5 3" xfId="6478" xr:uid="{00000000-0005-0000-0000-0000251A0000}"/>
    <cellStyle name="Normal 5 3 4 2 2 5 3 2" xfId="14907" xr:uid="{8D81C389-529C-43F8-90FD-4050BD492E44}"/>
    <cellStyle name="Normal 5 3 4 2 2 5 4" xfId="10689" xr:uid="{6ECC5181-C484-46FC-8372-CD235C343B53}"/>
    <cellStyle name="Normal 5 3 4 2 2 6" xfId="2606" xr:uid="{00000000-0005-0000-0000-0000261A0000}"/>
    <cellStyle name="Normal 5 3 4 2 2 6 2" xfId="6891" xr:uid="{00000000-0005-0000-0000-0000271A0000}"/>
    <cellStyle name="Normal 5 3 4 2 2 6 2 2" xfId="15320" xr:uid="{F1D6A05D-300D-4D8D-AA1C-AAF9A36ACE4B}"/>
    <cellStyle name="Normal 5 3 4 2 2 6 3" xfId="11102" xr:uid="{C2DAB00C-E14D-43E5-BE11-5D5E9775DADF}"/>
    <cellStyle name="Normal 5 3 4 2 2 7" xfId="4826" xr:uid="{00000000-0005-0000-0000-0000281A0000}"/>
    <cellStyle name="Normal 5 3 4 2 2 7 2" xfId="13255" xr:uid="{325CC2CA-D447-4CC6-A2CB-3CEC41912F98}"/>
    <cellStyle name="Normal 5 3 4 2 2 8" xfId="9037" xr:uid="{9D2BA6C4-A09C-4A7A-B0F8-7C479770E58A}"/>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4D19DB8C-7693-46D2-81B9-DD723BA72715}"/>
    <cellStyle name="Normal 5 3 4 2 3 2 3" xfId="11594" xr:uid="{DB1E0552-35CB-4745-9D70-ABD7D576DE9B}"/>
    <cellStyle name="Normal 5 3 4 2 3 3" xfId="5238" xr:uid="{00000000-0005-0000-0000-00002C1A0000}"/>
    <cellStyle name="Normal 5 3 4 2 3 3 2" xfId="13667" xr:uid="{51EC28E1-4C23-47BF-8BE4-F1D979CA5079}"/>
    <cellStyle name="Normal 5 3 4 2 3 4" xfId="9449" xr:uid="{C64A6C39-991B-4946-AD2A-C8CCA0B5A56A}"/>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D2D0E1D7-1C9E-4A63-83FA-74B669CAB365}"/>
    <cellStyle name="Normal 5 3 4 2 4 2 3" xfId="12007" xr:uid="{BAAF0493-A78C-4731-B38A-06B45892AA00}"/>
    <cellStyle name="Normal 5 3 4 2 4 3" xfId="5651" xr:uid="{00000000-0005-0000-0000-0000301A0000}"/>
    <cellStyle name="Normal 5 3 4 2 4 3 2" xfId="14080" xr:uid="{EC6763CD-081D-48A6-86B9-6AE5BFBC8F1B}"/>
    <cellStyle name="Normal 5 3 4 2 4 4" xfId="9862" xr:uid="{2B74DA3E-41B0-4853-B848-1DE5BAD80879}"/>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E47DB5F9-C126-4087-A4BB-C891EA36C3DD}"/>
    <cellStyle name="Normal 5 3 4 2 5 2 3" xfId="12420" xr:uid="{1A070562-C356-4E21-8C4C-5A373BC92B71}"/>
    <cellStyle name="Normal 5 3 4 2 5 3" xfId="6064" xr:uid="{00000000-0005-0000-0000-0000341A0000}"/>
    <cellStyle name="Normal 5 3 4 2 5 3 2" xfId="14493" xr:uid="{293C6A13-F11B-4831-B6F7-F7A45154A44C}"/>
    <cellStyle name="Normal 5 3 4 2 5 4" xfId="10275" xr:uid="{4446FD08-2E9F-4E39-B942-83423085ED2B}"/>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59EE5FEE-9EC6-4E0E-A3BD-9798D0F7BC18}"/>
    <cellStyle name="Normal 5 3 4 2 6 2 3" xfId="12833" xr:uid="{08EDE792-B9FB-4FD6-A963-52812FAD643C}"/>
    <cellStyle name="Normal 5 3 4 2 6 3" xfId="6477" xr:uid="{00000000-0005-0000-0000-0000381A0000}"/>
    <cellStyle name="Normal 5 3 4 2 6 3 2" xfId="14906" xr:uid="{884F3381-92D4-4ADC-8010-3E1D2EBE96FB}"/>
    <cellStyle name="Normal 5 3 4 2 6 4" xfId="10688" xr:uid="{834931F9-C21F-4A45-899E-A864B85CD16B}"/>
    <cellStyle name="Normal 5 3 4 2 7" xfId="2605" xr:uid="{00000000-0005-0000-0000-0000391A0000}"/>
    <cellStyle name="Normal 5 3 4 2 7 2" xfId="6890" xr:uid="{00000000-0005-0000-0000-00003A1A0000}"/>
    <cellStyle name="Normal 5 3 4 2 7 2 2" xfId="15319" xr:uid="{5429B847-6938-495E-88E0-FA902DF98C3C}"/>
    <cellStyle name="Normal 5 3 4 2 7 3" xfId="11101" xr:uid="{7B70A73E-A0FE-447C-B225-752687BCB1C4}"/>
    <cellStyle name="Normal 5 3 4 2 8" xfId="4825" xr:uid="{00000000-0005-0000-0000-00003B1A0000}"/>
    <cellStyle name="Normal 5 3 4 2 8 2" xfId="13254" xr:uid="{DD756BF9-96AF-42BE-9BBB-BBDE31B1C00B}"/>
    <cellStyle name="Normal 5 3 4 2 9" xfId="9036" xr:uid="{CA9825AD-0466-4DF4-8E10-F54938CD4813}"/>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AD598DE1-8F88-41D1-9CBC-8BD3B72FD75E}"/>
    <cellStyle name="Normal 5 3 4 3 2 2 3" xfId="11596" xr:uid="{34242E19-6377-4095-8711-A6DB54D2C175}"/>
    <cellStyle name="Normal 5 3 4 3 2 3" xfId="5240" xr:uid="{00000000-0005-0000-0000-0000401A0000}"/>
    <cellStyle name="Normal 5 3 4 3 2 3 2" xfId="13669" xr:uid="{D31FE6D0-5535-4B2E-8A9F-A785713598D2}"/>
    <cellStyle name="Normal 5 3 4 3 2 4" xfId="9451" xr:uid="{ADA35DC2-B822-4E37-90F5-BC634546DC30}"/>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AF614D69-27A9-4F2E-9F88-485E40A86492}"/>
    <cellStyle name="Normal 5 3 4 3 3 2 3" xfId="12009" xr:uid="{42922545-4A68-4F3A-B706-A2537C8F7497}"/>
    <cellStyle name="Normal 5 3 4 3 3 3" xfId="5653" xr:uid="{00000000-0005-0000-0000-0000441A0000}"/>
    <cellStyle name="Normal 5 3 4 3 3 3 2" xfId="14082" xr:uid="{34C05751-D284-4EE0-94D6-2D28A493208C}"/>
    <cellStyle name="Normal 5 3 4 3 3 4" xfId="9864" xr:uid="{E5258E8A-F1D3-48FC-989D-1F97B00334F1}"/>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E494E602-4E84-48EF-BF99-5A89BFC842F0}"/>
    <cellStyle name="Normal 5 3 4 3 4 2 3" xfId="12422" xr:uid="{C75BD815-8F31-427A-8354-0705B6A0E1D1}"/>
    <cellStyle name="Normal 5 3 4 3 4 3" xfId="6066" xr:uid="{00000000-0005-0000-0000-0000481A0000}"/>
    <cellStyle name="Normal 5 3 4 3 4 3 2" xfId="14495" xr:uid="{420E8E5B-7124-401A-9885-B151989F5698}"/>
    <cellStyle name="Normal 5 3 4 3 4 4" xfId="10277" xr:uid="{8611DFD1-68ED-42BF-B8FB-539B147349D0}"/>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FD306497-FF00-4B4D-ADDE-04695CFCBB8C}"/>
    <cellStyle name="Normal 5 3 4 3 5 2 3" xfId="12835" xr:uid="{7B1BD935-50C2-4D38-BEAC-A5EFB91A4577}"/>
    <cellStyle name="Normal 5 3 4 3 5 3" xfId="6479" xr:uid="{00000000-0005-0000-0000-00004C1A0000}"/>
    <cellStyle name="Normal 5 3 4 3 5 3 2" xfId="14908" xr:uid="{BE2E7E21-B58B-4809-8AE7-9B1FDD879392}"/>
    <cellStyle name="Normal 5 3 4 3 5 4" xfId="10690" xr:uid="{C65FD5D8-E333-4C32-92FC-4493472C7DBD}"/>
    <cellStyle name="Normal 5 3 4 3 6" xfId="2607" xr:uid="{00000000-0005-0000-0000-00004D1A0000}"/>
    <cellStyle name="Normal 5 3 4 3 6 2" xfId="6892" xr:uid="{00000000-0005-0000-0000-00004E1A0000}"/>
    <cellStyle name="Normal 5 3 4 3 6 2 2" xfId="15321" xr:uid="{F9316A99-7CBF-4D3A-94AF-66805A7E3DA2}"/>
    <cellStyle name="Normal 5 3 4 3 6 3" xfId="11103" xr:uid="{7D116BDF-6691-4046-99A7-907F34BF04CF}"/>
    <cellStyle name="Normal 5 3 4 3 7" xfId="4827" xr:uid="{00000000-0005-0000-0000-00004F1A0000}"/>
    <cellStyle name="Normal 5 3 4 3 7 2" xfId="13256" xr:uid="{2735CA43-A964-4F1A-9B52-BAF0ACBCAE2A}"/>
    <cellStyle name="Normal 5 3 4 3 8" xfId="9038" xr:uid="{5577A0EF-B5CA-4945-9197-87EC9B5A0742}"/>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2C986242-7AD3-4576-8170-81BF9ACF74E9}"/>
    <cellStyle name="Normal 5 3 4 4 2 3" xfId="11593" xr:uid="{C4980462-0D4B-48B6-B881-4C5A844DA20C}"/>
    <cellStyle name="Normal 5 3 4 4 3" xfId="5237" xr:uid="{00000000-0005-0000-0000-0000531A0000}"/>
    <cellStyle name="Normal 5 3 4 4 3 2" xfId="13666" xr:uid="{CBD88C28-D19C-4F0E-8B56-56FCAA8D9630}"/>
    <cellStyle name="Normal 5 3 4 4 4" xfId="9448" xr:uid="{41A6B26F-B05E-4CAC-9FC8-CF909C859291}"/>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899F8A56-74B3-4E9D-832F-4376171541DC}"/>
    <cellStyle name="Normal 5 3 4 5 2 3" xfId="12006" xr:uid="{ADBFCBC3-D81B-420B-A053-58744D7C4CB2}"/>
    <cellStyle name="Normal 5 3 4 5 3" xfId="5650" xr:uid="{00000000-0005-0000-0000-0000571A0000}"/>
    <cellStyle name="Normal 5 3 4 5 3 2" xfId="14079" xr:uid="{D11F0749-4A34-4E1A-B62E-3AB8F4837A5B}"/>
    <cellStyle name="Normal 5 3 4 5 4" xfId="9861" xr:uid="{2C348707-22A7-4DFB-8910-D710A971D399}"/>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DA76ACED-C197-40D4-BA8B-59365C4573F9}"/>
    <cellStyle name="Normal 5 3 4 6 2 3" xfId="12419" xr:uid="{A9F63440-C816-49FC-9AD0-4646A10515F9}"/>
    <cellStyle name="Normal 5 3 4 6 3" xfId="6063" xr:uid="{00000000-0005-0000-0000-00005B1A0000}"/>
    <cellStyle name="Normal 5 3 4 6 3 2" xfId="14492" xr:uid="{26897848-0F64-4966-8A01-79F3A404BC8A}"/>
    <cellStyle name="Normal 5 3 4 6 4" xfId="10274" xr:uid="{0995134F-8A0A-48DF-9232-B72A351B179F}"/>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FF1369D3-8BE6-4C53-9807-8CA53AAB8C46}"/>
    <cellStyle name="Normal 5 3 4 7 2 3" xfId="12832" xr:uid="{43E1522C-ED98-4BB0-9407-06D064723D75}"/>
    <cellStyle name="Normal 5 3 4 7 3" xfId="6476" xr:uid="{00000000-0005-0000-0000-00005F1A0000}"/>
    <cellStyle name="Normal 5 3 4 7 3 2" xfId="14905" xr:uid="{BCCDAF9F-E97B-4EB8-973C-C494A3F6EDEE}"/>
    <cellStyle name="Normal 5 3 4 7 4" xfId="10687" xr:uid="{77D4C8DD-5F7D-4BE2-81B6-BA4D9E4F8011}"/>
    <cellStyle name="Normal 5 3 4 8" xfId="2604" xr:uid="{00000000-0005-0000-0000-0000601A0000}"/>
    <cellStyle name="Normal 5 3 4 8 2" xfId="6889" xr:uid="{00000000-0005-0000-0000-0000611A0000}"/>
    <cellStyle name="Normal 5 3 4 8 2 2" xfId="15318" xr:uid="{BC2ED0F9-54C2-467A-B63F-10279E6AFD20}"/>
    <cellStyle name="Normal 5 3 4 8 3" xfId="11100" xr:uid="{E35B9093-323D-425B-A789-76FEF56B0DEC}"/>
    <cellStyle name="Normal 5 3 4 9" xfId="4824" xr:uid="{00000000-0005-0000-0000-0000621A0000}"/>
    <cellStyle name="Normal 5 3 4 9 2" xfId="13253" xr:uid="{34B1864C-CAA6-448B-BBFA-F560B6449DE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673A5D7A-2B8C-437C-8A11-8DC28FAFF37B}"/>
    <cellStyle name="Normal 5 3 5 2 2 2 3" xfId="11598" xr:uid="{F5ED0184-9FEB-4070-80DB-18E0CF5A09F4}"/>
    <cellStyle name="Normal 5 3 5 2 2 3" xfId="5242" xr:uid="{00000000-0005-0000-0000-0000681A0000}"/>
    <cellStyle name="Normal 5 3 5 2 2 3 2" xfId="13671" xr:uid="{A2AAE372-5C7E-4C7A-8F7E-910041CDF61D}"/>
    <cellStyle name="Normal 5 3 5 2 2 4" xfId="9453" xr:uid="{B2B930F6-1EE0-4907-BDFA-A28DFC8867B0}"/>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0026CD1E-33C3-4C52-B3E2-2E12D5FC75D3}"/>
    <cellStyle name="Normal 5 3 5 2 3 2 3" xfId="12011" xr:uid="{C8BECCA5-5994-4111-8273-793110BAAF50}"/>
    <cellStyle name="Normal 5 3 5 2 3 3" xfId="5655" xr:uid="{00000000-0005-0000-0000-00006C1A0000}"/>
    <cellStyle name="Normal 5 3 5 2 3 3 2" xfId="14084" xr:uid="{3CD17435-C077-48A0-8377-315BA0E36B03}"/>
    <cellStyle name="Normal 5 3 5 2 3 4" xfId="9866" xr:uid="{581F8B0A-9662-4B4D-AB31-2C4A9A505BE0}"/>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ABE265FD-E0CD-4336-89EF-39A567094FFE}"/>
    <cellStyle name="Normal 5 3 5 2 4 2 3" xfId="12424" xr:uid="{B434594E-793D-4BD1-88F9-9F11975611C4}"/>
    <cellStyle name="Normal 5 3 5 2 4 3" xfId="6068" xr:uid="{00000000-0005-0000-0000-0000701A0000}"/>
    <cellStyle name="Normal 5 3 5 2 4 3 2" xfId="14497" xr:uid="{6E5AD137-2CD8-4D3B-B942-72B08D71F2C6}"/>
    <cellStyle name="Normal 5 3 5 2 4 4" xfId="10279" xr:uid="{EC77FF36-40B2-4AEB-8FF2-05A62EF26EC0}"/>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164DCE6B-B846-492E-A36F-083E12DD6BA5}"/>
    <cellStyle name="Normal 5 3 5 2 5 2 3" xfId="12837" xr:uid="{A4C924DC-2B21-4CC4-97A4-68FAC90705E7}"/>
    <cellStyle name="Normal 5 3 5 2 5 3" xfId="6481" xr:uid="{00000000-0005-0000-0000-0000741A0000}"/>
    <cellStyle name="Normal 5 3 5 2 5 3 2" xfId="14910" xr:uid="{F2DC1964-FEAA-43E9-9150-A665DB5E58BA}"/>
    <cellStyle name="Normal 5 3 5 2 5 4" xfId="10692" xr:uid="{89E15ADE-CF8D-46ED-9374-C2E94328A1F7}"/>
    <cellStyle name="Normal 5 3 5 2 6" xfId="2609" xr:uid="{00000000-0005-0000-0000-0000751A0000}"/>
    <cellStyle name="Normal 5 3 5 2 6 2" xfId="6894" xr:uid="{00000000-0005-0000-0000-0000761A0000}"/>
    <cellStyle name="Normal 5 3 5 2 6 2 2" xfId="15323" xr:uid="{CB5D5D68-0814-4EB9-AC05-1719971AFEA5}"/>
    <cellStyle name="Normal 5 3 5 2 6 3" xfId="11105" xr:uid="{23C31993-45EB-48CB-9D02-87B9E70A205A}"/>
    <cellStyle name="Normal 5 3 5 2 7" xfId="4829" xr:uid="{00000000-0005-0000-0000-0000771A0000}"/>
    <cellStyle name="Normal 5 3 5 2 7 2" xfId="13258" xr:uid="{011B74C7-F9FF-49B9-86C9-21DA946DEB5D}"/>
    <cellStyle name="Normal 5 3 5 2 8" xfId="9040" xr:uid="{7D6DCA84-2284-421F-AFFC-9F821D6122D5}"/>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6505F322-76C5-4D28-9FC7-70AA0401E750}"/>
    <cellStyle name="Normal 5 3 5 3 2 3" xfId="11597" xr:uid="{EB9B4B74-7676-47C1-B5DD-5CEB64D9214C}"/>
    <cellStyle name="Normal 5 3 5 3 3" xfId="5241" xr:uid="{00000000-0005-0000-0000-00007B1A0000}"/>
    <cellStyle name="Normal 5 3 5 3 3 2" xfId="13670" xr:uid="{22AECF74-AF7A-4FCD-9388-CA6621A3B9E3}"/>
    <cellStyle name="Normal 5 3 5 3 4" xfId="9452" xr:uid="{81FE72F9-549F-4228-BB2A-27158CE809E6}"/>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A882F24B-5E98-49AE-BAE9-ADEE768D7C3B}"/>
    <cellStyle name="Normal 5 3 5 4 2 3" xfId="12010" xr:uid="{D5170612-CE06-430E-87F5-117F4A001FCA}"/>
    <cellStyle name="Normal 5 3 5 4 3" xfId="5654" xr:uid="{00000000-0005-0000-0000-00007F1A0000}"/>
    <cellStyle name="Normal 5 3 5 4 3 2" xfId="14083" xr:uid="{D479143B-C10F-4530-B4BC-42D0736994B7}"/>
    <cellStyle name="Normal 5 3 5 4 4" xfId="9865" xr:uid="{0ABF0526-11AD-4C14-884F-B92C499A77E8}"/>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7D81953F-32F2-49B0-B22B-31BA5D60FBEE}"/>
    <cellStyle name="Normal 5 3 5 5 2 3" xfId="12423" xr:uid="{06D007E2-3B5F-4D5D-8D5A-751612A393FA}"/>
    <cellStyle name="Normal 5 3 5 5 3" xfId="6067" xr:uid="{00000000-0005-0000-0000-0000831A0000}"/>
    <cellStyle name="Normal 5 3 5 5 3 2" xfId="14496" xr:uid="{A93205F2-9B09-463A-A4C3-FE79941F93E2}"/>
    <cellStyle name="Normal 5 3 5 5 4" xfId="10278" xr:uid="{877F37F0-9075-44B8-A1C5-D3AFB75C621C}"/>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2A9CD139-DEE6-49F2-B866-1B5595CC7B28}"/>
    <cellStyle name="Normal 5 3 5 6 2 3" xfId="12836" xr:uid="{5C3BCEF6-1573-4927-802E-CA78FF65D7D5}"/>
    <cellStyle name="Normal 5 3 5 6 3" xfId="6480" xr:uid="{00000000-0005-0000-0000-0000871A0000}"/>
    <cellStyle name="Normal 5 3 5 6 3 2" xfId="14909" xr:uid="{3EED4E21-B78E-4720-9520-55524FE0ECB8}"/>
    <cellStyle name="Normal 5 3 5 6 4" xfId="10691" xr:uid="{C6BE8C51-2277-4B10-A4A8-B05BE913B9BF}"/>
    <cellStyle name="Normal 5 3 5 7" xfId="2608" xr:uid="{00000000-0005-0000-0000-0000881A0000}"/>
    <cellStyle name="Normal 5 3 5 7 2" xfId="6893" xr:uid="{00000000-0005-0000-0000-0000891A0000}"/>
    <cellStyle name="Normal 5 3 5 7 2 2" xfId="15322" xr:uid="{6D52CB0A-4083-410B-8F42-E85E31251023}"/>
    <cellStyle name="Normal 5 3 5 7 3" xfId="11104" xr:uid="{0AEB5EAC-EF09-4F08-B6AB-BCEC37B76828}"/>
    <cellStyle name="Normal 5 3 5 8" xfId="4828" xr:uid="{00000000-0005-0000-0000-00008A1A0000}"/>
    <cellStyle name="Normal 5 3 5 8 2" xfId="13257" xr:uid="{27690E55-E2C2-405D-A003-BD581CDEBAA9}"/>
    <cellStyle name="Normal 5 3 5 9" xfId="9039" xr:uid="{FCB16641-B4A6-438E-BE48-7B1F4B94C95F}"/>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FDBC9EE8-7531-4FE7-912F-CC7306CE7022}"/>
    <cellStyle name="Normal 5 3 6 2 2 3" xfId="11599" xr:uid="{F3A6E9B1-6037-4B7E-AC99-E24C45D9F6F7}"/>
    <cellStyle name="Normal 5 3 6 2 3" xfId="5243" xr:uid="{00000000-0005-0000-0000-00008F1A0000}"/>
    <cellStyle name="Normal 5 3 6 2 3 2" xfId="13672" xr:uid="{F429301D-244C-4206-AEBB-B51783D850C9}"/>
    <cellStyle name="Normal 5 3 6 2 4" xfId="9454" xr:uid="{62DEA94C-08A7-423B-ADF0-273CFBC6A5B3}"/>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DD8F81B0-89A9-41BC-B64D-F18DBC45DA49}"/>
    <cellStyle name="Normal 5 3 6 3 2 3" xfId="12012" xr:uid="{0C20ADAB-9A5B-4895-8638-C69869119D22}"/>
    <cellStyle name="Normal 5 3 6 3 3" xfId="5656" xr:uid="{00000000-0005-0000-0000-0000931A0000}"/>
    <cellStyle name="Normal 5 3 6 3 3 2" xfId="14085" xr:uid="{BDBA1373-24F7-4CA9-8B0A-00AC86DF64DA}"/>
    <cellStyle name="Normal 5 3 6 3 4" xfId="9867" xr:uid="{D762F2F4-BAB9-418B-9E3E-890DBE0CF322}"/>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ED1CEE02-CE95-4325-BCC6-B54D9675E971}"/>
    <cellStyle name="Normal 5 3 6 4 2 3" xfId="12425" xr:uid="{6B1CAC8B-7F28-4B0D-A24C-9F68AF651563}"/>
    <cellStyle name="Normal 5 3 6 4 3" xfId="6069" xr:uid="{00000000-0005-0000-0000-0000971A0000}"/>
    <cellStyle name="Normal 5 3 6 4 3 2" xfId="14498" xr:uid="{50820602-6C80-457D-82FA-9E2155FD3B9A}"/>
    <cellStyle name="Normal 5 3 6 4 4" xfId="10280" xr:uid="{FF5DF549-96CB-4B7F-AF5C-20E795728363}"/>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9CA4AC6C-D2FB-49DA-BB02-F597C9830AAD}"/>
    <cellStyle name="Normal 5 3 6 5 2 3" xfId="12838" xr:uid="{029DAD34-7EC4-49A3-B0E7-D8DFF8256BA7}"/>
    <cellStyle name="Normal 5 3 6 5 3" xfId="6482" xr:uid="{00000000-0005-0000-0000-00009B1A0000}"/>
    <cellStyle name="Normal 5 3 6 5 3 2" xfId="14911" xr:uid="{CCC36161-C676-45B9-832B-65276C72D789}"/>
    <cellStyle name="Normal 5 3 6 5 4" xfId="10693" xr:uid="{E274BAFD-60DF-49B2-9994-7CC4E41DE3D8}"/>
    <cellStyle name="Normal 5 3 6 6" xfId="2610" xr:uid="{00000000-0005-0000-0000-00009C1A0000}"/>
    <cellStyle name="Normal 5 3 6 6 2" xfId="6895" xr:uid="{00000000-0005-0000-0000-00009D1A0000}"/>
    <cellStyle name="Normal 5 3 6 6 2 2" xfId="15324" xr:uid="{660AAFC4-F53C-48F2-AEFC-F5EE68FC77E0}"/>
    <cellStyle name="Normal 5 3 6 6 3" xfId="11106" xr:uid="{076FD1A5-C80B-4991-A520-E66A50431DAE}"/>
    <cellStyle name="Normal 5 3 6 7" xfId="4830" xr:uid="{00000000-0005-0000-0000-00009E1A0000}"/>
    <cellStyle name="Normal 5 3 6 7 2" xfId="13259" xr:uid="{B1ABC64F-864A-4E4E-BF37-6BEBCB6F2C44}"/>
    <cellStyle name="Normal 5 3 6 8" xfId="9041" xr:uid="{CA4442F8-41C5-4CFC-8C51-4D9E66FF6B0A}"/>
    <cellStyle name="Normal 5 3 7" xfId="914" xr:uid="{00000000-0005-0000-0000-00009F1A0000}"/>
    <cellStyle name="Normal 5 3 7 2" xfId="3149" xr:uid="{00000000-0005-0000-0000-0000A01A0000}"/>
    <cellStyle name="Normal 5 3 7 2 2" xfId="7373" xr:uid="{00000000-0005-0000-0000-0000A11A0000}"/>
    <cellStyle name="Normal 5 3 7 2 2 2" xfId="15802" xr:uid="{FBEB128E-A864-436B-A73C-35E62DAE2DB5}"/>
    <cellStyle name="Normal 5 3 7 2 3" xfId="11584" xr:uid="{9232B0F6-4BD5-4BE6-A41C-B40CA5541036}"/>
    <cellStyle name="Normal 5 3 7 3" xfId="5228" xr:uid="{00000000-0005-0000-0000-0000A21A0000}"/>
    <cellStyle name="Normal 5 3 7 3 2" xfId="13657" xr:uid="{43BBC40C-BCCC-40AE-BAB8-F12F49E87722}"/>
    <cellStyle name="Normal 5 3 7 4" xfId="9439" xr:uid="{E01E22E0-0A98-4F1F-8E86-CB70125E34C0}"/>
    <cellStyle name="Normal 5 3 8" xfId="1332" xr:uid="{00000000-0005-0000-0000-0000A31A0000}"/>
    <cellStyle name="Normal 5 3 8 2" xfId="3562" xr:uid="{00000000-0005-0000-0000-0000A41A0000}"/>
    <cellStyle name="Normal 5 3 8 2 2" xfId="7786" xr:uid="{00000000-0005-0000-0000-0000A51A0000}"/>
    <cellStyle name="Normal 5 3 8 2 2 2" xfId="16215" xr:uid="{FC1C43DC-AE19-4067-8CF4-FB8ABC88D4D8}"/>
    <cellStyle name="Normal 5 3 8 2 3" xfId="11997" xr:uid="{047BA3EF-344F-4FD4-A5B5-D02BF0D0E7D3}"/>
    <cellStyle name="Normal 5 3 8 3" xfId="5641" xr:uid="{00000000-0005-0000-0000-0000A61A0000}"/>
    <cellStyle name="Normal 5 3 8 3 2" xfId="14070" xr:uid="{B3A860EE-9662-4394-B9B2-AB3ECF6C0DF6}"/>
    <cellStyle name="Normal 5 3 8 4" xfId="9852" xr:uid="{5F3D9214-F5B4-4B25-969D-FD19459887E9}"/>
    <cellStyle name="Normal 5 3 9" xfId="1745" xr:uid="{00000000-0005-0000-0000-0000A71A0000}"/>
    <cellStyle name="Normal 5 3 9 2" xfId="3975" xr:uid="{00000000-0005-0000-0000-0000A81A0000}"/>
    <cellStyle name="Normal 5 3 9 2 2" xfId="8199" xr:uid="{00000000-0005-0000-0000-0000A91A0000}"/>
    <cellStyle name="Normal 5 3 9 2 2 2" xfId="16628" xr:uid="{A8CF1A12-B7F6-4C82-A494-F8F960B3A7DB}"/>
    <cellStyle name="Normal 5 3 9 2 3" xfId="12410" xr:uid="{36A24B4C-FD47-4B6B-8139-F382BC8D44BF}"/>
    <cellStyle name="Normal 5 3 9 3" xfId="6054" xr:uid="{00000000-0005-0000-0000-0000AA1A0000}"/>
    <cellStyle name="Normal 5 3 9 3 2" xfId="14483" xr:uid="{77092BB8-A9E3-45EE-9F4A-19386EF269AA}"/>
    <cellStyle name="Normal 5 3 9 4" xfId="10265" xr:uid="{9E539930-7086-4626-ABF5-13664ECF1617}"/>
    <cellStyle name="Normal 5 4" xfId="456" xr:uid="{00000000-0005-0000-0000-0000AB1A0000}"/>
    <cellStyle name="Normal 5 4 10" xfId="4831" xr:uid="{00000000-0005-0000-0000-0000AC1A0000}"/>
    <cellStyle name="Normal 5 4 10 2" xfId="13260" xr:uid="{99AF1F35-53EC-49B7-B1C8-0D0EA0B551CF}"/>
    <cellStyle name="Normal 5 4 11" xfId="9042" xr:uid="{4CA844CB-E71D-4BD6-B70A-E23FB4EA8182}"/>
    <cellStyle name="Normal 5 4 2" xfId="457" xr:uid="{00000000-0005-0000-0000-0000AD1A0000}"/>
    <cellStyle name="Normal 5 4 2 10" xfId="9043" xr:uid="{10F7FA15-80FC-48C0-B40F-A6D986333409}"/>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3ABBCC77-2F48-472B-A9F0-72BCA19A308C}"/>
    <cellStyle name="Normal 5 4 2 2 2 2 2 3" xfId="11603" xr:uid="{86D2CBE9-B4AA-4760-B57A-3D4BA1228777}"/>
    <cellStyle name="Normal 5 4 2 2 2 2 3" xfId="5247" xr:uid="{00000000-0005-0000-0000-0000B31A0000}"/>
    <cellStyle name="Normal 5 4 2 2 2 2 3 2" xfId="13676" xr:uid="{35733B73-0541-469B-806A-A6B2CABB89F3}"/>
    <cellStyle name="Normal 5 4 2 2 2 2 4" xfId="9458" xr:uid="{BABAB2F4-5457-4970-BDB4-09F5155768FB}"/>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21682702-AA5C-4FF5-941F-50E4AF1E12F5}"/>
    <cellStyle name="Normal 5 4 2 2 2 3 2 3" xfId="12016" xr:uid="{E7DB3036-1A70-4CFE-AEAB-500E3A39E888}"/>
    <cellStyle name="Normal 5 4 2 2 2 3 3" xfId="5660" xr:uid="{00000000-0005-0000-0000-0000B71A0000}"/>
    <cellStyle name="Normal 5 4 2 2 2 3 3 2" xfId="14089" xr:uid="{DF00F81A-738B-44EC-B5A1-E179DC09BC22}"/>
    <cellStyle name="Normal 5 4 2 2 2 3 4" xfId="9871" xr:uid="{BFA8ECA1-6E31-4616-BCFE-F1802DF3A5CF}"/>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858DC113-C235-46F0-8D02-7EF3217C7BEA}"/>
    <cellStyle name="Normal 5 4 2 2 2 4 2 3" xfId="12429" xr:uid="{FD2FD8C7-8BB8-4CF8-800E-536CE73AFBFD}"/>
    <cellStyle name="Normal 5 4 2 2 2 4 3" xfId="6073" xr:uid="{00000000-0005-0000-0000-0000BB1A0000}"/>
    <cellStyle name="Normal 5 4 2 2 2 4 3 2" xfId="14502" xr:uid="{201CA9FA-7DE2-438C-AB95-74801A777AB2}"/>
    <cellStyle name="Normal 5 4 2 2 2 4 4" xfId="10284" xr:uid="{C6C29435-6187-4D2C-BC2C-43680EE3EB5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32C9060F-0CEE-42A7-B43E-6BCA3F298B33}"/>
    <cellStyle name="Normal 5 4 2 2 2 5 2 3" xfId="12842" xr:uid="{F6F527B8-9122-4FC1-BE97-66CF227332C9}"/>
    <cellStyle name="Normal 5 4 2 2 2 5 3" xfId="6486" xr:uid="{00000000-0005-0000-0000-0000BF1A0000}"/>
    <cellStyle name="Normal 5 4 2 2 2 5 3 2" xfId="14915" xr:uid="{CFA1FF5F-7EDC-400A-9AE7-63DF5270686C}"/>
    <cellStyle name="Normal 5 4 2 2 2 5 4" xfId="10697" xr:uid="{CD7459AC-7ACF-47E5-8096-10D321F4DE33}"/>
    <cellStyle name="Normal 5 4 2 2 2 6" xfId="2614" xr:uid="{00000000-0005-0000-0000-0000C01A0000}"/>
    <cellStyle name="Normal 5 4 2 2 2 6 2" xfId="6899" xr:uid="{00000000-0005-0000-0000-0000C11A0000}"/>
    <cellStyle name="Normal 5 4 2 2 2 6 2 2" xfId="15328" xr:uid="{CC0ADAA9-3E46-4DB3-BF63-2C5F5AA1BEE1}"/>
    <cellStyle name="Normal 5 4 2 2 2 6 3" xfId="11110" xr:uid="{05A2D2A3-47B0-4105-A4E4-8E1A48D7393A}"/>
    <cellStyle name="Normal 5 4 2 2 2 7" xfId="4834" xr:uid="{00000000-0005-0000-0000-0000C21A0000}"/>
    <cellStyle name="Normal 5 4 2 2 2 7 2" xfId="13263" xr:uid="{DA2473A6-4648-46C9-940C-8DFAF17AC46C}"/>
    <cellStyle name="Normal 5 4 2 2 2 8" xfId="9045" xr:uid="{E4A2ACD1-2E73-4B28-B956-AC59A521F667}"/>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46484CCC-6E81-4B0B-8990-DBB5879FF15B}"/>
    <cellStyle name="Normal 5 4 2 2 3 2 3" xfId="11602" xr:uid="{9BC72EA4-AF14-432B-BAD6-9B1453F7600D}"/>
    <cellStyle name="Normal 5 4 2 2 3 3" xfId="5246" xr:uid="{00000000-0005-0000-0000-0000C61A0000}"/>
    <cellStyle name="Normal 5 4 2 2 3 3 2" xfId="13675" xr:uid="{13F6FEC7-DC22-4FE6-A1D0-D354F076FDF2}"/>
    <cellStyle name="Normal 5 4 2 2 3 4" xfId="9457" xr:uid="{CC8266A0-921E-4E54-A2A7-534883D4CFEE}"/>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AB27D00B-6868-4EC4-8440-120AFD1293B2}"/>
    <cellStyle name="Normal 5 4 2 2 4 2 3" xfId="12015" xr:uid="{96592ED3-E7B4-46BC-9A6E-400FC7BB59F0}"/>
    <cellStyle name="Normal 5 4 2 2 4 3" xfId="5659" xr:uid="{00000000-0005-0000-0000-0000CA1A0000}"/>
    <cellStyle name="Normal 5 4 2 2 4 3 2" xfId="14088" xr:uid="{825A7C00-6235-4FB0-B8E5-5A4EC4939277}"/>
    <cellStyle name="Normal 5 4 2 2 4 4" xfId="9870" xr:uid="{C01849A3-8688-40A5-970C-8A1393004502}"/>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DA7DCB66-242A-4E17-948F-C82C321F9848}"/>
    <cellStyle name="Normal 5 4 2 2 5 2 3" xfId="12428" xr:uid="{5DA08251-392E-4DFE-9920-0C884C0A3E5C}"/>
    <cellStyle name="Normal 5 4 2 2 5 3" xfId="6072" xr:uid="{00000000-0005-0000-0000-0000CE1A0000}"/>
    <cellStyle name="Normal 5 4 2 2 5 3 2" xfId="14501" xr:uid="{1E987C21-4468-4EE4-A8A5-7AEA2E933026}"/>
    <cellStyle name="Normal 5 4 2 2 5 4" xfId="10283" xr:uid="{272B053A-211A-4707-8296-F34B4D75FB2C}"/>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FC2E896F-FF2E-4473-95D7-F6D7B489BD3F}"/>
    <cellStyle name="Normal 5 4 2 2 6 2 3" xfId="12841" xr:uid="{DC00A2D6-330B-4476-A4B1-008D59D5E542}"/>
    <cellStyle name="Normal 5 4 2 2 6 3" xfId="6485" xr:uid="{00000000-0005-0000-0000-0000D21A0000}"/>
    <cellStyle name="Normal 5 4 2 2 6 3 2" xfId="14914" xr:uid="{9E02D23E-8A3C-4FA1-8DA4-F5484C971DEF}"/>
    <cellStyle name="Normal 5 4 2 2 6 4" xfId="10696" xr:uid="{2B53C0D9-DB7C-49F8-B9CF-90A80E1281E3}"/>
    <cellStyle name="Normal 5 4 2 2 7" xfId="2613" xr:uid="{00000000-0005-0000-0000-0000D31A0000}"/>
    <cellStyle name="Normal 5 4 2 2 7 2" xfId="6898" xr:uid="{00000000-0005-0000-0000-0000D41A0000}"/>
    <cellStyle name="Normal 5 4 2 2 7 2 2" xfId="15327" xr:uid="{97E957BE-637D-4689-BAE1-EA1CD653A963}"/>
    <cellStyle name="Normal 5 4 2 2 7 3" xfId="11109" xr:uid="{F317BA61-B458-4903-B457-CFF9A9601739}"/>
    <cellStyle name="Normal 5 4 2 2 8" xfId="4833" xr:uid="{00000000-0005-0000-0000-0000D51A0000}"/>
    <cellStyle name="Normal 5 4 2 2 8 2" xfId="13262" xr:uid="{BAE22FAF-5F49-4907-B177-DA92E51FEBE0}"/>
    <cellStyle name="Normal 5 4 2 2 9" xfId="9044" xr:uid="{7168E6FB-95D3-4807-979D-CA07CD2F565D}"/>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37444B23-8335-4014-BA7A-55ED5C3A3A02}"/>
    <cellStyle name="Normal 5 4 2 3 2 2 3" xfId="11604" xr:uid="{AC3FCD49-31CA-4303-A55D-F81CA9015BD4}"/>
    <cellStyle name="Normal 5 4 2 3 2 3" xfId="5248" xr:uid="{00000000-0005-0000-0000-0000DA1A0000}"/>
    <cellStyle name="Normal 5 4 2 3 2 3 2" xfId="13677" xr:uid="{83F3569A-D26C-4756-9E57-49617CCFAF7E}"/>
    <cellStyle name="Normal 5 4 2 3 2 4" xfId="9459" xr:uid="{9DF8021D-F8E6-444A-B283-D2141AB2D96C}"/>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D49F1C0C-D78A-4654-A005-641191A1F44F}"/>
    <cellStyle name="Normal 5 4 2 3 3 2 3" xfId="12017" xr:uid="{E9F2A0D7-5724-4B0A-A560-0436CB4B7889}"/>
    <cellStyle name="Normal 5 4 2 3 3 3" xfId="5661" xr:uid="{00000000-0005-0000-0000-0000DE1A0000}"/>
    <cellStyle name="Normal 5 4 2 3 3 3 2" xfId="14090" xr:uid="{202EC257-10C1-4454-B930-C08804AD4516}"/>
    <cellStyle name="Normal 5 4 2 3 3 4" xfId="9872" xr:uid="{EB9A3BED-9542-427E-8069-8A7E913448B0}"/>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8D25E5FB-44F3-4FE6-85A4-8D2EEF277145}"/>
    <cellStyle name="Normal 5 4 2 3 4 2 3" xfId="12430" xr:uid="{C24ED721-EA17-4DCE-929E-3382D6BC1684}"/>
    <cellStyle name="Normal 5 4 2 3 4 3" xfId="6074" xr:uid="{00000000-0005-0000-0000-0000E21A0000}"/>
    <cellStyle name="Normal 5 4 2 3 4 3 2" xfId="14503" xr:uid="{E6CDFECF-B2F0-47E8-8FEB-E40A1BF77BE0}"/>
    <cellStyle name="Normal 5 4 2 3 4 4" xfId="10285" xr:uid="{11233316-47BD-46AE-AC31-0AEAE4D9AD2C}"/>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A9E30CF3-B310-43DD-BBA1-B913098AAB6B}"/>
    <cellStyle name="Normal 5 4 2 3 5 2 3" xfId="12843" xr:uid="{81C26DFB-FD61-487E-8D10-A053CAF1504A}"/>
    <cellStyle name="Normal 5 4 2 3 5 3" xfId="6487" xr:uid="{00000000-0005-0000-0000-0000E61A0000}"/>
    <cellStyle name="Normal 5 4 2 3 5 3 2" xfId="14916" xr:uid="{E12F4661-2F45-462A-A179-6BC8D7DCBDE0}"/>
    <cellStyle name="Normal 5 4 2 3 5 4" xfId="10698" xr:uid="{D9D4F467-41BE-4958-B06C-92351FB3D06E}"/>
    <cellStyle name="Normal 5 4 2 3 6" xfId="2615" xr:uid="{00000000-0005-0000-0000-0000E71A0000}"/>
    <cellStyle name="Normal 5 4 2 3 6 2" xfId="6900" xr:uid="{00000000-0005-0000-0000-0000E81A0000}"/>
    <cellStyle name="Normal 5 4 2 3 6 2 2" xfId="15329" xr:uid="{27CF644C-BE49-4BA8-84F9-BC5E26390B7D}"/>
    <cellStyle name="Normal 5 4 2 3 6 3" xfId="11111" xr:uid="{C61DA023-8602-4AA7-B56F-3A7473345C76}"/>
    <cellStyle name="Normal 5 4 2 3 7" xfId="4835" xr:uid="{00000000-0005-0000-0000-0000E91A0000}"/>
    <cellStyle name="Normal 5 4 2 3 7 2" xfId="13264" xr:uid="{3D4F63FE-C58D-4B8B-9ADD-4A76BE5DCBEF}"/>
    <cellStyle name="Normal 5 4 2 3 8" xfId="9046" xr:uid="{868E8FF9-E157-400A-BAF8-F9681F976340}"/>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9B461756-BA9C-4760-848B-F25E0E766A4F}"/>
    <cellStyle name="Normal 5 4 2 4 2 3" xfId="11601" xr:uid="{4903B406-1A56-4A26-9642-B61A102E0E2F}"/>
    <cellStyle name="Normal 5 4 2 4 3" xfId="5245" xr:uid="{00000000-0005-0000-0000-0000ED1A0000}"/>
    <cellStyle name="Normal 5 4 2 4 3 2" xfId="13674" xr:uid="{2004CD34-A85A-420F-B916-6CBFC624345A}"/>
    <cellStyle name="Normal 5 4 2 4 4" xfId="9456" xr:uid="{0AABBF79-5087-4BAE-B2C5-B955F9647C30}"/>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DB85076E-0C66-4444-8AA0-6DBD35F2A068}"/>
    <cellStyle name="Normal 5 4 2 5 2 3" xfId="12014" xr:uid="{72B88D85-8F63-49CF-83EC-E170B15416F1}"/>
    <cellStyle name="Normal 5 4 2 5 3" xfId="5658" xr:uid="{00000000-0005-0000-0000-0000F11A0000}"/>
    <cellStyle name="Normal 5 4 2 5 3 2" xfId="14087" xr:uid="{B9751381-D931-484E-9F67-585D7CD02480}"/>
    <cellStyle name="Normal 5 4 2 5 4" xfId="9869" xr:uid="{7746DCE2-F3EC-49CF-8B6D-49D3F83300C9}"/>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32E00952-07C6-4871-9B05-BDF8BA6C39A6}"/>
    <cellStyle name="Normal 5 4 2 6 2 3" xfId="12427" xr:uid="{8D73D59F-28F9-4E6A-A8A8-2F8D6039833B}"/>
    <cellStyle name="Normal 5 4 2 6 3" xfId="6071" xr:uid="{00000000-0005-0000-0000-0000F51A0000}"/>
    <cellStyle name="Normal 5 4 2 6 3 2" xfId="14500" xr:uid="{4A6FF64B-327E-482D-8B9E-606AD045BC8A}"/>
    <cellStyle name="Normal 5 4 2 6 4" xfId="10282" xr:uid="{9C727479-3A0A-4E96-AD21-89E5AF34E019}"/>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8197D784-04A1-4503-9440-9482D6AAF8E0}"/>
    <cellStyle name="Normal 5 4 2 7 2 3" xfId="12840" xr:uid="{968749F1-9A6F-46AB-8717-9DC33C47119B}"/>
    <cellStyle name="Normal 5 4 2 7 3" xfId="6484" xr:uid="{00000000-0005-0000-0000-0000F91A0000}"/>
    <cellStyle name="Normal 5 4 2 7 3 2" xfId="14913" xr:uid="{89B5DA7E-B837-4A3C-AA29-8CE9B7D427F4}"/>
    <cellStyle name="Normal 5 4 2 7 4" xfId="10695" xr:uid="{C5FC7D4E-D69B-4351-8B0F-8593171ACD50}"/>
    <cellStyle name="Normal 5 4 2 8" xfId="2612" xr:uid="{00000000-0005-0000-0000-0000FA1A0000}"/>
    <cellStyle name="Normal 5 4 2 8 2" xfId="6897" xr:uid="{00000000-0005-0000-0000-0000FB1A0000}"/>
    <cellStyle name="Normal 5 4 2 8 2 2" xfId="15326" xr:uid="{D9EF5704-CBEC-402C-B623-318E2BFC5DC6}"/>
    <cellStyle name="Normal 5 4 2 8 3" xfId="11108" xr:uid="{5D8E95C9-363F-431D-9729-9FAD633C10FA}"/>
    <cellStyle name="Normal 5 4 2 9" xfId="4832" xr:uid="{00000000-0005-0000-0000-0000FC1A0000}"/>
    <cellStyle name="Normal 5 4 2 9 2" xfId="13261" xr:uid="{59E5A802-F938-444C-8E3E-FB2C9F7DC378}"/>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287DC12E-93DE-4074-9AEE-85127E458162}"/>
    <cellStyle name="Normal 5 4 3 2 2 2 3" xfId="11606" xr:uid="{D914EF66-AA36-4942-B3B2-7EA24D640009}"/>
    <cellStyle name="Normal 5 4 3 2 2 3" xfId="5250" xr:uid="{00000000-0005-0000-0000-0000021B0000}"/>
    <cellStyle name="Normal 5 4 3 2 2 3 2" xfId="13679" xr:uid="{30F9996D-69E9-4AEF-8688-781C6BFDD3A6}"/>
    <cellStyle name="Normal 5 4 3 2 2 4" xfId="9461" xr:uid="{1176A984-2DBF-44F9-9710-51F22DCFB572}"/>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12C47B66-F23E-4727-AF57-2EBA30FD43E4}"/>
    <cellStyle name="Normal 5 4 3 2 3 2 3" xfId="12019" xr:uid="{AA01820B-CFE7-469E-B5BA-FC23365508FC}"/>
    <cellStyle name="Normal 5 4 3 2 3 3" xfId="5663" xr:uid="{00000000-0005-0000-0000-0000061B0000}"/>
    <cellStyle name="Normal 5 4 3 2 3 3 2" xfId="14092" xr:uid="{BEFB7193-BDE7-46C0-9756-A456478BE434}"/>
    <cellStyle name="Normal 5 4 3 2 3 4" xfId="9874" xr:uid="{BC72DCDA-F72E-4102-936D-CB29F380E259}"/>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196396FA-F850-4C50-9D40-6EF30B4AA4E9}"/>
    <cellStyle name="Normal 5 4 3 2 4 2 3" xfId="12432" xr:uid="{C3547EF6-8574-40E8-B1AB-92D2081A2237}"/>
    <cellStyle name="Normal 5 4 3 2 4 3" xfId="6076" xr:uid="{00000000-0005-0000-0000-00000A1B0000}"/>
    <cellStyle name="Normal 5 4 3 2 4 3 2" xfId="14505" xr:uid="{FDE2ED16-279F-4B0E-9573-4A3E00BA20F7}"/>
    <cellStyle name="Normal 5 4 3 2 4 4" xfId="10287" xr:uid="{CC8D509B-338E-4BCB-8990-DA63CE8F5905}"/>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683B88E0-F940-4956-8EC0-5D9DD5AF8FD3}"/>
    <cellStyle name="Normal 5 4 3 2 5 2 3" xfId="12845" xr:uid="{5536F23B-3DA0-4E8E-815F-BA5AB97208ED}"/>
    <cellStyle name="Normal 5 4 3 2 5 3" xfId="6489" xr:uid="{00000000-0005-0000-0000-00000E1B0000}"/>
    <cellStyle name="Normal 5 4 3 2 5 3 2" xfId="14918" xr:uid="{165A602E-4F46-47E6-A99B-BEA24D2EF2CF}"/>
    <cellStyle name="Normal 5 4 3 2 5 4" xfId="10700" xr:uid="{3F2AF04C-6A48-4609-9214-5B1ECCC0C3E7}"/>
    <cellStyle name="Normal 5 4 3 2 6" xfId="2617" xr:uid="{00000000-0005-0000-0000-00000F1B0000}"/>
    <cellStyle name="Normal 5 4 3 2 6 2" xfId="6902" xr:uid="{00000000-0005-0000-0000-0000101B0000}"/>
    <cellStyle name="Normal 5 4 3 2 6 2 2" xfId="15331" xr:uid="{7B431150-B2BD-4176-813A-7FF9F51B2329}"/>
    <cellStyle name="Normal 5 4 3 2 6 3" xfId="11113" xr:uid="{74D4F1BC-4E41-4F40-A8AD-C32FCDDC1E6B}"/>
    <cellStyle name="Normal 5 4 3 2 7" xfId="4837" xr:uid="{00000000-0005-0000-0000-0000111B0000}"/>
    <cellStyle name="Normal 5 4 3 2 7 2" xfId="13266" xr:uid="{E9CDBBA7-9096-484B-97A8-F91032FAAD3A}"/>
    <cellStyle name="Normal 5 4 3 2 8" xfId="9048" xr:uid="{F71D3001-BC74-48F6-848C-505FF48D8B65}"/>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832820D3-8E2B-4BE3-9931-F8F97D6837C1}"/>
    <cellStyle name="Normal 5 4 3 3 2 3" xfId="11605" xr:uid="{FEE6CFC7-2355-421D-BA09-1372CBFA9283}"/>
    <cellStyle name="Normal 5 4 3 3 3" xfId="5249" xr:uid="{00000000-0005-0000-0000-0000151B0000}"/>
    <cellStyle name="Normal 5 4 3 3 3 2" xfId="13678" xr:uid="{7009F223-DCB7-486C-BE3B-A9814A940069}"/>
    <cellStyle name="Normal 5 4 3 3 4" xfId="9460" xr:uid="{2A8B302C-3124-482C-8B2B-100246D739F5}"/>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69194897-C220-49DB-AFFC-E0B4523B7BC8}"/>
    <cellStyle name="Normal 5 4 3 4 2 3" xfId="12018" xr:uid="{D80BADFB-DB94-473E-B1AD-D93FE0A7197F}"/>
    <cellStyle name="Normal 5 4 3 4 3" xfId="5662" xr:uid="{00000000-0005-0000-0000-0000191B0000}"/>
    <cellStyle name="Normal 5 4 3 4 3 2" xfId="14091" xr:uid="{6B4CAABE-D84F-41C8-B183-A264E1913ABC}"/>
    <cellStyle name="Normal 5 4 3 4 4" xfId="9873" xr:uid="{D37CD6F1-E91C-400A-B5C6-2A5AC15EC799}"/>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E00C0952-F35E-41B6-B1EB-5CB7270D4E25}"/>
    <cellStyle name="Normal 5 4 3 5 2 3" xfId="12431" xr:uid="{B20A6D0A-6861-4CED-AE25-0A219187452C}"/>
    <cellStyle name="Normal 5 4 3 5 3" xfId="6075" xr:uid="{00000000-0005-0000-0000-00001D1B0000}"/>
    <cellStyle name="Normal 5 4 3 5 3 2" xfId="14504" xr:uid="{B0613271-110C-4385-80A2-C1503DF8FDF2}"/>
    <cellStyle name="Normal 5 4 3 5 4" xfId="10286" xr:uid="{801A7240-E612-46BD-BF3D-2D1508AD8C4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A2AF43F9-5694-4713-AA88-76E0DE435DF3}"/>
    <cellStyle name="Normal 5 4 3 6 2 3" xfId="12844" xr:uid="{5DFDF588-C961-45F6-8FD6-6E2DD75BC94A}"/>
    <cellStyle name="Normal 5 4 3 6 3" xfId="6488" xr:uid="{00000000-0005-0000-0000-0000211B0000}"/>
    <cellStyle name="Normal 5 4 3 6 3 2" xfId="14917" xr:uid="{85669EBF-756F-46B1-8E58-26B883AA2AE5}"/>
    <cellStyle name="Normal 5 4 3 6 4" xfId="10699" xr:uid="{E6A63487-3058-41A8-8A34-6E0CF5157DB9}"/>
    <cellStyle name="Normal 5 4 3 7" xfId="2616" xr:uid="{00000000-0005-0000-0000-0000221B0000}"/>
    <cellStyle name="Normal 5 4 3 7 2" xfId="6901" xr:uid="{00000000-0005-0000-0000-0000231B0000}"/>
    <cellStyle name="Normal 5 4 3 7 2 2" xfId="15330" xr:uid="{654B3514-4216-47F6-B336-8C5BF87C49EF}"/>
    <cellStyle name="Normal 5 4 3 7 3" xfId="11112" xr:uid="{4DB87079-7C67-44F8-A0A4-97892B0C4AE6}"/>
    <cellStyle name="Normal 5 4 3 8" xfId="4836" xr:uid="{00000000-0005-0000-0000-0000241B0000}"/>
    <cellStyle name="Normal 5 4 3 8 2" xfId="13265" xr:uid="{0C7B2FC5-73C9-489D-8EC9-38E31E8FF9D0}"/>
    <cellStyle name="Normal 5 4 3 9" xfId="9047" xr:uid="{411D8BAD-F41A-4934-9F86-B60D3517E337}"/>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73C0FF34-6C33-4761-8C0E-262D11B19279}"/>
    <cellStyle name="Normal 5 4 4 2 2 3" xfId="11607" xr:uid="{C17BE0A8-65A1-452F-9B79-F8006B2845B4}"/>
    <cellStyle name="Normal 5 4 4 2 3" xfId="5251" xr:uid="{00000000-0005-0000-0000-0000291B0000}"/>
    <cellStyle name="Normal 5 4 4 2 3 2" xfId="13680" xr:uid="{D88C79A7-66E0-4930-903E-9F107DBFC904}"/>
    <cellStyle name="Normal 5 4 4 2 4" xfId="9462" xr:uid="{2287790F-8599-4E5C-8A0F-AB498CE6C401}"/>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9395432F-A505-4B21-BDE5-208FC17B2C29}"/>
    <cellStyle name="Normal 5 4 4 3 2 3" xfId="12020" xr:uid="{F43189AC-2F98-44C9-B2C4-0D2767445BE0}"/>
    <cellStyle name="Normal 5 4 4 3 3" xfId="5664" xr:uid="{00000000-0005-0000-0000-00002D1B0000}"/>
    <cellStyle name="Normal 5 4 4 3 3 2" xfId="14093" xr:uid="{6E1851FA-99BC-4F0A-B9AC-18C3B2D4F4EB}"/>
    <cellStyle name="Normal 5 4 4 3 4" xfId="9875" xr:uid="{9E72EF30-C1FD-43EA-94C1-FE644EF838B3}"/>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1B1A21C4-6523-46E3-981A-2B1743DE9580}"/>
    <cellStyle name="Normal 5 4 4 4 2 3" xfId="12433" xr:uid="{34C04CE9-EE68-45D6-AAF6-4348D9BE4D2B}"/>
    <cellStyle name="Normal 5 4 4 4 3" xfId="6077" xr:uid="{00000000-0005-0000-0000-0000311B0000}"/>
    <cellStyle name="Normal 5 4 4 4 3 2" xfId="14506" xr:uid="{7AE2EA63-A9AA-4F66-B4AE-BD087E844453}"/>
    <cellStyle name="Normal 5 4 4 4 4" xfId="10288" xr:uid="{1C1D984F-E958-4AE1-87A5-5C49D9568AA7}"/>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199526B2-E47E-4B19-8F1B-DD5F077DD236}"/>
    <cellStyle name="Normal 5 4 4 5 2 3" xfId="12846" xr:uid="{AF603477-B803-4D85-B564-4F94FBC972FF}"/>
    <cellStyle name="Normal 5 4 4 5 3" xfId="6490" xr:uid="{00000000-0005-0000-0000-0000351B0000}"/>
    <cellStyle name="Normal 5 4 4 5 3 2" xfId="14919" xr:uid="{F31F9EAF-B038-4D36-84FB-3D89BA205750}"/>
    <cellStyle name="Normal 5 4 4 5 4" xfId="10701" xr:uid="{43848663-6BF8-4538-B413-EC6719019083}"/>
    <cellStyle name="Normal 5 4 4 6" xfId="2618" xr:uid="{00000000-0005-0000-0000-0000361B0000}"/>
    <cellStyle name="Normal 5 4 4 6 2" xfId="6903" xr:uid="{00000000-0005-0000-0000-0000371B0000}"/>
    <cellStyle name="Normal 5 4 4 6 2 2" xfId="15332" xr:uid="{705248A4-E778-41B1-BEEF-555FA7D226F5}"/>
    <cellStyle name="Normal 5 4 4 6 3" xfId="11114" xr:uid="{438C8183-CF5D-4958-AC24-AE897C6AFC17}"/>
    <cellStyle name="Normal 5 4 4 7" xfId="4838" xr:uid="{00000000-0005-0000-0000-0000381B0000}"/>
    <cellStyle name="Normal 5 4 4 7 2" xfId="13267" xr:uid="{5DCCA6E1-9CB1-4691-B216-7800E0A5113E}"/>
    <cellStyle name="Normal 5 4 4 8" xfId="9049" xr:uid="{EB649641-324F-46D4-A545-D80281B2DC3B}"/>
    <cellStyle name="Normal 5 4 5" xfId="931" xr:uid="{00000000-0005-0000-0000-0000391B0000}"/>
    <cellStyle name="Normal 5 4 5 2" xfId="3165" xr:uid="{00000000-0005-0000-0000-00003A1B0000}"/>
    <cellStyle name="Normal 5 4 5 2 2" xfId="7389" xr:uid="{00000000-0005-0000-0000-00003B1B0000}"/>
    <cellStyle name="Normal 5 4 5 2 2 2" xfId="15818" xr:uid="{40934F8D-14B1-4F69-9F55-2FA3ED810AAB}"/>
    <cellStyle name="Normal 5 4 5 2 3" xfId="11600" xr:uid="{0E9D1EF3-6B6C-4326-93FC-3C775772AECD}"/>
    <cellStyle name="Normal 5 4 5 3" xfId="5244" xr:uid="{00000000-0005-0000-0000-00003C1B0000}"/>
    <cellStyle name="Normal 5 4 5 3 2" xfId="13673" xr:uid="{72A41F65-FA7C-4490-AB93-AF5FCCAE9F67}"/>
    <cellStyle name="Normal 5 4 5 4" xfId="9455" xr:uid="{08447E6F-4E8B-4337-A835-23BC6A100955}"/>
    <cellStyle name="Normal 5 4 6" xfId="1348" xr:uid="{00000000-0005-0000-0000-00003D1B0000}"/>
    <cellStyle name="Normal 5 4 6 2" xfId="3578" xr:uid="{00000000-0005-0000-0000-00003E1B0000}"/>
    <cellStyle name="Normal 5 4 6 2 2" xfId="7802" xr:uid="{00000000-0005-0000-0000-00003F1B0000}"/>
    <cellStyle name="Normal 5 4 6 2 2 2" xfId="16231" xr:uid="{C231D3A8-BEAA-4420-AB0A-F39B5F08D0E9}"/>
    <cellStyle name="Normal 5 4 6 2 3" xfId="12013" xr:uid="{927B792E-FDB3-464F-978F-F11656D47076}"/>
    <cellStyle name="Normal 5 4 6 3" xfId="5657" xr:uid="{00000000-0005-0000-0000-0000401B0000}"/>
    <cellStyle name="Normal 5 4 6 3 2" xfId="14086" xr:uid="{5BAB4E2E-57C2-4946-A51E-3E18BD83D0C4}"/>
    <cellStyle name="Normal 5 4 6 4" xfId="9868" xr:uid="{88AB9C23-2359-4ECF-80B8-000A29BF314F}"/>
    <cellStyle name="Normal 5 4 7" xfId="1761" xr:uid="{00000000-0005-0000-0000-0000411B0000}"/>
    <cellStyle name="Normal 5 4 7 2" xfId="3991" xr:uid="{00000000-0005-0000-0000-0000421B0000}"/>
    <cellStyle name="Normal 5 4 7 2 2" xfId="8215" xr:uid="{00000000-0005-0000-0000-0000431B0000}"/>
    <cellStyle name="Normal 5 4 7 2 2 2" xfId="16644" xr:uid="{22C4BCA3-A8BB-4AB5-8FE0-AFD310645241}"/>
    <cellStyle name="Normal 5 4 7 2 3" xfId="12426" xr:uid="{BED3827C-7515-4E38-8153-61B926BB37C4}"/>
    <cellStyle name="Normal 5 4 7 3" xfId="6070" xr:uid="{00000000-0005-0000-0000-0000441B0000}"/>
    <cellStyle name="Normal 5 4 7 3 2" xfId="14499" xr:uid="{B8758F93-657C-42FA-965D-86C53A1D53BF}"/>
    <cellStyle name="Normal 5 4 7 4" xfId="10281" xr:uid="{C9956E27-B9B0-42ED-95B6-158BDFE109AA}"/>
    <cellStyle name="Normal 5 4 8" xfId="2175" xr:uid="{00000000-0005-0000-0000-0000451B0000}"/>
    <cellStyle name="Normal 5 4 8 2" xfId="4404" xr:uid="{00000000-0005-0000-0000-0000461B0000}"/>
    <cellStyle name="Normal 5 4 8 2 2" xfId="8628" xr:uid="{00000000-0005-0000-0000-0000471B0000}"/>
    <cellStyle name="Normal 5 4 8 2 2 2" xfId="17057" xr:uid="{9E0106F9-97C3-40B9-8D4F-67A5CA568BD0}"/>
    <cellStyle name="Normal 5 4 8 2 3" xfId="12839" xr:uid="{03EC8EB3-D660-4A66-AB5A-81E14F3FDAA3}"/>
    <cellStyle name="Normal 5 4 8 3" xfId="6483" xr:uid="{00000000-0005-0000-0000-0000481B0000}"/>
    <cellStyle name="Normal 5 4 8 3 2" xfId="14912" xr:uid="{E27AE9B8-4F0B-401F-B1EB-AA67458622DA}"/>
    <cellStyle name="Normal 5 4 8 4" xfId="10694" xr:uid="{1241EBCC-6759-4959-AFA6-B3A70834026E}"/>
    <cellStyle name="Normal 5 4 9" xfId="2611" xr:uid="{00000000-0005-0000-0000-0000491B0000}"/>
    <cellStyle name="Normal 5 4 9 2" xfId="6896" xr:uid="{00000000-0005-0000-0000-00004A1B0000}"/>
    <cellStyle name="Normal 5 4 9 2 2" xfId="15325" xr:uid="{FC257B7D-AA0E-404E-8AFE-88F21A77DD9B}"/>
    <cellStyle name="Normal 5 4 9 3" xfId="11107" xr:uid="{798D5D25-0780-4F76-B02C-B71B77E70184}"/>
    <cellStyle name="Normal 5 5" xfId="464" xr:uid="{00000000-0005-0000-0000-00004B1B0000}"/>
    <cellStyle name="Normal 5 5 10" xfId="9050" xr:uid="{CB374E0E-B9CA-409B-B517-BA1295077F76}"/>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23C4C6C2-84E2-4EF1-BAD3-61B6E7C39FDF}"/>
    <cellStyle name="Normal 5 5 2 2 2 2 3" xfId="11610" xr:uid="{303D6962-6F06-4A30-A795-B115D9D2703D}"/>
    <cellStyle name="Normal 5 5 2 2 2 3" xfId="5254" xr:uid="{00000000-0005-0000-0000-0000511B0000}"/>
    <cellStyle name="Normal 5 5 2 2 2 3 2" xfId="13683" xr:uid="{A0725398-14CA-4088-95D6-1EE896D93413}"/>
    <cellStyle name="Normal 5 5 2 2 2 4" xfId="9465" xr:uid="{DB98D4EA-B2A7-4993-917C-B411C7EA26F9}"/>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1CC33C22-5ABA-4508-A2A5-C38206D7BBB4}"/>
    <cellStyle name="Normal 5 5 2 2 3 2 3" xfId="12023" xr:uid="{38B2D20E-FD53-44D6-A40B-C7B836F7E6A1}"/>
    <cellStyle name="Normal 5 5 2 2 3 3" xfId="5667" xr:uid="{00000000-0005-0000-0000-0000551B0000}"/>
    <cellStyle name="Normal 5 5 2 2 3 3 2" xfId="14096" xr:uid="{4FF4E30F-7D0A-41E9-957C-43BCCF94ABEC}"/>
    <cellStyle name="Normal 5 5 2 2 3 4" xfId="9878" xr:uid="{BE900594-BFBF-41F2-A799-71D97D3BE33A}"/>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94057617-23FB-4FA8-AD5F-9D012EE29C06}"/>
    <cellStyle name="Normal 5 5 2 2 4 2 3" xfId="12436" xr:uid="{DF9DE854-DA20-4DB6-82D5-387021848F1B}"/>
    <cellStyle name="Normal 5 5 2 2 4 3" xfId="6080" xr:uid="{00000000-0005-0000-0000-0000591B0000}"/>
    <cellStyle name="Normal 5 5 2 2 4 3 2" xfId="14509" xr:uid="{41B1675D-674D-4FBD-8D4B-89EF023CC63F}"/>
    <cellStyle name="Normal 5 5 2 2 4 4" xfId="10291" xr:uid="{9E3E4F7E-40AB-4041-8C21-E3785903762D}"/>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A1BAD9A4-E42F-4C96-9B6E-BE8D705DF761}"/>
    <cellStyle name="Normal 5 5 2 2 5 2 3" xfId="12849" xr:uid="{EB023603-1054-4166-A29C-B46E4EA929F8}"/>
    <cellStyle name="Normal 5 5 2 2 5 3" xfId="6493" xr:uid="{00000000-0005-0000-0000-00005D1B0000}"/>
    <cellStyle name="Normal 5 5 2 2 5 3 2" xfId="14922" xr:uid="{BE85655B-9DE0-4F66-999D-BC8AE5D4AA81}"/>
    <cellStyle name="Normal 5 5 2 2 5 4" xfId="10704" xr:uid="{6B1478FA-A809-416E-A4AB-44C001791AE9}"/>
    <cellStyle name="Normal 5 5 2 2 6" xfId="2621" xr:uid="{00000000-0005-0000-0000-00005E1B0000}"/>
    <cellStyle name="Normal 5 5 2 2 6 2" xfId="6906" xr:uid="{00000000-0005-0000-0000-00005F1B0000}"/>
    <cellStyle name="Normal 5 5 2 2 6 2 2" xfId="15335" xr:uid="{C098044E-6F58-4BAC-AD12-59F49E4DB6F4}"/>
    <cellStyle name="Normal 5 5 2 2 6 3" xfId="11117" xr:uid="{8F0A9447-55D3-4C14-8B91-3EA023FF0960}"/>
    <cellStyle name="Normal 5 5 2 2 7" xfId="4841" xr:uid="{00000000-0005-0000-0000-0000601B0000}"/>
    <cellStyle name="Normal 5 5 2 2 7 2" xfId="13270" xr:uid="{4DC4D107-5CF0-4FA2-8413-B3A19B11F7D6}"/>
    <cellStyle name="Normal 5 5 2 2 8" xfId="9052" xr:uid="{12367AC4-FB3D-4B14-8871-BA7A2D5CA859}"/>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EDC06CF3-0E7E-4580-96C7-BC2A72221552}"/>
    <cellStyle name="Normal 5 5 2 3 2 3" xfId="11609" xr:uid="{53ECDFBD-1C0E-4F02-A393-4018A9FFBC22}"/>
    <cellStyle name="Normal 5 5 2 3 3" xfId="5253" xr:uid="{00000000-0005-0000-0000-0000641B0000}"/>
    <cellStyle name="Normal 5 5 2 3 3 2" xfId="13682" xr:uid="{0AB5B00E-BCC9-46CB-BC04-F628E1A6F203}"/>
    <cellStyle name="Normal 5 5 2 3 4" xfId="9464" xr:uid="{F5EC1094-BA4B-4673-8163-57A2498D3ED6}"/>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3CD77C3A-A305-4D98-89A6-3213F2CD3C69}"/>
    <cellStyle name="Normal 5 5 2 4 2 3" xfId="12022" xr:uid="{12B95A58-7D45-49A3-92A8-907622BA0828}"/>
    <cellStyle name="Normal 5 5 2 4 3" xfId="5666" xr:uid="{00000000-0005-0000-0000-0000681B0000}"/>
    <cellStyle name="Normal 5 5 2 4 3 2" xfId="14095" xr:uid="{F83BCC0D-0362-433D-9232-9CED9AD6F607}"/>
    <cellStyle name="Normal 5 5 2 4 4" xfId="9877" xr:uid="{914D9776-3ADA-4D41-8358-4488FFA2AF24}"/>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463EB708-E8BD-484A-9FAC-5331ABB3924C}"/>
    <cellStyle name="Normal 5 5 2 5 2 3" xfId="12435" xr:uid="{20DB6FE0-8F9B-4503-8A7A-736A01814B9F}"/>
    <cellStyle name="Normal 5 5 2 5 3" xfId="6079" xr:uid="{00000000-0005-0000-0000-00006C1B0000}"/>
    <cellStyle name="Normal 5 5 2 5 3 2" xfId="14508" xr:uid="{A0DB4EE1-4948-47B2-BA9D-EF4898850BEB}"/>
    <cellStyle name="Normal 5 5 2 5 4" xfId="10290" xr:uid="{7E3901C4-DEB3-4A18-8B53-07654137009F}"/>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6670460F-D2BF-4E06-84F0-9316E8CBF161}"/>
    <cellStyle name="Normal 5 5 2 6 2 3" xfId="12848" xr:uid="{57666893-FC93-44D6-B514-D392A8F37B49}"/>
    <cellStyle name="Normal 5 5 2 6 3" xfId="6492" xr:uid="{00000000-0005-0000-0000-0000701B0000}"/>
    <cellStyle name="Normal 5 5 2 6 3 2" xfId="14921" xr:uid="{4DD84BEF-3BAE-4390-95C1-A081DF6C4136}"/>
    <cellStyle name="Normal 5 5 2 6 4" xfId="10703" xr:uid="{196616D9-AA5A-4D21-A333-A00C8B1EB4B1}"/>
    <cellStyle name="Normal 5 5 2 7" xfId="2620" xr:uid="{00000000-0005-0000-0000-0000711B0000}"/>
    <cellStyle name="Normal 5 5 2 7 2" xfId="6905" xr:uid="{00000000-0005-0000-0000-0000721B0000}"/>
    <cellStyle name="Normal 5 5 2 7 2 2" xfId="15334" xr:uid="{5680EBC4-3B58-4308-98A2-A1ED483F7FE9}"/>
    <cellStyle name="Normal 5 5 2 7 3" xfId="11116" xr:uid="{031AB994-8B74-44F5-851A-8AF9ACD61776}"/>
    <cellStyle name="Normal 5 5 2 8" xfId="4840" xr:uid="{00000000-0005-0000-0000-0000731B0000}"/>
    <cellStyle name="Normal 5 5 2 8 2" xfId="13269" xr:uid="{B804EC53-64BA-4D6A-A314-6BCA3AA61D03}"/>
    <cellStyle name="Normal 5 5 2 9" xfId="9051" xr:uid="{75216A83-9DF9-421E-B029-EC8C8F89415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4EE873C6-5092-4AF3-B385-8239B7DA8EBC}"/>
    <cellStyle name="Normal 5 5 3 2 2 3" xfId="11611" xr:uid="{9989D0CD-4FB5-4186-8394-89D212755499}"/>
    <cellStyle name="Normal 5 5 3 2 3" xfId="5255" xr:uid="{00000000-0005-0000-0000-0000781B0000}"/>
    <cellStyle name="Normal 5 5 3 2 3 2" xfId="13684" xr:uid="{C559E8F9-1CC3-4830-8F61-19DA40FDD908}"/>
    <cellStyle name="Normal 5 5 3 2 4" xfId="9466" xr:uid="{4798CD3B-2DD3-47AC-B487-2CEC2EAE8BDA}"/>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B94D1CD0-C6A2-41FF-B27B-8C04A6C6A668}"/>
    <cellStyle name="Normal 5 5 3 3 2 3" xfId="12024" xr:uid="{2F0D9B5B-B930-48A0-B841-1EB8D04F4979}"/>
    <cellStyle name="Normal 5 5 3 3 3" xfId="5668" xr:uid="{00000000-0005-0000-0000-00007C1B0000}"/>
    <cellStyle name="Normal 5 5 3 3 3 2" xfId="14097" xr:uid="{38A3C40C-9A57-426B-BFB0-3CE1BA998C6D}"/>
    <cellStyle name="Normal 5 5 3 3 4" xfId="9879" xr:uid="{9B69BBD7-56DC-4176-A548-F570415AA420}"/>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50CD43CB-A2E7-4992-9128-2E2005FEBE69}"/>
    <cellStyle name="Normal 5 5 3 4 2 3" xfId="12437" xr:uid="{C7EE5458-0C42-414D-B091-92F06FACAB00}"/>
    <cellStyle name="Normal 5 5 3 4 3" xfId="6081" xr:uid="{00000000-0005-0000-0000-0000801B0000}"/>
    <cellStyle name="Normal 5 5 3 4 3 2" xfId="14510" xr:uid="{9253B9A1-7CAF-4CD1-ADBC-A52A729459C2}"/>
    <cellStyle name="Normal 5 5 3 4 4" xfId="10292" xr:uid="{F8D8F8E9-E543-4777-A15B-07A688F0917B}"/>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67632493-A265-441C-8FC7-E6A57E2C6E62}"/>
    <cellStyle name="Normal 5 5 3 5 2 3" xfId="12850" xr:uid="{F285649F-38A1-4398-B24F-D982340237DD}"/>
    <cellStyle name="Normal 5 5 3 5 3" xfId="6494" xr:uid="{00000000-0005-0000-0000-0000841B0000}"/>
    <cellStyle name="Normal 5 5 3 5 3 2" xfId="14923" xr:uid="{02B3E674-A64D-436B-B8B6-69F7491C1BD6}"/>
    <cellStyle name="Normal 5 5 3 5 4" xfId="10705" xr:uid="{D8942D62-2CEA-47BD-AECD-00DE5C653C1B}"/>
    <cellStyle name="Normal 5 5 3 6" xfId="2622" xr:uid="{00000000-0005-0000-0000-0000851B0000}"/>
    <cellStyle name="Normal 5 5 3 6 2" xfId="6907" xr:uid="{00000000-0005-0000-0000-0000861B0000}"/>
    <cellStyle name="Normal 5 5 3 6 2 2" xfId="15336" xr:uid="{FBCF059E-6388-4F24-A143-A521AAC742C7}"/>
    <cellStyle name="Normal 5 5 3 6 3" xfId="11118" xr:uid="{64C4DE8C-E84D-42D2-AF40-6CE50FA1728F}"/>
    <cellStyle name="Normal 5 5 3 7" xfId="4842" xr:uid="{00000000-0005-0000-0000-0000871B0000}"/>
    <cellStyle name="Normal 5 5 3 7 2" xfId="13271" xr:uid="{2AA6A366-60F1-481F-B51A-2C15A54A42EC}"/>
    <cellStyle name="Normal 5 5 3 8" xfId="9053" xr:uid="{C584465E-106E-408F-B53D-10D2A7399986}"/>
    <cellStyle name="Normal 5 5 4" xfId="939" xr:uid="{00000000-0005-0000-0000-0000881B0000}"/>
    <cellStyle name="Normal 5 5 4 2" xfId="3173" xr:uid="{00000000-0005-0000-0000-0000891B0000}"/>
    <cellStyle name="Normal 5 5 4 2 2" xfId="7397" xr:uid="{00000000-0005-0000-0000-00008A1B0000}"/>
    <cellStyle name="Normal 5 5 4 2 2 2" xfId="15826" xr:uid="{6B53D5D2-B661-4648-8680-F06D83F5E5D0}"/>
    <cellStyle name="Normal 5 5 4 2 3" xfId="11608" xr:uid="{704086D2-14F1-4B3F-B4D1-85C8BEBECF91}"/>
    <cellStyle name="Normal 5 5 4 3" xfId="5252" xr:uid="{00000000-0005-0000-0000-00008B1B0000}"/>
    <cellStyle name="Normal 5 5 4 3 2" xfId="13681" xr:uid="{283C399D-5800-4313-902D-9DF3F857BFAC}"/>
    <cellStyle name="Normal 5 5 4 4" xfId="9463" xr:uid="{A6E4B6B7-8E30-4381-9AAB-77DDCA9B6C76}"/>
    <cellStyle name="Normal 5 5 5" xfId="1356" xr:uid="{00000000-0005-0000-0000-00008C1B0000}"/>
    <cellStyle name="Normal 5 5 5 2" xfId="3586" xr:uid="{00000000-0005-0000-0000-00008D1B0000}"/>
    <cellStyle name="Normal 5 5 5 2 2" xfId="7810" xr:uid="{00000000-0005-0000-0000-00008E1B0000}"/>
    <cellStyle name="Normal 5 5 5 2 2 2" xfId="16239" xr:uid="{9309153D-2986-4ACD-8A19-81645F3414A5}"/>
    <cellStyle name="Normal 5 5 5 2 3" xfId="12021" xr:uid="{F64E63F0-0647-4E50-9966-071E0E624344}"/>
    <cellStyle name="Normal 5 5 5 3" xfId="5665" xr:uid="{00000000-0005-0000-0000-00008F1B0000}"/>
    <cellStyle name="Normal 5 5 5 3 2" xfId="14094" xr:uid="{4174B77F-8EF9-4596-93F9-F5FFAE24AF06}"/>
    <cellStyle name="Normal 5 5 5 4" xfId="9876" xr:uid="{1DBA68EE-7AF9-40F5-85BE-3CC609718AFC}"/>
    <cellStyle name="Normal 5 5 6" xfId="1769" xr:uid="{00000000-0005-0000-0000-0000901B0000}"/>
    <cellStyle name="Normal 5 5 6 2" xfId="3999" xr:uid="{00000000-0005-0000-0000-0000911B0000}"/>
    <cellStyle name="Normal 5 5 6 2 2" xfId="8223" xr:uid="{00000000-0005-0000-0000-0000921B0000}"/>
    <cellStyle name="Normal 5 5 6 2 2 2" xfId="16652" xr:uid="{D3F7DFDC-41DC-40EE-AACA-C3BB02F350C9}"/>
    <cellStyle name="Normal 5 5 6 2 3" xfId="12434" xr:uid="{7941D0ED-50B4-4D99-978A-BDE3186041EE}"/>
    <cellStyle name="Normal 5 5 6 3" xfId="6078" xr:uid="{00000000-0005-0000-0000-0000931B0000}"/>
    <cellStyle name="Normal 5 5 6 3 2" xfId="14507" xr:uid="{DA311C36-218F-4E37-AC2A-81D595AEECC7}"/>
    <cellStyle name="Normal 5 5 6 4" xfId="10289" xr:uid="{A31E283C-8CC9-41DB-B2B5-B2933AF710A6}"/>
    <cellStyle name="Normal 5 5 7" xfId="2183" xr:uid="{00000000-0005-0000-0000-0000941B0000}"/>
    <cellStyle name="Normal 5 5 7 2" xfId="4412" xr:uid="{00000000-0005-0000-0000-0000951B0000}"/>
    <cellStyle name="Normal 5 5 7 2 2" xfId="8636" xr:uid="{00000000-0005-0000-0000-0000961B0000}"/>
    <cellStyle name="Normal 5 5 7 2 2 2" xfId="17065" xr:uid="{EC86625A-1C61-4D22-A7E0-9F426791F616}"/>
    <cellStyle name="Normal 5 5 7 2 3" xfId="12847" xr:uid="{BFF4AA51-7748-4FC3-91B0-04426A481A6C}"/>
    <cellStyle name="Normal 5 5 7 3" xfId="6491" xr:uid="{00000000-0005-0000-0000-0000971B0000}"/>
    <cellStyle name="Normal 5 5 7 3 2" xfId="14920" xr:uid="{34E4F6B8-E55A-4899-8257-F8C224F204D0}"/>
    <cellStyle name="Normal 5 5 7 4" xfId="10702" xr:uid="{BC678DFB-F9D6-4F74-9772-CAC71A09212D}"/>
    <cellStyle name="Normal 5 5 8" xfId="2619" xr:uid="{00000000-0005-0000-0000-0000981B0000}"/>
    <cellStyle name="Normal 5 5 8 2" xfId="6904" xr:uid="{00000000-0005-0000-0000-0000991B0000}"/>
    <cellStyle name="Normal 5 5 8 2 2" xfId="15333" xr:uid="{D2E3D81F-E85B-49A7-93A6-AD46B242C787}"/>
    <cellStyle name="Normal 5 5 8 3" xfId="11115" xr:uid="{4BFB5E36-09D9-49BB-93A4-8301DEEEF544}"/>
    <cellStyle name="Normal 5 5 9" xfId="4839" xr:uid="{00000000-0005-0000-0000-00009A1B0000}"/>
    <cellStyle name="Normal 5 5 9 2" xfId="13268" xr:uid="{2B42007A-F8F5-4EFA-B115-E1B08BE66F0D}"/>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65CE11EB-F34A-40BA-B8DB-9AA83E692810}"/>
    <cellStyle name="Normal 5 6 2 2 2 3" xfId="11613" xr:uid="{831AA2F1-5966-433B-A4C2-D04406E9E4D2}"/>
    <cellStyle name="Normal 5 6 2 2 3" xfId="5257" xr:uid="{00000000-0005-0000-0000-0000A01B0000}"/>
    <cellStyle name="Normal 5 6 2 2 3 2" xfId="13686" xr:uid="{3574BCE2-3280-45DC-855F-4B9E8C6D7A5B}"/>
    <cellStyle name="Normal 5 6 2 2 4" xfId="9468" xr:uid="{CE3A4B70-931A-4003-8663-1C3B169D8C35}"/>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A422CD72-4F14-42BA-B0DA-93153E852051}"/>
    <cellStyle name="Normal 5 6 2 3 2 3" xfId="12026" xr:uid="{62880A9A-3596-42AB-81F1-A617C34865C8}"/>
    <cellStyle name="Normal 5 6 2 3 3" xfId="5670" xr:uid="{00000000-0005-0000-0000-0000A41B0000}"/>
    <cellStyle name="Normal 5 6 2 3 3 2" xfId="14099" xr:uid="{5D5E324E-89C4-4B5F-9496-AA2F421476BE}"/>
    <cellStyle name="Normal 5 6 2 3 4" xfId="9881" xr:uid="{2C71820D-0A07-4D06-BDE8-AEB947BB8042}"/>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59E326B0-6821-4C72-9018-28B91467DE9A}"/>
    <cellStyle name="Normal 5 6 2 4 2 3" xfId="12439" xr:uid="{E0F81825-7A60-41F0-AFCC-95629496425B}"/>
    <cellStyle name="Normal 5 6 2 4 3" xfId="6083" xr:uid="{00000000-0005-0000-0000-0000A81B0000}"/>
    <cellStyle name="Normal 5 6 2 4 3 2" xfId="14512" xr:uid="{48464B40-F32B-491A-857F-6259AD9123A6}"/>
    <cellStyle name="Normal 5 6 2 4 4" xfId="10294" xr:uid="{54BA724D-6472-45B4-89ED-32F1E9EFABA4}"/>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3C80F192-834A-48F8-ACC3-A75BE0C76E73}"/>
    <cellStyle name="Normal 5 6 2 5 2 3" xfId="12852" xr:uid="{A4BFA187-BCF6-4768-BDEF-727B6E8D143A}"/>
    <cellStyle name="Normal 5 6 2 5 3" xfId="6496" xr:uid="{00000000-0005-0000-0000-0000AC1B0000}"/>
    <cellStyle name="Normal 5 6 2 5 3 2" xfId="14925" xr:uid="{461CB4DA-7AE3-46F5-9660-86D5CD3358E6}"/>
    <cellStyle name="Normal 5 6 2 5 4" xfId="10707" xr:uid="{2171B473-955F-4F0E-A368-EB0693449E52}"/>
    <cellStyle name="Normal 5 6 2 6" xfId="2624" xr:uid="{00000000-0005-0000-0000-0000AD1B0000}"/>
    <cellStyle name="Normal 5 6 2 6 2" xfId="6909" xr:uid="{00000000-0005-0000-0000-0000AE1B0000}"/>
    <cellStyle name="Normal 5 6 2 6 2 2" xfId="15338" xr:uid="{9C8855B9-776B-48AB-95B2-E7502BC8AC27}"/>
    <cellStyle name="Normal 5 6 2 6 3" xfId="11120" xr:uid="{FEABA2E1-F845-4EEA-8BF0-D391FDECD538}"/>
    <cellStyle name="Normal 5 6 2 7" xfId="4844" xr:uid="{00000000-0005-0000-0000-0000AF1B0000}"/>
    <cellStyle name="Normal 5 6 2 7 2" xfId="13273" xr:uid="{F1603D37-25BE-41E0-8370-FF1835B5CB4C}"/>
    <cellStyle name="Normal 5 6 2 8" xfId="9055" xr:uid="{81172F12-E26C-4C3A-9344-238C078525C6}"/>
    <cellStyle name="Normal 5 6 3" xfId="943" xr:uid="{00000000-0005-0000-0000-0000B01B0000}"/>
    <cellStyle name="Normal 5 6 3 2" xfId="3177" xr:uid="{00000000-0005-0000-0000-0000B11B0000}"/>
    <cellStyle name="Normal 5 6 3 2 2" xfId="7401" xr:uid="{00000000-0005-0000-0000-0000B21B0000}"/>
    <cellStyle name="Normal 5 6 3 2 2 2" xfId="15830" xr:uid="{C81CC0C7-388C-44F4-A74E-2A3A28E1A6F8}"/>
    <cellStyle name="Normal 5 6 3 2 3" xfId="11612" xr:uid="{E893E0D5-89D0-418D-931D-3CDE3F860A67}"/>
    <cellStyle name="Normal 5 6 3 3" xfId="5256" xr:uid="{00000000-0005-0000-0000-0000B31B0000}"/>
    <cellStyle name="Normal 5 6 3 3 2" xfId="13685" xr:uid="{46792076-AA6D-4BDF-8271-88E9BB03276D}"/>
    <cellStyle name="Normal 5 6 3 4" xfId="9467" xr:uid="{448D62BE-7D6A-4529-A3BA-22EC76599603}"/>
    <cellStyle name="Normal 5 6 4" xfId="1360" xr:uid="{00000000-0005-0000-0000-0000B41B0000}"/>
    <cellStyle name="Normal 5 6 4 2" xfId="3590" xr:uid="{00000000-0005-0000-0000-0000B51B0000}"/>
    <cellStyle name="Normal 5 6 4 2 2" xfId="7814" xr:uid="{00000000-0005-0000-0000-0000B61B0000}"/>
    <cellStyle name="Normal 5 6 4 2 2 2" xfId="16243" xr:uid="{FFC54B40-97C1-4E36-B430-C54F75F94C45}"/>
    <cellStyle name="Normal 5 6 4 2 3" xfId="12025" xr:uid="{15ABBA28-EDD6-4799-972D-E121F145B6F0}"/>
    <cellStyle name="Normal 5 6 4 3" xfId="5669" xr:uid="{00000000-0005-0000-0000-0000B71B0000}"/>
    <cellStyle name="Normal 5 6 4 3 2" xfId="14098" xr:uid="{DC45642B-AA0B-47F2-8BE9-9B5A1063289E}"/>
    <cellStyle name="Normal 5 6 4 4" xfId="9880" xr:uid="{72E17CFD-90D9-4103-8630-9100FA2042DF}"/>
    <cellStyle name="Normal 5 6 5" xfId="1773" xr:uid="{00000000-0005-0000-0000-0000B81B0000}"/>
    <cellStyle name="Normal 5 6 5 2" xfId="4003" xr:uid="{00000000-0005-0000-0000-0000B91B0000}"/>
    <cellStyle name="Normal 5 6 5 2 2" xfId="8227" xr:uid="{00000000-0005-0000-0000-0000BA1B0000}"/>
    <cellStyle name="Normal 5 6 5 2 2 2" xfId="16656" xr:uid="{AF818470-44E7-4444-ADD8-5BD5E1C87C0B}"/>
    <cellStyle name="Normal 5 6 5 2 3" xfId="12438" xr:uid="{B0DDFCF3-2041-416B-BFE8-753B8667D493}"/>
    <cellStyle name="Normal 5 6 5 3" xfId="6082" xr:uid="{00000000-0005-0000-0000-0000BB1B0000}"/>
    <cellStyle name="Normal 5 6 5 3 2" xfId="14511" xr:uid="{31C7DE51-49CB-4B26-8EEB-3B583E2DA4B6}"/>
    <cellStyle name="Normal 5 6 5 4" xfId="10293" xr:uid="{9F6F6C6C-1EF1-47F7-A2C5-BC93F21DDA2B}"/>
    <cellStyle name="Normal 5 6 6" xfId="2187" xr:uid="{00000000-0005-0000-0000-0000BC1B0000}"/>
    <cellStyle name="Normal 5 6 6 2" xfId="4416" xr:uid="{00000000-0005-0000-0000-0000BD1B0000}"/>
    <cellStyle name="Normal 5 6 6 2 2" xfId="8640" xr:uid="{00000000-0005-0000-0000-0000BE1B0000}"/>
    <cellStyle name="Normal 5 6 6 2 2 2" xfId="17069" xr:uid="{5D2E0DF9-1A5E-495D-8479-9F7DBEDE3B79}"/>
    <cellStyle name="Normal 5 6 6 2 3" xfId="12851" xr:uid="{6D1EEC64-257D-47F9-9C94-747450C0CF90}"/>
    <cellStyle name="Normal 5 6 6 3" xfId="6495" xr:uid="{00000000-0005-0000-0000-0000BF1B0000}"/>
    <cellStyle name="Normal 5 6 6 3 2" xfId="14924" xr:uid="{19C6A588-34B7-466B-8A97-ACEE3C65798D}"/>
    <cellStyle name="Normal 5 6 6 4" xfId="10706" xr:uid="{E36D73EE-B404-42DE-A8E5-3D2F5D891071}"/>
    <cellStyle name="Normal 5 6 7" xfId="2623" xr:uid="{00000000-0005-0000-0000-0000C01B0000}"/>
    <cellStyle name="Normal 5 6 7 2" xfId="6908" xr:uid="{00000000-0005-0000-0000-0000C11B0000}"/>
    <cellStyle name="Normal 5 6 7 2 2" xfId="15337" xr:uid="{71406957-870C-411B-A005-6433822CEF4C}"/>
    <cellStyle name="Normal 5 6 7 3" xfId="11119" xr:uid="{117BB45C-A1CB-4EA8-9D45-C8CC8C347A43}"/>
    <cellStyle name="Normal 5 6 8" xfId="4843" xr:uid="{00000000-0005-0000-0000-0000C21B0000}"/>
    <cellStyle name="Normal 5 6 8 2" xfId="13272" xr:uid="{76EF0ADD-3F0C-41F8-B2ED-ACFCB75C09A9}"/>
    <cellStyle name="Normal 5 6 9" xfId="9054" xr:uid="{FCAFC841-33BA-480D-96F5-36A884D29A03}"/>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B51E3020-6950-4D25-9B2F-8B46C9471634}"/>
    <cellStyle name="Normal 5 7 2 2 3" xfId="11614" xr:uid="{BEC287A6-60C0-4D2E-86F3-4AE3B738AAC3}"/>
    <cellStyle name="Normal 5 7 2 3" xfId="5258" xr:uid="{00000000-0005-0000-0000-0000C71B0000}"/>
    <cellStyle name="Normal 5 7 2 3 2" xfId="13687" xr:uid="{8939D4FF-C80F-4CCA-8391-C9A150BFA936}"/>
    <cellStyle name="Normal 5 7 2 4" xfId="9469" xr:uid="{64D77C05-E66C-498D-8951-064CA84F2ECC}"/>
    <cellStyle name="Normal 5 7 3" xfId="1362" xr:uid="{00000000-0005-0000-0000-0000C81B0000}"/>
    <cellStyle name="Normal 5 7 3 2" xfId="3592" xr:uid="{00000000-0005-0000-0000-0000C91B0000}"/>
    <cellStyle name="Normal 5 7 3 2 2" xfId="7816" xr:uid="{00000000-0005-0000-0000-0000CA1B0000}"/>
    <cellStyle name="Normal 5 7 3 2 2 2" xfId="16245" xr:uid="{4FD18F0D-5B06-4EC6-908D-1C54DE950CAB}"/>
    <cellStyle name="Normal 5 7 3 2 3" xfId="12027" xr:uid="{3A76F14B-0489-4B73-8466-E83DC587B3C1}"/>
    <cellStyle name="Normal 5 7 3 3" xfId="5671" xr:uid="{00000000-0005-0000-0000-0000CB1B0000}"/>
    <cellStyle name="Normal 5 7 3 3 2" xfId="14100" xr:uid="{7A2E7BA4-9D86-45AA-9D26-577DC6163C18}"/>
    <cellStyle name="Normal 5 7 3 4" xfId="9882" xr:uid="{BD8E5581-E838-427D-AC86-8FB34DA30596}"/>
    <cellStyle name="Normal 5 7 4" xfId="1775" xr:uid="{00000000-0005-0000-0000-0000CC1B0000}"/>
    <cellStyle name="Normal 5 7 4 2" xfId="4005" xr:uid="{00000000-0005-0000-0000-0000CD1B0000}"/>
    <cellStyle name="Normal 5 7 4 2 2" xfId="8229" xr:uid="{00000000-0005-0000-0000-0000CE1B0000}"/>
    <cellStyle name="Normal 5 7 4 2 2 2" xfId="16658" xr:uid="{E62815B0-0733-4F44-B4F3-1D4B3E20F46F}"/>
    <cellStyle name="Normal 5 7 4 2 3" xfId="12440" xr:uid="{798A661C-AF64-4B73-B061-8DFEA561E777}"/>
    <cellStyle name="Normal 5 7 4 3" xfId="6084" xr:uid="{00000000-0005-0000-0000-0000CF1B0000}"/>
    <cellStyle name="Normal 5 7 4 3 2" xfId="14513" xr:uid="{858FADA7-D665-4E7D-85E9-DD1A579406AA}"/>
    <cellStyle name="Normal 5 7 4 4" xfId="10295" xr:uid="{7FAC7E56-06B8-4AF1-BE7A-7EE5EDA03C5B}"/>
    <cellStyle name="Normal 5 7 5" xfId="2189" xr:uid="{00000000-0005-0000-0000-0000D01B0000}"/>
    <cellStyle name="Normal 5 7 5 2" xfId="4418" xr:uid="{00000000-0005-0000-0000-0000D11B0000}"/>
    <cellStyle name="Normal 5 7 5 2 2" xfId="8642" xr:uid="{00000000-0005-0000-0000-0000D21B0000}"/>
    <cellStyle name="Normal 5 7 5 2 2 2" xfId="17071" xr:uid="{D94D817D-7F92-4D58-88C6-F0CD02D614A6}"/>
    <cellStyle name="Normal 5 7 5 2 3" xfId="12853" xr:uid="{A97AA19B-D572-4BD0-87D9-CEFB91F5B8D3}"/>
    <cellStyle name="Normal 5 7 5 3" xfId="6497" xr:uid="{00000000-0005-0000-0000-0000D31B0000}"/>
    <cellStyle name="Normal 5 7 5 3 2" xfId="14926" xr:uid="{FFD532E8-D212-47D9-9EAC-FC669C722E9E}"/>
    <cellStyle name="Normal 5 7 5 4" xfId="10708" xr:uid="{14752CA1-A460-4FAF-8962-BE93A07901B5}"/>
    <cellStyle name="Normal 5 7 6" xfId="2625" xr:uid="{00000000-0005-0000-0000-0000D41B0000}"/>
    <cellStyle name="Normal 5 7 6 2" xfId="6910" xr:uid="{00000000-0005-0000-0000-0000D51B0000}"/>
    <cellStyle name="Normal 5 7 6 2 2" xfId="15339" xr:uid="{7F1105D1-76E3-48A5-8205-5EF16C7FB6F9}"/>
    <cellStyle name="Normal 5 7 6 3" xfId="11121" xr:uid="{0E02DF20-0EF1-4CA1-B740-5EA4CE434016}"/>
    <cellStyle name="Normal 5 7 7" xfId="4845" xr:uid="{00000000-0005-0000-0000-0000D61B0000}"/>
    <cellStyle name="Normal 5 7 7 2" xfId="13274" xr:uid="{18E9D8BB-C3C3-425B-95D8-508DF6C2235E}"/>
    <cellStyle name="Normal 5 7 8" xfId="9056" xr:uid="{822A216B-3561-4F41-AC18-BEE53E0C2401}"/>
    <cellStyle name="Normal 5 8" xfId="881" xr:uid="{00000000-0005-0000-0000-0000D71B0000}"/>
    <cellStyle name="Normal 5 8 2" xfId="3116" xr:uid="{00000000-0005-0000-0000-0000D81B0000}"/>
    <cellStyle name="Normal 5 8 2 2" xfId="7340" xr:uid="{00000000-0005-0000-0000-0000D91B0000}"/>
    <cellStyle name="Normal 5 8 2 2 2" xfId="15769" xr:uid="{6B3CD085-E90A-4845-AE26-8F1EB4401F70}"/>
    <cellStyle name="Normal 5 8 2 3" xfId="11551" xr:uid="{883ED1B8-BD85-40FE-8C16-D79EFE648CC2}"/>
    <cellStyle name="Normal 5 8 3" xfId="5195" xr:uid="{00000000-0005-0000-0000-0000DA1B0000}"/>
    <cellStyle name="Normal 5 8 3 2" xfId="13624" xr:uid="{2B807CC7-D4CB-458D-B22E-8F449FB408F3}"/>
    <cellStyle name="Normal 5 8 4" xfId="9406" xr:uid="{41742FD7-469D-4384-BD45-A72278C263F3}"/>
    <cellStyle name="Normal 5 9" xfId="1299" xr:uid="{00000000-0005-0000-0000-0000DB1B0000}"/>
    <cellStyle name="Normal 5 9 2" xfId="3529" xr:uid="{00000000-0005-0000-0000-0000DC1B0000}"/>
    <cellStyle name="Normal 5 9 2 2" xfId="7753" xr:uid="{00000000-0005-0000-0000-0000DD1B0000}"/>
    <cellStyle name="Normal 5 9 2 2 2" xfId="16182" xr:uid="{483BAA5A-1D26-4A02-A3B8-F84A04210FEE}"/>
    <cellStyle name="Normal 5 9 2 3" xfId="11964" xr:uid="{7D3933CF-E2B7-48DA-8A71-9EE24A29580B}"/>
    <cellStyle name="Normal 5 9 3" xfId="5608" xr:uid="{00000000-0005-0000-0000-0000DE1B0000}"/>
    <cellStyle name="Normal 5 9 3 2" xfId="14037" xr:uid="{8E4A9F6E-9D8A-4363-9AE1-986414A34F9B}"/>
    <cellStyle name="Normal 5 9 4" xfId="9819" xr:uid="{B67B8ADD-381B-4738-B7DC-50FB822B3C7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4FC439EB-2796-4B52-9E6F-D7558E185005}"/>
    <cellStyle name="Normal 8 10 2 3" xfId="12854" xr:uid="{0D0157E5-4BA3-42FD-9FD3-D43746FCF168}"/>
    <cellStyle name="Normal 8 10 3" xfId="6498" xr:uid="{00000000-0005-0000-0000-0000EA1B0000}"/>
    <cellStyle name="Normal 8 10 3 2" xfId="14927" xr:uid="{8D6B8029-F902-46B3-8F01-A964A510CCAA}"/>
    <cellStyle name="Normal 8 10 4" xfId="10709" xr:uid="{B5FB1F7C-7026-4401-ADD9-3CC84136B480}"/>
    <cellStyle name="Normal 8 11" xfId="2626" xr:uid="{00000000-0005-0000-0000-0000EB1B0000}"/>
    <cellStyle name="Normal 8 11 2" xfId="6911" xr:uid="{00000000-0005-0000-0000-0000EC1B0000}"/>
    <cellStyle name="Normal 8 11 2 2" xfId="15340" xr:uid="{DF522428-5BD6-490C-BD8A-1A1EDBB4A990}"/>
    <cellStyle name="Normal 8 11 3" xfId="11122" xr:uid="{2E088C0C-60D5-4045-9C01-6D07C43B102A}"/>
    <cellStyle name="Normal 8 12" xfId="4846" xr:uid="{00000000-0005-0000-0000-0000ED1B0000}"/>
    <cellStyle name="Normal 8 12 2" xfId="13275" xr:uid="{51B36488-C5BE-4707-B92A-78AE8107730D}"/>
    <cellStyle name="Normal 8 13" xfId="9057" xr:uid="{02061865-8155-4D1D-8016-20BC1E8ECCDF}"/>
    <cellStyle name="Normal 8 2" xfId="479" xr:uid="{00000000-0005-0000-0000-0000EE1B0000}"/>
    <cellStyle name="Normal 8 2 10" xfId="2627" xr:uid="{00000000-0005-0000-0000-0000EF1B0000}"/>
    <cellStyle name="Normal 8 2 10 2" xfId="6912" xr:uid="{00000000-0005-0000-0000-0000F01B0000}"/>
    <cellStyle name="Normal 8 2 10 2 2" xfId="15341" xr:uid="{9570874F-3972-406F-81FF-DE3C51B5A8E5}"/>
    <cellStyle name="Normal 8 2 10 3" xfId="11123" xr:uid="{C9D9D5AE-FDAE-4BC6-BDC5-99EE954E894A}"/>
    <cellStyle name="Normal 8 2 11" xfId="4847" xr:uid="{00000000-0005-0000-0000-0000F11B0000}"/>
    <cellStyle name="Normal 8 2 11 2" xfId="13276" xr:uid="{41F0ACB1-1709-427F-AB0D-5BAE8509AFD8}"/>
    <cellStyle name="Normal 8 2 12" xfId="9058" xr:uid="{D1DDF8A8-1FF9-4F82-92DE-826A33C357F3}"/>
    <cellStyle name="Normal 8 2 2" xfId="480" xr:uid="{00000000-0005-0000-0000-0000F21B0000}"/>
    <cellStyle name="Normal 8 2 2 10" xfId="4848" xr:uid="{00000000-0005-0000-0000-0000F31B0000}"/>
    <cellStyle name="Normal 8 2 2 10 2" xfId="13277" xr:uid="{60A462C3-5969-4E33-968E-1ADD5D1F3C0D}"/>
    <cellStyle name="Normal 8 2 2 11" xfId="9059" xr:uid="{86F35AFB-E0AC-444E-B2F1-7B96387A4911}"/>
    <cellStyle name="Normal 8 2 2 2" xfId="481" xr:uid="{00000000-0005-0000-0000-0000F41B0000}"/>
    <cellStyle name="Normal 8 2 2 2 10" xfId="9060" xr:uid="{86AB9DD1-0DF9-44DD-A6AC-3F501FE30BA3}"/>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664B9A59-A1E6-4653-8154-C9DD8A538D72}"/>
    <cellStyle name="Normal 8 2 2 2 2 2 2 2 3" xfId="11620" xr:uid="{32B7DE2F-26EA-4E8B-AEC0-D3C97BE5BEAB}"/>
    <cellStyle name="Normal 8 2 2 2 2 2 2 3" xfId="5264" xr:uid="{00000000-0005-0000-0000-0000FA1B0000}"/>
    <cellStyle name="Normal 8 2 2 2 2 2 2 3 2" xfId="13693" xr:uid="{C2533E96-375C-402B-AE5C-B8A76BD85135}"/>
    <cellStyle name="Normal 8 2 2 2 2 2 2 4" xfId="9475" xr:uid="{F26F81FF-38B3-421E-9E59-4219742DC0BA}"/>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444B3893-2F80-43CE-84AA-C370E2B452B0}"/>
    <cellStyle name="Normal 8 2 2 2 2 2 3 2 3" xfId="12033" xr:uid="{A9ECED09-C905-413C-9BF9-1919A6D33802}"/>
    <cellStyle name="Normal 8 2 2 2 2 2 3 3" xfId="5677" xr:uid="{00000000-0005-0000-0000-0000FE1B0000}"/>
    <cellStyle name="Normal 8 2 2 2 2 2 3 3 2" xfId="14106" xr:uid="{CC824646-B1E7-4746-A15B-AEE56A6872D3}"/>
    <cellStyle name="Normal 8 2 2 2 2 2 3 4" xfId="9888" xr:uid="{CC30C620-AF30-4168-BF2F-1F278DF0478E}"/>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12CDC7AE-D0B3-4800-8418-FF5E021D8662}"/>
    <cellStyle name="Normal 8 2 2 2 2 2 4 2 3" xfId="12446" xr:uid="{78E29EB4-3BB0-4869-8002-002F77DE717A}"/>
    <cellStyle name="Normal 8 2 2 2 2 2 4 3" xfId="6090" xr:uid="{00000000-0005-0000-0000-0000021C0000}"/>
    <cellStyle name="Normal 8 2 2 2 2 2 4 3 2" xfId="14519" xr:uid="{34E032CB-7F37-47BA-A1E4-5BB2E0A6E5C7}"/>
    <cellStyle name="Normal 8 2 2 2 2 2 4 4" xfId="10301" xr:uid="{728298AE-FF8E-4499-9CBC-9F7B4C471E6F}"/>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42FA6AB5-376B-460E-92C5-70A02BC4BA2C}"/>
    <cellStyle name="Normal 8 2 2 2 2 2 5 2 3" xfId="12859" xr:uid="{D35FBE7A-377B-4DA5-B4C6-AF29D812F2A9}"/>
    <cellStyle name="Normal 8 2 2 2 2 2 5 3" xfId="6503" xr:uid="{00000000-0005-0000-0000-0000061C0000}"/>
    <cellStyle name="Normal 8 2 2 2 2 2 5 3 2" xfId="14932" xr:uid="{AEEBD236-9562-4412-BC9F-09CFDC789E04}"/>
    <cellStyle name="Normal 8 2 2 2 2 2 5 4" xfId="10714" xr:uid="{9CC2730B-BBA6-427C-9C0B-43F8E34E4123}"/>
    <cellStyle name="Normal 8 2 2 2 2 2 6" xfId="2631" xr:uid="{00000000-0005-0000-0000-0000071C0000}"/>
    <cellStyle name="Normal 8 2 2 2 2 2 6 2" xfId="6916" xr:uid="{00000000-0005-0000-0000-0000081C0000}"/>
    <cellStyle name="Normal 8 2 2 2 2 2 6 2 2" xfId="15345" xr:uid="{6B38B305-0A1B-47F4-B3DA-9602EE58DC00}"/>
    <cellStyle name="Normal 8 2 2 2 2 2 6 3" xfId="11127" xr:uid="{58CF6198-92B6-46A7-B705-4B042CEBC702}"/>
    <cellStyle name="Normal 8 2 2 2 2 2 7" xfId="4851" xr:uid="{00000000-0005-0000-0000-0000091C0000}"/>
    <cellStyle name="Normal 8 2 2 2 2 2 7 2" xfId="13280" xr:uid="{D74942A8-B04C-4F6D-8DCE-CF39F9305FCB}"/>
    <cellStyle name="Normal 8 2 2 2 2 2 8" xfId="9062" xr:uid="{97C314CD-02ED-4061-B129-DEA94509FA8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158D4CF6-14F6-4A21-BC95-97324E4E0EA6}"/>
    <cellStyle name="Normal 8 2 2 2 2 3 2 3" xfId="11619" xr:uid="{B89E6D98-92AF-46B1-BD88-01C5CF1A3E84}"/>
    <cellStyle name="Normal 8 2 2 2 2 3 3" xfId="5263" xr:uid="{00000000-0005-0000-0000-00000D1C0000}"/>
    <cellStyle name="Normal 8 2 2 2 2 3 3 2" xfId="13692" xr:uid="{B78B710B-C513-4CDC-99C4-469A9304642D}"/>
    <cellStyle name="Normal 8 2 2 2 2 3 4" xfId="9474" xr:uid="{F66215FF-7911-4250-99A7-B8D479DE029E}"/>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C0B4EE30-0034-44AE-808F-1E53B0A729E8}"/>
    <cellStyle name="Normal 8 2 2 2 2 4 2 3" xfId="12032" xr:uid="{36AAD728-A171-4324-A82B-7A1FB4ACB7EA}"/>
    <cellStyle name="Normal 8 2 2 2 2 4 3" xfId="5676" xr:uid="{00000000-0005-0000-0000-0000111C0000}"/>
    <cellStyle name="Normal 8 2 2 2 2 4 3 2" xfId="14105" xr:uid="{22313E53-8BEF-4121-84C3-8DF1046E0283}"/>
    <cellStyle name="Normal 8 2 2 2 2 4 4" xfId="9887" xr:uid="{4BA0FE30-159D-464C-966C-8225C80043C3}"/>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0246F143-BC7E-4AA1-89D3-96084DB432EE}"/>
    <cellStyle name="Normal 8 2 2 2 2 5 2 3" xfId="12445" xr:uid="{B7E0D652-015B-4B78-BFA9-17F2C7D4012D}"/>
    <cellStyle name="Normal 8 2 2 2 2 5 3" xfId="6089" xr:uid="{00000000-0005-0000-0000-0000151C0000}"/>
    <cellStyle name="Normal 8 2 2 2 2 5 3 2" xfId="14518" xr:uid="{A6F33E49-44E2-46A6-B0A5-0CAEE59A1FC7}"/>
    <cellStyle name="Normal 8 2 2 2 2 5 4" xfId="10300" xr:uid="{0C0B8995-D033-414F-8543-2E2DFBE2E969}"/>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CE8AE97B-FDCC-4741-A441-B9B77A758BF8}"/>
    <cellStyle name="Normal 8 2 2 2 2 6 2 3" xfId="12858" xr:uid="{D2FE10B5-FF12-4E4E-B464-89F7375E87E4}"/>
    <cellStyle name="Normal 8 2 2 2 2 6 3" xfId="6502" xr:uid="{00000000-0005-0000-0000-0000191C0000}"/>
    <cellStyle name="Normal 8 2 2 2 2 6 3 2" xfId="14931" xr:uid="{2C3BE5E7-2DF0-46F5-A5FD-492440E37499}"/>
    <cellStyle name="Normal 8 2 2 2 2 6 4" xfId="10713" xr:uid="{ED714040-7866-414A-B0EF-5BDB40717C6C}"/>
    <cellStyle name="Normal 8 2 2 2 2 7" xfId="2630" xr:uid="{00000000-0005-0000-0000-00001A1C0000}"/>
    <cellStyle name="Normal 8 2 2 2 2 7 2" xfId="6915" xr:uid="{00000000-0005-0000-0000-00001B1C0000}"/>
    <cellStyle name="Normal 8 2 2 2 2 7 2 2" xfId="15344" xr:uid="{E478B59A-236B-4DA7-95FB-4A83D16C22B3}"/>
    <cellStyle name="Normal 8 2 2 2 2 7 3" xfId="11126" xr:uid="{104B136D-6CD3-41A2-AA50-F544CAE52F6A}"/>
    <cellStyle name="Normal 8 2 2 2 2 8" xfId="4850" xr:uid="{00000000-0005-0000-0000-00001C1C0000}"/>
    <cellStyle name="Normal 8 2 2 2 2 8 2" xfId="13279" xr:uid="{680DCCED-9CD7-419D-B733-97C86E291D73}"/>
    <cellStyle name="Normal 8 2 2 2 2 9" xfId="9061" xr:uid="{04EA1C37-0DA6-4A0A-80B8-DD4FCF8FC6EC}"/>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11323A40-6F05-42EA-B69D-E38D49F00FD0}"/>
    <cellStyle name="Normal 8 2 2 2 3 2 2 3" xfId="11621" xr:uid="{AA9FC2DE-8886-45FA-B8B2-FADFB07D0607}"/>
    <cellStyle name="Normal 8 2 2 2 3 2 3" xfId="5265" xr:uid="{00000000-0005-0000-0000-0000211C0000}"/>
    <cellStyle name="Normal 8 2 2 2 3 2 3 2" xfId="13694" xr:uid="{DB1EBD82-6DE1-4B6A-A2FD-A7CF10D92742}"/>
    <cellStyle name="Normal 8 2 2 2 3 2 4" xfId="9476" xr:uid="{B605B626-A19D-400A-B1A9-18FC92822E55}"/>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AE893C8D-65F5-45BA-A49C-9513B22E4485}"/>
    <cellStyle name="Normal 8 2 2 2 3 3 2 3" xfId="12034" xr:uid="{25D9109A-D273-4EFA-90D4-9E38C8B9B814}"/>
    <cellStyle name="Normal 8 2 2 2 3 3 3" xfId="5678" xr:uid="{00000000-0005-0000-0000-0000251C0000}"/>
    <cellStyle name="Normal 8 2 2 2 3 3 3 2" xfId="14107" xr:uid="{E9D107DA-4359-4904-B859-11657CC3D405}"/>
    <cellStyle name="Normal 8 2 2 2 3 3 4" xfId="9889" xr:uid="{4FB7F0EE-1ECB-4AF0-822F-4057C5F8C8B7}"/>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5C1210D7-130B-4D51-93A0-90DD81D545F7}"/>
    <cellStyle name="Normal 8 2 2 2 3 4 2 3" xfId="12447" xr:uid="{C6064A8F-2630-4600-B322-187077D058EB}"/>
    <cellStyle name="Normal 8 2 2 2 3 4 3" xfId="6091" xr:uid="{00000000-0005-0000-0000-0000291C0000}"/>
    <cellStyle name="Normal 8 2 2 2 3 4 3 2" xfId="14520" xr:uid="{2D7A3EC5-05DA-4BF2-8E39-669239BDD3EC}"/>
    <cellStyle name="Normal 8 2 2 2 3 4 4" xfId="10302" xr:uid="{003510D6-0D29-47ED-A8C2-3360E7B55FCF}"/>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90A0485A-C5DA-4500-8B2A-E0F79C7B0439}"/>
    <cellStyle name="Normal 8 2 2 2 3 5 2 3" xfId="12860" xr:uid="{8938361C-C7CE-41F9-844B-9F86C0AB1AC0}"/>
    <cellStyle name="Normal 8 2 2 2 3 5 3" xfId="6504" xr:uid="{00000000-0005-0000-0000-00002D1C0000}"/>
    <cellStyle name="Normal 8 2 2 2 3 5 3 2" xfId="14933" xr:uid="{5683AD98-F777-4D97-B77B-92533B90254E}"/>
    <cellStyle name="Normal 8 2 2 2 3 5 4" xfId="10715" xr:uid="{553442CB-58DC-4B5A-816B-7F1434A4A2A0}"/>
    <cellStyle name="Normal 8 2 2 2 3 6" xfId="2632" xr:uid="{00000000-0005-0000-0000-00002E1C0000}"/>
    <cellStyle name="Normal 8 2 2 2 3 6 2" xfId="6917" xr:uid="{00000000-0005-0000-0000-00002F1C0000}"/>
    <cellStyle name="Normal 8 2 2 2 3 6 2 2" xfId="15346" xr:uid="{3604298E-0D39-4C13-AAB5-04C5CF8D96BE}"/>
    <cellStyle name="Normal 8 2 2 2 3 6 3" xfId="11128" xr:uid="{D4E1E30C-8EBE-4544-9151-5E14D3836B0E}"/>
    <cellStyle name="Normal 8 2 2 2 3 7" xfId="4852" xr:uid="{00000000-0005-0000-0000-0000301C0000}"/>
    <cellStyle name="Normal 8 2 2 2 3 7 2" xfId="13281" xr:uid="{149A4D9B-0E5A-4084-AA3E-5A43C00D7AF5}"/>
    <cellStyle name="Normal 8 2 2 2 3 8" xfId="9063" xr:uid="{584119DB-D02D-44C0-9289-C35CDCA2756B}"/>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FF04A0EE-47A6-403F-9214-41D142993EA8}"/>
    <cellStyle name="Normal 8 2 2 2 4 2 3" xfId="11618" xr:uid="{28831C66-9266-46F8-8AF2-A51D6317A0CD}"/>
    <cellStyle name="Normal 8 2 2 2 4 3" xfId="5262" xr:uid="{00000000-0005-0000-0000-0000341C0000}"/>
    <cellStyle name="Normal 8 2 2 2 4 3 2" xfId="13691" xr:uid="{52553A8A-108E-4A42-BE42-6EEA4241E17E}"/>
    <cellStyle name="Normal 8 2 2 2 4 4" xfId="9473" xr:uid="{EA9A756B-456F-42C4-B52C-036CA51359AF}"/>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90A03693-0AEB-42EC-B5D6-6FA2397D5396}"/>
    <cellStyle name="Normal 8 2 2 2 5 2 3" xfId="12031" xr:uid="{057FCAEB-575D-4E6E-8F22-1CF74D638620}"/>
    <cellStyle name="Normal 8 2 2 2 5 3" xfId="5675" xr:uid="{00000000-0005-0000-0000-0000381C0000}"/>
    <cellStyle name="Normal 8 2 2 2 5 3 2" xfId="14104" xr:uid="{A7E97D34-929A-4981-A37C-FC4592B05018}"/>
    <cellStyle name="Normal 8 2 2 2 5 4" xfId="9886" xr:uid="{FFDFD404-C1FF-4826-97F6-713E08A24849}"/>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C3965F43-47B8-4DB6-B6A7-0E0A3BF9E6AB}"/>
    <cellStyle name="Normal 8 2 2 2 6 2 3" xfId="12444" xr:uid="{AE143A49-C92C-414A-AD95-85780526EECD}"/>
    <cellStyle name="Normal 8 2 2 2 6 3" xfId="6088" xr:uid="{00000000-0005-0000-0000-00003C1C0000}"/>
    <cellStyle name="Normal 8 2 2 2 6 3 2" xfId="14517" xr:uid="{2B3675A5-DBD0-4732-9F3C-21B7FAC2B319}"/>
    <cellStyle name="Normal 8 2 2 2 6 4" xfId="10299" xr:uid="{2AE74896-EA9B-4905-B4A2-965786402A8D}"/>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0573584C-E28C-463E-8F3E-4DAB0A94457B}"/>
    <cellStyle name="Normal 8 2 2 2 7 2 3" xfId="12857" xr:uid="{AB99C1DA-19FB-4F01-A541-86F1D63F392A}"/>
    <cellStyle name="Normal 8 2 2 2 7 3" xfId="6501" xr:uid="{00000000-0005-0000-0000-0000401C0000}"/>
    <cellStyle name="Normal 8 2 2 2 7 3 2" xfId="14930" xr:uid="{8659DE92-F249-46D4-9797-9BA13DA9B719}"/>
    <cellStyle name="Normal 8 2 2 2 7 4" xfId="10712" xr:uid="{6FD45C58-23DA-4B5B-9F53-B21C0E930E5B}"/>
    <cellStyle name="Normal 8 2 2 2 8" xfId="2629" xr:uid="{00000000-0005-0000-0000-0000411C0000}"/>
    <cellStyle name="Normal 8 2 2 2 8 2" xfId="6914" xr:uid="{00000000-0005-0000-0000-0000421C0000}"/>
    <cellStyle name="Normal 8 2 2 2 8 2 2" xfId="15343" xr:uid="{C227CDFA-1BA6-4BC4-9F80-55CEDFAD10B1}"/>
    <cellStyle name="Normal 8 2 2 2 8 3" xfId="11125" xr:uid="{F26394ED-136B-4C2A-BCB4-48BABD4EC00B}"/>
    <cellStyle name="Normal 8 2 2 2 9" xfId="4849" xr:uid="{00000000-0005-0000-0000-0000431C0000}"/>
    <cellStyle name="Normal 8 2 2 2 9 2" xfId="13278" xr:uid="{130DB306-5D1A-4B03-A5F2-E282A5EBFB0B}"/>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24C20A11-01E0-4A95-9C15-6D45A4D24614}"/>
    <cellStyle name="Normal 8 2 2 3 2 2 2 3" xfId="11623" xr:uid="{DCDB8199-BECE-4F8C-AD52-9FC56670AF35}"/>
    <cellStyle name="Normal 8 2 2 3 2 2 3" xfId="5267" xr:uid="{00000000-0005-0000-0000-0000491C0000}"/>
    <cellStyle name="Normal 8 2 2 3 2 2 3 2" xfId="13696" xr:uid="{E41A9CB0-0B94-40A2-AD03-48425F400C79}"/>
    <cellStyle name="Normal 8 2 2 3 2 2 4" xfId="9478" xr:uid="{0C5BB4E8-6132-41E1-B301-43BFF0E9FFFD}"/>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6FB46362-ABFC-4966-91DE-276A615C6989}"/>
    <cellStyle name="Normal 8 2 2 3 2 3 2 3" xfId="12036" xr:uid="{C555F490-B4B9-4910-BF6A-BAF4DE810623}"/>
    <cellStyle name="Normal 8 2 2 3 2 3 3" xfId="5680" xr:uid="{00000000-0005-0000-0000-00004D1C0000}"/>
    <cellStyle name="Normal 8 2 2 3 2 3 3 2" xfId="14109" xr:uid="{D7359015-51A9-4040-B901-F2AD2CB0F2D2}"/>
    <cellStyle name="Normal 8 2 2 3 2 3 4" xfId="9891" xr:uid="{55FB47CF-F6BF-473A-B1D4-3AE6146C543D}"/>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5041C1A0-1745-4B10-AEE1-8F02D0279180}"/>
    <cellStyle name="Normal 8 2 2 3 2 4 2 3" xfId="12449" xr:uid="{21124014-7842-4C60-B43E-145E0463DB0A}"/>
    <cellStyle name="Normal 8 2 2 3 2 4 3" xfId="6093" xr:uid="{00000000-0005-0000-0000-0000511C0000}"/>
    <cellStyle name="Normal 8 2 2 3 2 4 3 2" xfId="14522" xr:uid="{31CD6D22-67F2-43FF-BE94-6F3C7745876E}"/>
    <cellStyle name="Normal 8 2 2 3 2 4 4" xfId="10304" xr:uid="{547F3190-9A6B-43EF-AFFE-B67D790B7357}"/>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B3CD1FBD-EAA8-48C3-AE2F-C21E9FF0F756}"/>
    <cellStyle name="Normal 8 2 2 3 2 5 2 3" xfId="12862" xr:uid="{16C2F080-C76D-4C50-B3A0-0246BBEBE432}"/>
    <cellStyle name="Normal 8 2 2 3 2 5 3" xfId="6506" xr:uid="{00000000-0005-0000-0000-0000551C0000}"/>
    <cellStyle name="Normal 8 2 2 3 2 5 3 2" xfId="14935" xr:uid="{EEB14170-3B66-4F4E-A77A-38DB7AA73619}"/>
    <cellStyle name="Normal 8 2 2 3 2 5 4" xfId="10717" xr:uid="{58117115-E244-426D-B84C-C2086B4E2D6D}"/>
    <cellStyle name="Normal 8 2 2 3 2 6" xfId="2634" xr:uid="{00000000-0005-0000-0000-0000561C0000}"/>
    <cellStyle name="Normal 8 2 2 3 2 6 2" xfId="6919" xr:uid="{00000000-0005-0000-0000-0000571C0000}"/>
    <cellStyle name="Normal 8 2 2 3 2 6 2 2" xfId="15348" xr:uid="{1B09E812-4345-432D-8322-4762218B6416}"/>
    <cellStyle name="Normal 8 2 2 3 2 6 3" xfId="11130" xr:uid="{095E7674-33D5-4A07-8D05-56B2E419A92A}"/>
    <cellStyle name="Normal 8 2 2 3 2 7" xfId="4854" xr:uid="{00000000-0005-0000-0000-0000581C0000}"/>
    <cellStyle name="Normal 8 2 2 3 2 7 2" xfId="13283" xr:uid="{591B2AF1-0E8B-4505-84F7-BEA3E06A419B}"/>
    <cellStyle name="Normal 8 2 2 3 2 8" xfId="9065" xr:uid="{D3F075F4-E35D-4123-A239-C281FA7304F4}"/>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4C35959B-2736-4587-AD0C-326E2BB284EC}"/>
    <cellStyle name="Normal 8 2 2 3 3 2 3" xfId="11622" xr:uid="{638CE73B-9EBD-47AB-BD33-57B705360C5F}"/>
    <cellStyle name="Normal 8 2 2 3 3 3" xfId="5266" xr:uid="{00000000-0005-0000-0000-00005C1C0000}"/>
    <cellStyle name="Normal 8 2 2 3 3 3 2" xfId="13695" xr:uid="{6C2E9B48-3ED6-44C1-9B80-FE40BE927EC6}"/>
    <cellStyle name="Normal 8 2 2 3 3 4" xfId="9477" xr:uid="{1CDBD8B7-B096-4D47-B19C-E5A16CF937A7}"/>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BA172536-0FD9-44E1-8562-A6E042EB38C1}"/>
    <cellStyle name="Normal 8 2 2 3 4 2 3" xfId="12035" xr:uid="{39269C15-FF94-4313-B35E-0A273B9ADB96}"/>
    <cellStyle name="Normal 8 2 2 3 4 3" xfId="5679" xr:uid="{00000000-0005-0000-0000-0000601C0000}"/>
    <cellStyle name="Normal 8 2 2 3 4 3 2" xfId="14108" xr:uid="{9172149C-A032-4404-8E5D-02C924542F3C}"/>
    <cellStyle name="Normal 8 2 2 3 4 4" xfId="9890" xr:uid="{AF01B288-BA4F-475C-9174-7E73D45C415E}"/>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37914A70-8D50-410E-A3FA-F26F25F8C141}"/>
    <cellStyle name="Normal 8 2 2 3 5 2 3" xfId="12448" xr:uid="{0EA6FB04-BA4A-418A-B92B-2A8B3D3D554F}"/>
    <cellStyle name="Normal 8 2 2 3 5 3" xfId="6092" xr:uid="{00000000-0005-0000-0000-0000641C0000}"/>
    <cellStyle name="Normal 8 2 2 3 5 3 2" xfId="14521" xr:uid="{119B0862-EBD6-49EE-B3EF-ABD259BA69A5}"/>
    <cellStyle name="Normal 8 2 2 3 5 4" xfId="10303" xr:uid="{00B9D13E-21AF-48B0-9FDB-EB965C6066D1}"/>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319A2C3A-A83B-446E-B39E-546179CFDBC2}"/>
    <cellStyle name="Normal 8 2 2 3 6 2 3" xfId="12861" xr:uid="{DC112FEF-C6EA-493F-A728-83770AC3B5A3}"/>
    <cellStyle name="Normal 8 2 2 3 6 3" xfId="6505" xr:uid="{00000000-0005-0000-0000-0000681C0000}"/>
    <cellStyle name="Normal 8 2 2 3 6 3 2" xfId="14934" xr:uid="{B9D769DB-91FA-48C9-A5AD-B26B20244377}"/>
    <cellStyle name="Normal 8 2 2 3 6 4" xfId="10716" xr:uid="{D8B4B4EE-8615-4686-9DB2-897120DE0D0E}"/>
    <cellStyle name="Normal 8 2 2 3 7" xfId="2633" xr:uid="{00000000-0005-0000-0000-0000691C0000}"/>
    <cellStyle name="Normal 8 2 2 3 7 2" xfId="6918" xr:uid="{00000000-0005-0000-0000-00006A1C0000}"/>
    <cellStyle name="Normal 8 2 2 3 7 2 2" xfId="15347" xr:uid="{98DED5A4-7E90-4E1F-8F2A-21ABFA0273CB}"/>
    <cellStyle name="Normal 8 2 2 3 7 3" xfId="11129" xr:uid="{DFC9695D-906D-474B-95D6-1248F5AAA0EC}"/>
    <cellStyle name="Normal 8 2 2 3 8" xfId="4853" xr:uid="{00000000-0005-0000-0000-00006B1C0000}"/>
    <cellStyle name="Normal 8 2 2 3 8 2" xfId="13282" xr:uid="{59DCD272-C5D6-4302-8A1C-9D8A1B3B9742}"/>
    <cellStyle name="Normal 8 2 2 3 9" xfId="9064" xr:uid="{7304F584-1108-449C-B3E0-C6D5EEF7BDE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7E7233F4-6841-432B-AC6E-0098688442CE}"/>
    <cellStyle name="Normal 8 2 2 4 2 2 3" xfId="11624" xr:uid="{6C0A043F-2336-4FB0-8BBA-F2F3B519932E}"/>
    <cellStyle name="Normal 8 2 2 4 2 3" xfId="5268" xr:uid="{00000000-0005-0000-0000-0000701C0000}"/>
    <cellStyle name="Normal 8 2 2 4 2 3 2" xfId="13697" xr:uid="{AE29EABC-EF53-4E6A-9EE8-510195E93298}"/>
    <cellStyle name="Normal 8 2 2 4 2 4" xfId="9479" xr:uid="{7110B523-C903-4F6E-B36A-74C25A9CF886}"/>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8657EB2A-DC24-40BA-B675-1ECDA91473C4}"/>
    <cellStyle name="Normal 8 2 2 4 3 2 3" xfId="12037" xr:uid="{093796BB-D2A7-4A37-956A-D00A4EC412FE}"/>
    <cellStyle name="Normal 8 2 2 4 3 3" xfId="5681" xr:uid="{00000000-0005-0000-0000-0000741C0000}"/>
    <cellStyle name="Normal 8 2 2 4 3 3 2" xfId="14110" xr:uid="{1373633A-E187-4280-95B1-D154872A5BD2}"/>
    <cellStyle name="Normal 8 2 2 4 3 4" xfId="9892" xr:uid="{099AB7A2-64E1-4696-B209-4DC5998A73BB}"/>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1A0DF27B-17B7-44BF-88DF-C32C57748917}"/>
    <cellStyle name="Normal 8 2 2 4 4 2 3" xfId="12450" xr:uid="{7044A89C-6B20-497F-AEFF-7345332333FF}"/>
    <cellStyle name="Normal 8 2 2 4 4 3" xfId="6094" xr:uid="{00000000-0005-0000-0000-0000781C0000}"/>
    <cellStyle name="Normal 8 2 2 4 4 3 2" xfId="14523" xr:uid="{01A680F3-67B8-4F05-8239-BF5911A8C69C}"/>
    <cellStyle name="Normal 8 2 2 4 4 4" xfId="10305" xr:uid="{A32DEAB4-77A9-43FD-B3E9-7754DD00335B}"/>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780A82EC-CF05-432B-A6F7-92BFD1C304A7}"/>
    <cellStyle name="Normal 8 2 2 4 5 2 3" xfId="12863" xr:uid="{D141D1A5-B6A2-4D49-A37C-AE482E9BDAFA}"/>
    <cellStyle name="Normal 8 2 2 4 5 3" xfId="6507" xr:uid="{00000000-0005-0000-0000-00007C1C0000}"/>
    <cellStyle name="Normal 8 2 2 4 5 3 2" xfId="14936" xr:uid="{694C8533-D4D5-46FF-AB4A-D1FD9290B985}"/>
    <cellStyle name="Normal 8 2 2 4 5 4" xfId="10718" xr:uid="{EBAC50C1-E3C4-4EB3-8600-B4A27558D60F}"/>
    <cellStyle name="Normal 8 2 2 4 6" xfId="2635" xr:uid="{00000000-0005-0000-0000-00007D1C0000}"/>
    <cellStyle name="Normal 8 2 2 4 6 2" xfId="6920" xr:uid="{00000000-0005-0000-0000-00007E1C0000}"/>
    <cellStyle name="Normal 8 2 2 4 6 2 2" xfId="15349" xr:uid="{596A2076-62B5-4449-BDBB-CCB723F31A8F}"/>
    <cellStyle name="Normal 8 2 2 4 6 3" xfId="11131" xr:uid="{2D369F85-07D0-4B9B-A78F-C1D4EB0C01EB}"/>
    <cellStyle name="Normal 8 2 2 4 7" xfId="4855" xr:uid="{00000000-0005-0000-0000-00007F1C0000}"/>
    <cellStyle name="Normal 8 2 2 4 7 2" xfId="13284" xr:uid="{DEBE2C88-C60E-4027-8D8A-144DEEAA8320}"/>
    <cellStyle name="Normal 8 2 2 4 8" xfId="9066" xr:uid="{2217C5A8-AF45-46FA-9C67-85B026C65690}"/>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040D424B-D99F-4B0B-B5A6-6B036BE1EE74}"/>
    <cellStyle name="Normal 8 2 2 5 2 3" xfId="11617" xr:uid="{004F6564-DDF8-4A62-AD59-F83F2F7F6541}"/>
    <cellStyle name="Normal 8 2 2 5 3" xfId="5261" xr:uid="{00000000-0005-0000-0000-0000831C0000}"/>
    <cellStyle name="Normal 8 2 2 5 3 2" xfId="13690" xr:uid="{7EA05493-8237-4EFA-B117-F8738B102C02}"/>
    <cellStyle name="Normal 8 2 2 5 4" xfId="9472" xr:uid="{6D4DBA09-7235-4F1F-8A22-14A38AC69970}"/>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C7F85A46-E936-4749-8C11-CFABD35738AD}"/>
    <cellStyle name="Normal 8 2 2 6 2 3" xfId="12030" xr:uid="{0EA9D5BD-0A48-4728-997C-D0D76E0BC2DB}"/>
    <cellStyle name="Normal 8 2 2 6 3" xfId="5674" xr:uid="{00000000-0005-0000-0000-0000871C0000}"/>
    <cellStyle name="Normal 8 2 2 6 3 2" xfId="14103" xr:uid="{73E5A0FE-012A-42EB-BF62-B75967D27645}"/>
    <cellStyle name="Normal 8 2 2 6 4" xfId="9885" xr:uid="{A81D0061-96FF-47C1-9072-B389CA3E4C37}"/>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BA040BA7-1191-4328-815A-9A03A1BD4CA1}"/>
    <cellStyle name="Normal 8 2 2 7 2 3" xfId="12443" xr:uid="{57193A68-E34E-4DC6-8FC1-368637B287EF}"/>
    <cellStyle name="Normal 8 2 2 7 3" xfId="6087" xr:uid="{00000000-0005-0000-0000-00008B1C0000}"/>
    <cellStyle name="Normal 8 2 2 7 3 2" xfId="14516" xr:uid="{E1610CB6-7466-4888-A223-04FB61985583}"/>
    <cellStyle name="Normal 8 2 2 7 4" xfId="10298" xr:uid="{E50EBA46-DA9E-4806-B155-22ACE6D135C1}"/>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884BB125-815B-4A0B-B1E5-E2FE7B0E96AA}"/>
    <cellStyle name="Normal 8 2 2 8 2 3" xfId="12856" xr:uid="{5DFDAE68-58DB-4637-8BD8-331CABE842F4}"/>
    <cellStyle name="Normal 8 2 2 8 3" xfId="6500" xr:uid="{00000000-0005-0000-0000-00008F1C0000}"/>
    <cellStyle name="Normal 8 2 2 8 3 2" xfId="14929" xr:uid="{A396CE26-FDF8-423B-B763-E78F57F10C05}"/>
    <cellStyle name="Normal 8 2 2 8 4" xfId="10711" xr:uid="{283B7FE7-F239-4D50-9842-C2857EF027C9}"/>
    <cellStyle name="Normal 8 2 2 9" xfId="2628" xr:uid="{00000000-0005-0000-0000-0000901C0000}"/>
    <cellStyle name="Normal 8 2 2 9 2" xfId="6913" xr:uid="{00000000-0005-0000-0000-0000911C0000}"/>
    <cellStyle name="Normal 8 2 2 9 2 2" xfId="15342" xr:uid="{EB467E05-68FF-46C6-A0D2-D546FD660049}"/>
    <cellStyle name="Normal 8 2 2 9 3" xfId="11124" xr:uid="{8DC992AA-F9A7-498D-838B-CED1522FC179}"/>
    <cellStyle name="Normal 8 2 3" xfId="488" xr:uid="{00000000-0005-0000-0000-0000921C0000}"/>
    <cellStyle name="Normal 8 2 3 10" xfId="9067" xr:uid="{43C559D2-57ED-4C0F-B17A-3A5EB3766BBF}"/>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944272D8-439C-4B91-A4F7-CCD8F2DD8FF7}"/>
    <cellStyle name="Normal 8 2 3 2 2 2 2 3" xfId="11627" xr:uid="{9EC1E1EB-AD3D-47A9-A47D-79D4F9E4EC81}"/>
    <cellStyle name="Normal 8 2 3 2 2 2 3" xfId="5271" xr:uid="{00000000-0005-0000-0000-0000981C0000}"/>
    <cellStyle name="Normal 8 2 3 2 2 2 3 2" xfId="13700" xr:uid="{A538B52A-BA09-4436-88D6-B03CE58E9BAB}"/>
    <cellStyle name="Normal 8 2 3 2 2 2 4" xfId="9482" xr:uid="{F4AA1C7B-B23A-45CE-8FFC-AEBA4722AE0F}"/>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8C45353D-B869-41D3-89D7-89B46289CDC7}"/>
    <cellStyle name="Normal 8 2 3 2 2 3 2 3" xfId="12040" xr:uid="{8D903270-D515-4E1A-B6D2-CDD4A918DCB0}"/>
    <cellStyle name="Normal 8 2 3 2 2 3 3" xfId="5684" xr:uid="{00000000-0005-0000-0000-00009C1C0000}"/>
    <cellStyle name="Normal 8 2 3 2 2 3 3 2" xfId="14113" xr:uid="{25CAA73C-E62B-4A90-8AB5-61F39029DAEC}"/>
    <cellStyle name="Normal 8 2 3 2 2 3 4" xfId="9895" xr:uid="{EAA79ADF-0DF5-430F-8372-DEE10513DAEC}"/>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482381CD-C0AB-4245-8BC6-1F0A73093317}"/>
    <cellStyle name="Normal 8 2 3 2 2 4 2 3" xfId="12453" xr:uid="{D8B4C442-1624-492C-BFAC-3631CB164799}"/>
    <cellStyle name="Normal 8 2 3 2 2 4 3" xfId="6097" xr:uid="{00000000-0005-0000-0000-0000A01C0000}"/>
    <cellStyle name="Normal 8 2 3 2 2 4 3 2" xfId="14526" xr:uid="{B4514F2C-A8BB-488C-AADE-D9C344D5874E}"/>
    <cellStyle name="Normal 8 2 3 2 2 4 4" xfId="10308" xr:uid="{B783A306-F0F8-4A8B-BC44-4BFD71BC7519}"/>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7302F7FA-44E6-457A-B72D-0AD8E7049A4E}"/>
    <cellStyle name="Normal 8 2 3 2 2 5 2 3" xfId="12866" xr:uid="{170B7039-7DA6-4967-BDBA-43EE814A5C44}"/>
    <cellStyle name="Normal 8 2 3 2 2 5 3" xfId="6510" xr:uid="{00000000-0005-0000-0000-0000A41C0000}"/>
    <cellStyle name="Normal 8 2 3 2 2 5 3 2" xfId="14939" xr:uid="{E2047820-134E-4CCA-8247-8EDC1896C494}"/>
    <cellStyle name="Normal 8 2 3 2 2 5 4" xfId="10721" xr:uid="{57366E92-F7E6-4500-A141-6F14971E9FFC}"/>
    <cellStyle name="Normal 8 2 3 2 2 6" xfId="2638" xr:uid="{00000000-0005-0000-0000-0000A51C0000}"/>
    <cellStyle name="Normal 8 2 3 2 2 6 2" xfId="6923" xr:uid="{00000000-0005-0000-0000-0000A61C0000}"/>
    <cellStyle name="Normal 8 2 3 2 2 6 2 2" xfId="15352" xr:uid="{F8FE64E3-A7F7-4537-A772-F74F8023DC74}"/>
    <cellStyle name="Normal 8 2 3 2 2 6 3" xfId="11134" xr:uid="{AF788081-FA5E-4285-ACE2-D4D9399B926E}"/>
    <cellStyle name="Normal 8 2 3 2 2 7" xfId="4858" xr:uid="{00000000-0005-0000-0000-0000A71C0000}"/>
    <cellStyle name="Normal 8 2 3 2 2 7 2" xfId="13287" xr:uid="{A3658373-605C-4897-8ED7-F06FD05E1BD3}"/>
    <cellStyle name="Normal 8 2 3 2 2 8" xfId="9069" xr:uid="{7806BB63-B768-4AAA-9F42-CFC2A64F538B}"/>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EC79472E-504C-408E-A165-9A00C2BFBD65}"/>
    <cellStyle name="Normal 8 2 3 2 3 2 3" xfId="11626" xr:uid="{BF464D0C-E719-40BE-87DB-4D80512A4566}"/>
    <cellStyle name="Normal 8 2 3 2 3 3" xfId="5270" xr:uid="{00000000-0005-0000-0000-0000AB1C0000}"/>
    <cellStyle name="Normal 8 2 3 2 3 3 2" xfId="13699" xr:uid="{238D68AC-220B-413C-A4F7-84BFB58FBE1B}"/>
    <cellStyle name="Normal 8 2 3 2 3 4" xfId="9481" xr:uid="{0F24BE13-7B5C-4DA5-B664-74F88AE4C432}"/>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512BE68F-6401-4599-BD3D-0770BB812DF1}"/>
    <cellStyle name="Normal 8 2 3 2 4 2 3" xfId="12039" xr:uid="{15798398-42F4-4755-8A0B-570AC0E5F413}"/>
    <cellStyle name="Normal 8 2 3 2 4 3" xfId="5683" xr:uid="{00000000-0005-0000-0000-0000AF1C0000}"/>
    <cellStyle name="Normal 8 2 3 2 4 3 2" xfId="14112" xr:uid="{EF031118-45FE-45AE-BD66-51123F10A278}"/>
    <cellStyle name="Normal 8 2 3 2 4 4" xfId="9894" xr:uid="{540BE41F-CFC3-4130-A99E-9DF4970CDE60}"/>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08A2429C-8A78-4132-811E-06B96705A65C}"/>
    <cellStyle name="Normal 8 2 3 2 5 2 3" xfId="12452" xr:uid="{14E3DCBD-D4ED-433C-8290-B8958EAB36CF}"/>
    <cellStyle name="Normal 8 2 3 2 5 3" xfId="6096" xr:uid="{00000000-0005-0000-0000-0000B31C0000}"/>
    <cellStyle name="Normal 8 2 3 2 5 3 2" xfId="14525" xr:uid="{1BA77A2B-F7BF-4AE7-BE00-6A354CE42E30}"/>
    <cellStyle name="Normal 8 2 3 2 5 4" xfId="10307" xr:uid="{065337BE-B219-4610-B6BF-157561AC5EAC}"/>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0F8A5BF6-722C-4AC4-94ED-5F1DB069EAD6}"/>
    <cellStyle name="Normal 8 2 3 2 6 2 3" xfId="12865" xr:uid="{0DBBC020-ECEA-4A72-8120-1BF858243ECA}"/>
    <cellStyle name="Normal 8 2 3 2 6 3" xfId="6509" xr:uid="{00000000-0005-0000-0000-0000B71C0000}"/>
    <cellStyle name="Normal 8 2 3 2 6 3 2" xfId="14938" xr:uid="{B7336F29-18BE-4B28-AF78-AA49657CCAB2}"/>
    <cellStyle name="Normal 8 2 3 2 6 4" xfId="10720" xr:uid="{6891A997-65B2-43E7-AEAA-FB598156489E}"/>
    <cellStyle name="Normal 8 2 3 2 7" xfId="2637" xr:uid="{00000000-0005-0000-0000-0000B81C0000}"/>
    <cellStyle name="Normal 8 2 3 2 7 2" xfId="6922" xr:uid="{00000000-0005-0000-0000-0000B91C0000}"/>
    <cellStyle name="Normal 8 2 3 2 7 2 2" xfId="15351" xr:uid="{37080EF6-D3F3-4C2A-BF97-A6A005B0B0ED}"/>
    <cellStyle name="Normal 8 2 3 2 7 3" xfId="11133" xr:uid="{02634822-1371-4575-8475-D3186E16191C}"/>
    <cellStyle name="Normal 8 2 3 2 8" xfId="4857" xr:uid="{00000000-0005-0000-0000-0000BA1C0000}"/>
    <cellStyle name="Normal 8 2 3 2 8 2" xfId="13286" xr:uid="{949AEC79-93C4-4D6A-B47D-2B716DC24109}"/>
    <cellStyle name="Normal 8 2 3 2 9" xfId="9068" xr:uid="{C3FC66E9-46B5-4C8D-B94A-3BDC3539B5F2}"/>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D77538F2-8FBC-4816-8D32-E0809D90D058}"/>
    <cellStyle name="Normal 8 2 3 3 2 2 3" xfId="11628" xr:uid="{0361486F-AFD7-4B78-A36E-175A49E191A0}"/>
    <cellStyle name="Normal 8 2 3 3 2 3" xfId="5272" xr:uid="{00000000-0005-0000-0000-0000BF1C0000}"/>
    <cellStyle name="Normal 8 2 3 3 2 3 2" xfId="13701" xr:uid="{8E7F4BE6-4292-4903-8CD6-B133BCB4E4A6}"/>
    <cellStyle name="Normal 8 2 3 3 2 4" xfId="9483" xr:uid="{FCE7223B-7F61-47D5-A947-518FDC6929FC}"/>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8247EBDA-EE46-45D8-B95A-A5DE43ABAE0C}"/>
    <cellStyle name="Normal 8 2 3 3 3 2 3" xfId="12041" xr:uid="{7F6FBDD4-0662-40DC-9611-C1FDB9722BE2}"/>
    <cellStyle name="Normal 8 2 3 3 3 3" xfId="5685" xr:uid="{00000000-0005-0000-0000-0000C31C0000}"/>
    <cellStyle name="Normal 8 2 3 3 3 3 2" xfId="14114" xr:uid="{A3581DC4-D5DD-4CA5-A490-C641D7D707E7}"/>
    <cellStyle name="Normal 8 2 3 3 3 4" xfId="9896" xr:uid="{97E1235D-E735-4BC4-AC27-4B856D16DAF6}"/>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02AFD754-AE11-430E-89E6-F1D4EEA8EC54}"/>
    <cellStyle name="Normal 8 2 3 3 4 2 3" xfId="12454" xr:uid="{AF17D374-ED27-4388-AEEA-A60B4A4E313F}"/>
    <cellStyle name="Normal 8 2 3 3 4 3" xfId="6098" xr:uid="{00000000-0005-0000-0000-0000C71C0000}"/>
    <cellStyle name="Normal 8 2 3 3 4 3 2" xfId="14527" xr:uid="{1660F635-D1D5-409F-9C22-FEF7E3B23177}"/>
    <cellStyle name="Normal 8 2 3 3 4 4" xfId="10309" xr:uid="{3B75F0E1-BCD4-4441-87FE-8E9B2A48C359}"/>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98F38B35-3827-42B9-BA2D-429B7F8BFC5F}"/>
    <cellStyle name="Normal 8 2 3 3 5 2 3" xfId="12867" xr:uid="{CB9F72E9-3EDF-4C8F-B0DF-CFA07E6B6519}"/>
    <cellStyle name="Normal 8 2 3 3 5 3" xfId="6511" xr:uid="{00000000-0005-0000-0000-0000CB1C0000}"/>
    <cellStyle name="Normal 8 2 3 3 5 3 2" xfId="14940" xr:uid="{DA3BEA49-B337-484D-AD2B-BE3970CE8745}"/>
    <cellStyle name="Normal 8 2 3 3 5 4" xfId="10722" xr:uid="{2BE9AA4D-07B4-487C-8B31-F6005606D0C9}"/>
    <cellStyle name="Normal 8 2 3 3 6" xfId="2639" xr:uid="{00000000-0005-0000-0000-0000CC1C0000}"/>
    <cellStyle name="Normal 8 2 3 3 6 2" xfId="6924" xr:uid="{00000000-0005-0000-0000-0000CD1C0000}"/>
    <cellStyle name="Normal 8 2 3 3 6 2 2" xfId="15353" xr:uid="{B775CEA6-D1B3-427D-BBE3-75F00FAB21B2}"/>
    <cellStyle name="Normal 8 2 3 3 6 3" xfId="11135" xr:uid="{FDF7D485-3A96-4AB6-B847-866586CE51C4}"/>
    <cellStyle name="Normal 8 2 3 3 7" xfId="4859" xr:uid="{00000000-0005-0000-0000-0000CE1C0000}"/>
    <cellStyle name="Normal 8 2 3 3 7 2" xfId="13288" xr:uid="{EA5AE9C9-2502-4CC5-A20E-D906DEEDA4C9}"/>
    <cellStyle name="Normal 8 2 3 3 8" xfId="9070" xr:uid="{C8FE77EA-529C-4C75-8223-843ABCC00D56}"/>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C7A10205-2023-44BB-96BF-CCDA29EAE6E0}"/>
    <cellStyle name="Normal 8 2 3 4 2 3" xfId="11625" xr:uid="{A54CAC3F-8D63-4681-8901-48A119D9C8CB}"/>
    <cellStyle name="Normal 8 2 3 4 3" xfId="5269" xr:uid="{00000000-0005-0000-0000-0000D21C0000}"/>
    <cellStyle name="Normal 8 2 3 4 3 2" xfId="13698" xr:uid="{B151B4B5-E1F1-4C43-954E-08F4CE1AF0E6}"/>
    <cellStyle name="Normal 8 2 3 4 4" xfId="9480" xr:uid="{F6BC00B0-6E1D-4A21-B9A2-2A8128566A64}"/>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4B8B66CB-8720-47C3-B60F-61F5244659AF}"/>
    <cellStyle name="Normal 8 2 3 5 2 3" xfId="12038" xr:uid="{4E41A9F8-0251-4157-BF55-75BE3B4AAAA9}"/>
    <cellStyle name="Normal 8 2 3 5 3" xfId="5682" xr:uid="{00000000-0005-0000-0000-0000D61C0000}"/>
    <cellStyle name="Normal 8 2 3 5 3 2" xfId="14111" xr:uid="{31AA660F-FBA8-4A80-BEEF-DC439304FD07}"/>
    <cellStyle name="Normal 8 2 3 5 4" xfId="9893" xr:uid="{1ACAF88F-AC3B-46F4-8E51-2248CED82F46}"/>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E7302A7B-B0C3-43C0-9500-FB2EAAB20DA9}"/>
    <cellStyle name="Normal 8 2 3 6 2 3" xfId="12451" xr:uid="{CDF7E474-4195-46A7-9BC3-487320565376}"/>
    <cellStyle name="Normal 8 2 3 6 3" xfId="6095" xr:uid="{00000000-0005-0000-0000-0000DA1C0000}"/>
    <cellStyle name="Normal 8 2 3 6 3 2" xfId="14524" xr:uid="{68F57CEC-2E88-4A7D-B4B8-E1D04577595E}"/>
    <cellStyle name="Normal 8 2 3 6 4" xfId="10306" xr:uid="{27046946-7CC8-477F-BD21-CF310417C136}"/>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F645A411-8117-4DD6-BFB1-B242E579AB7D}"/>
    <cellStyle name="Normal 8 2 3 7 2 3" xfId="12864" xr:uid="{CA101E62-BBB9-4452-95E8-46B69EE5C69F}"/>
    <cellStyle name="Normal 8 2 3 7 3" xfId="6508" xr:uid="{00000000-0005-0000-0000-0000DE1C0000}"/>
    <cellStyle name="Normal 8 2 3 7 3 2" xfId="14937" xr:uid="{8CE4D65B-34E0-41FF-AA91-E24E3C467042}"/>
    <cellStyle name="Normal 8 2 3 7 4" xfId="10719" xr:uid="{47180BC1-8019-41AF-BC8B-FF92058CFC7C}"/>
    <cellStyle name="Normal 8 2 3 8" xfId="2636" xr:uid="{00000000-0005-0000-0000-0000DF1C0000}"/>
    <cellStyle name="Normal 8 2 3 8 2" xfId="6921" xr:uid="{00000000-0005-0000-0000-0000E01C0000}"/>
    <cellStyle name="Normal 8 2 3 8 2 2" xfId="15350" xr:uid="{2741516B-CA21-4338-AF54-865054FB0E45}"/>
    <cellStyle name="Normal 8 2 3 8 3" xfId="11132" xr:uid="{CB30ACA0-F1BE-4D0A-AB6D-E9FE4AC82B5A}"/>
    <cellStyle name="Normal 8 2 3 9" xfId="4856" xr:uid="{00000000-0005-0000-0000-0000E11C0000}"/>
    <cellStyle name="Normal 8 2 3 9 2" xfId="13285" xr:uid="{45F31050-0D84-4203-9777-E4F68F131397}"/>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C0004FEB-36F8-498D-87F2-A63C8B7350C1}"/>
    <cellStyle name="Normal 8 2 4 2 2 2 3" xfId="11630" xr:uid="{3E23E049-0F60-47D9-9FA6-521D2826F618}"/>
    <cellStyle name="Normal 8 2 4 2 2 3" xfId="5274" xr:uid="{00000000-0005-0000-0000-0000E71C0000}"/>
    <cellStyle name="Normal 8 2 4 2 2 3 2" xfId="13703" xr:uid="{ACDA6E7F-93C1-4F7C-B360-E10B7411214A}"/>
    <cellStyle name="Normal 8 2 4 2 2 4" xfId="9485" xr:uid="{36C60A47-A9B2-4DE5-B8A7-5F4532A660D5}"/>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9640CF7D-AAFC-43F3-BF8A-08DD894901D0}"/>
    <cellStyle name="Normal 8 2 4 2 3 2 3" xfId="12043" xr:uid="{646C4640-0FFA-45C4-B36B-1F1A8930092B}"/>
    <cellStyle name="Normal 8 2 4 2 3 3" xfId="5687" xr:uid="{00000000-0005-0000-0000-0000EB1C0000}"/>
    <cellStyle name="Normal 8 2 4 2 3 3 2" xfId="14116" xr:uid="{D7F8987D-1EBA-4EDF-88A2-2D0336CF53E8}"/>
    <cellStyle name="Normal 8 2 4 2 3 4" xfId="9898" xr:uid="{CF6E7308-00CD-41BD-AB50-4022036A5D6B}"/>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F0AE2777-9A1E-4F89-87FA-BBB61A2A6285}"/>
    <cellStyle name="Normal 8 2 4 2 4 2 3" xfId="12456" xr:uid="{CB70D2B9-F92D-4C91-9F00-349C7471028B}"/>
    <cellStyle name="Normal 8 2 4 2 4 3" xfId="6100" xr:uid="{00000000-0005-0000-0000-0000EF1C0000}"/>
    <cellStyle name="Normal 8 2 4 2 4 3 2" xfId="14529" xr:uid="{20C155DB-AE96-4C32-89A6-040D81964763}"/>
    <cellStyle name="Normal 8 2 4 2 4 4" xfId="10311" xr:uid="{200BC216-FC50-45CF-8C6A-94B5A75F2A36}"/>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AEF7E880-4242-463F-9449-B7525823356A}"/>
    <cellStyle name="Normal 8 2 4 2 5 2 3" xfId="12869" xr:uid="{9B0890F5-3821-4A09-A726-CE0896D7273F}"/>
    <cellStyle name="Normal 8 2 4 2 5 3" xfId="6513" xr:uid="{00000000-0005-0000-0000-0000F31C0000}"/>
    <cellStyle name="Normal 8 2 4 2 5 3 2" xfId="14942" xr:uid="{E96BC467-F1D8-47CE-BF71-BDD6063BD37B}"/>
    <cellStyle name="Normal 8 2 4 2 5 4" xfId="10724" xr:uid="{02B8261B-E03C-4F7F-9075-EE6DBB187274}"/>
    <cellStyle name="Normal 8 2 4 2 6" xfId="2641" xr:uid="{00000000-0005-0000-0000-0000F41C0000}"/>
    <cellStyle name="Normal 8 2 4 2 6 2" xfId="6926" xr:uid="{00000000-0005-0000-0000-0000F51C0000}"/>
    <cellStyle name="Normal 8 2 4 2 6 2 2" xfId="15355" xr:uid="{19EC1D5D-D8BC-458B-B4EF-FA6C5FC4BE6F}"/>
    <cellStyle name="Normal 8 2 4 2 6 3" xfId="11137" xr:uid="{D51D1F42-B393-4A98-995B-3765A052B877}"/>
    <cellStyle name="Normal 8 2 4 2 7" xfId="4861" xr:uid="{00000000-0005-0000-0000-0000F61C0000}"/>
    <cellStyle name="Normal 8 2 4 2 7 2" xfId="13290" xr:uid="{74561F52-A93A-423F-A698-C1AC42A2824A}"/>
    <cellStyle name="Normal 8 2 4 2 8" xfId="9072" xr:uid="{B6B83F3C-4E3F-4A26-8D3A-48E2E4ABA135}"/>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3AD89989-0B0C-4118-B9DF-F71B973278B4}"/>
    <cellStyle name="Normal 8 2 4 3 2 3" xfId="11629" xr:uid="{565703AF-C2E2-4C7D-84B6-A366AF555C99}"/>
    <cellStyle name="Normal 8 2 4 3 3" xfId="5273" xr:uid="{00000000-0005-0000-0000-0000FA1C0000}"/>
    <cellStyle name="Normal 8 2 4 3 3 2" xfId="13702" xr:uid="{3D3037B6-EB29-444C-BCEE-71FB63D383EF}"/>
    <cellStyle name="Normal 8 2 4 3 4" xfId="9484" xr:uid="{EA355C8A-7A53-4F7A-BCD4-73F775F5C1C1}"/>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572508B0-8679-4002-B8B4-5BB562C6205E}"/>
    <cellStyle name="Normal 8 2 4 4 2 3" xfId="12042" xr:uid="{8770C0EC-C721-411B-8C9C-347D7A43A336}"/>
    <cellStyle name="Normal 8 2 4 4 3" xfId="5686" xr:uid="{00000000-0005-0000-0000-0000FE1C0000}"/>
    <cellStyle name="Normal 8 2 4 4 3 2" xfId="14115" xr:uid="{F939480F-B76D-465D-98BC-12091284F6A9}"/>
    <cellStyle name="Normal 8 2 4 4 4" xfId="9897" xr:uid="{EE13EF9D-C4F5-4299-8D4A-6418C1F9AEFF}"/>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DE660883-91A7-401D-93D9-2D57919ACFDF}"/>
    <cellStyle name="Normal 8 2 4 5 2 3" xfId="12455" xr:uid="{2A7288C3-CD21-4048-AC0B-5CCE02E7A92C}"/>
    <cellStyle name="Normal 8 2 4 5 3" xfId="6099" xr:uid="{00000000-0005-0000-0000-0000021D0000}"/>
    <cellStyle name="Normal 8 2 4 5 3 2" xfId="14528" xr:uid="{1E576F43-C251-4EF9-9AC4-8051131C39DC}"/>
    <cellStyle name="Normal 8 2 4 5 4" xfId="10310" xr:uid="{B01D13A5-42D7-46EB-8162-19F992A99C8A}"/>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B03AFE7A-728A-42C1-8179-42E4C0851BFC}"/>
    <cellStyle name="Normal 8 2 4 6 2 3" xfId="12868" xr:uid="{0EF2C7B5-75D7-44CF-8839-BDF1B157AB77}"/>
    <cellStyle name="Normal 8 2 4 6 3" xfId="6512" xr:uid="{00000000-0005-0000-0000-0000061D0000}"/>
    <cellStyle name="Normal 8 2 4 6 3 2" xfId="14941" xr:uid="{E65096EB-3CAC-48FC-918E-4B1CF5E6FC4C}"/>
    <cellStyle name="Normal 8 2 4 6 4" xfId="10723" xr:uid="{75D3E7DD-4A7E-4708-A4CA-6BE5D5411CD5}"/>
    <cellStyle name="Normal 8 2 4 7" xfId="2640" xr:uid="{00000000-0005-0000-0000-0000071D0000}"/>
    <cellStyle name="Normal 8 2 4 7 2" xfId="6925" xr:uid="{00000000-0005-0000-0000-0000081D0000}"/>
    <cellStyle name="Normal 8 2 4 7 2 2" xfId="15354" xr:uid="{FEF8375E-096C-4B3D-BE3E-E1330C34387E}"/>
    <cellStyle name="Normal 8 2 4 7 3" xfId="11136" xr:uid="{EB894B7A-BF12-4704-A569-7E6B63FBD213}"/>
    <cellStyle name="Normal 8 2 4 8" xfId="4860" xr:uid="{00000000-0005-0000-0000-0000091D0000}"/>
    <cellStyle name="Normal 8 2 4 8 2" xfId="13289" xr:uid="{020409BD-21E7-4233-98A2-8FF5017CD295}"/>
    <cellStyle name="Normal 8 2 4 9" xfId="9071" xr:uid="{B4C20685-5F02-4890-8D2E-A62A97F87DCE}"/>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276B7998-4E60-4E12-B657-71F40AEAE307}"/>
    <cellStyle name="Normal 8 2 5 2 2 3" xfId="11631" xr:uid="{1A12EBBD-79AC-4378-8F9C-B126815514DE}"/>
    <cellStyle name="Normal 8 2 5 2 3" xfId="5275" xr:uid="{00000000-0005-0000-0000-00000E1D0000}"/>
    <cellStyle name="Normal 8 2 5 2 3 2" xfId="13704" xr:uid="{59004F26-ECAA-487C-A32A-1E690F4F45E3}"/>
    <cellStyle name="Normal 8 2 5 2 4" xfId="9486" xr:uid="{53F29195-21E3-465F-AEED-C6FB46C7E47F}"/>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8EE55242-64F2-4DBA-95C8-D01EDD13419D}"/>
    <cellStyle name="Normal 8 2 5 3 2 3" xfId="12044" xr:uid="{72F9E682-72BE-425E-BE47-B6623112F938}"/>
    <cellStyle name="Normal 8 2 5 3 3" xfId="5688" xr:uid="{00000000-0005-0000-0000-0000121D0000}"/>
    <cellStyle name="Normal 8 2 5 3 3 2" xfId="14117" xr:uid="{DC13C918-E376-420B-A0A6-79ED15412FB3}"/>
    <cellStyle name="Normal 8 2 5 3 4" xfId="9899" xr:uid="{0D84FF19-92FA-4445-858B-477BB7F1F7C5}"/>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FD8A7586-8F11-4B0C-BF15-C66CDEDBDBBC}"/>
    <cellStyle name="Normal 8 2 5 4 2 3" xfId="12457" xr:uid="{74BF13D9-3E8E-41F6-93A3-962891D10A03}"/>
    <cellStyle name="Normal 8 2 5 4 3" xfId="6101" xr:uid="{00000000-0005-0000-0000-0000161D0000}"/>
    <cellStyle name="Normal 8 2 5 4 3 2" xfId="14530" xr:uid="{43B436DD-F5F5-4AF6-A235-71745D23F753}"/>
    <cellStyle name="Normal 8 2 5 4 4" xfId="10312" xr:uid="{1473B720-24E4-4C26-A7DF-ADE945029F43}"/>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B8519E7E-1121-4B56-A9BB-89A89CA7F098}"/>
    <cellStyle name="Normal 8 2 5 5 2 3" xfId="12870" xr:uid="{B5F4883C-A993-41FB-B38E-37ACBF32EFC6}"/>
    <cellStyle name="Normal 8 2 5 5 3" xfId="6514" xr:uid="{00000000-0005-0000-0000-00001A1D0000}"/>
    <cellStyle name="Normal 8 2 5 5 3 2" xfId="14943" xr:uid="{F2FBF64B-BAA7-4EB3-8F6F-28B41622E515}"/>
    <cellStyle name="Normal 8 2 5 5 4" xfId="10725" xr:uid="{D593B0FD-F0F2-4F41-8C0D-8FACFFB5DFB5}"/>
    <cellStyle name="Normal 8 2 5 6" xfId="2642" xr:uid="{00000000-0005-0000-0000-00001B1D0000}"/>
    <cellStyle name="Normal 8 2 5 6 2" xfId="6927" xr:uid="{00000000-0005-0000-0000-00001C1D0000}"/>
    <cellStyle name="Normal 8 2 5 6 2 2" xfId="15356" xr:uid="{404C30F9-6F43-4CC2-8D35-665F843F0F90}"/>
    <cellStyle name="Normal 8 2 5 6 3" xfId="11138" xr:uid="{770D295B-A4FA-49BC-9B87-D8A0B0AB2274}"/>
    <cellStyle name="Normal 8 2 5 7" xfId="4862" xr:uid="{00000000-0005-0000-0000-00001D1D0000}"/>
    <cellStyle name="Normal 8 2 5 7 2" xfId="13291" xr:uid="{AFD8BC6B-67FB-4BCE-8589-102719858492}"/>
    <cellStyle name="Normal 8 2 5 8" xfId="9073" xr:uid="{1518ECD8-5B8B-4430-B6D5-57F48B5CE7AC}"/>
    <cellStyle name="Normal 8 2 6" xfId="947" xr:uid="{00000000-0005-0000-0000-00001E1D0000}"/>
    <cellStyle name="Normal 8 2 6 2" xfId="3181" xr:uid="{00000000-0005-0000-0000-00001F1D0000}"/>
    <cellStyle name="Normal 8 2 6 2 2" xfId="7405" xr:uid="{00000000-0005-0000-0000-0000201D0000}"/>
    <cellStyle name="Normal 8 2 6 2 2 2" xfId="15834" xr:uid="{E6AF2BC4-1FE5-4A23-94E5-7A727DDF1485}"/>
    <cellStyle name="Normal 8 2 6 2 3" xfId="11616" xr:uid="{B94DB634-6911-4609-BACE-41916545B286}"/>
    <cellStyle name="Normal 8 2 6 3" xfId="5260" xr:uid="{00000000-0005-0000-0000-0000211D0000}"/>
    <cellStyle name="Normal 8 2 6 3 2" xfId="13689" xr:uid="{0673EBBE-7C82-4CBE-993A-D9357599B442}"/>
    <cellStyle name="Normal 8 2 6 4" xfId="9471" xr:uid="{1955E522-1D3B-4BB1-ADF6-A25283F1E45C}"/>
    <cellStyle name="Normal 8 2 7" xfId="1364" xr:uid="{00000000-0005-0000-0000-0000221D0000}"/>
    <cellStyle name="Normal 8 2 7 2" xfId="3594" xr:uid="{00000000-0005-0000-0000-0000231D0000}"/>
    <cellStyle name="Normal 8 2 7 2 2" xfId="7818" xr:uid="{00000000-0005-0000-0000-0000241D0000}"/>
    <cellStyle name="Normal 8 2 7 2 2 2" xfId="16247" xr:uid="{C09AEADD-9133-4BCD-A17E-A1720E4F5E5A}"/>
    <cellStyle name="Normal 8 2 7 2 3" xfId="12029" xr:uid="{6A822BD9-1F0E-41C8-A966-65797AAD8E8D}"/>
    <cellStyle name="Normal 8 2 7 3" xfId="5673" xr:uid="{00000000-0005-0000-0000-0000251D0000}"/>
    <cellStyle name="Normal 8 2 7 3 2" xfId="14102" xr:uid="{A8BBC963-BCE8-4EA8-8515-A8A4B4A16E8C}"/>
    <cellStyle name="Normal 8 2 7 4" xfId="9884" xr:uid="{818A1CA9-1D3A-4AFF-B202-B07C61B743E4}"/>
    <cellStyle name="Normal 8 2 8" xfId="1777" xr:uid="{00000000-0005-0000-0000-0000261D0000}"/>
    <cellStyle name="Normal 8 2 8 2" xfId="4007" xr:uid="{00000000-0005-0000-0000-0000271D0000}"/>
    <cellStyle name="Normal 8 2 8 2 2" xfId="8231" xr:uid="{00000000-0005-0000-0000-0000281D0000}"/>
    <cellStyle name="Normal 8 2 8 2 2 2" xfId="16660" xr:uid="{59E4D9EF-2666-451C-B95F-AADE23A433CD}"/>
    <cellStyle name="Normal 8 2 8 2 3" xfId="12442" xr:uid="{FB720405-7F90-4F82-ACAA-9817685E4046}"/>
    <cellStyle name="Normal 8 2 8 3" xfId="6086" xr:uid="{00000000-0005-0000-0000-0000291D0000}"/>
    <cellStyle name="Normal 8 2 8 3 2" xfId="14515" xr:uid="{3BE8C0EF-90C2-4E5F-BC1C-842C148B6AAF}"/>
    <cellStyle name="Normal 8 2 8 4" xfId="10297" xr:uid="{022EB3C7-9512-40B5-A449-27806BF56127}"/>
    <cellStyle name="Normal 8 2 9" xfId="2191" xr:uid="{00000000-0005-0000-0000-00002A1D0000}"/>
    <cellStyle name="Normal 8 2 9 2" xfId="4420" xr:uid="{00000000-0005-0000-0000-00002B1D0000}"/>
    <cellStyle name="Normal 8 2 9 2 2" xfId="8644" xr:uid="{00000000-0005-0000-0000-00002C1D0000}"/>
    <cellStyle name="Normal 8 2 9 2 2 2" xfId="17073" xr:uid="{82547698-0311-4596-86D5-E7E76A89EDCE}"/>
    <cellStyle name="Normal 8 2 9 2 3" xfId="12855" xr:uid="{F54DF446-2981-44D5-BFC2-2D0B967AF3B3}"/>
    <cellStyle name="Normal 8 2 9 3" xfId="6499" xr:uid="{00000000-0005-0000-0000-00002D1D0000}"/>
    <cellStyle name="Normal 8 2 9 3 2" xfId="14928" xr:uid="{B31D9188-80AF-4714-8E3D-79F4EC379155}"/>
    <cellStyle name="Normal 8 2 9 4" xfId="10710" xr:uid="{AF97F5E1-1AB4-44AF-BD92-79B0AE00649A}"/>
    <cellStyle name="Normal 8 3" xfId="495" xr:uid="{00000000-0005-0000-0000-00002E1D0000}"/>
    <cellStyle name="Normal 8 3 10" xfId="4863" xr:uid="{00000000-0005-0000-0000-00002F1D0000}"/>
    <cellStyle name="Normal 8 3 10 2" xfId="13292" xr:uid="{852ACEB2-5DB4-41B8-BB49-AE0B678C5565}"/>
    <cellStyle name="Normal 8 3 11" xfId="9074" xr:uid="{A6F1AEA9-A654-4D61-8F3D-5A4A9C8E1739}"/>
    <cellStyle name="Normal 8 3 2" xfId="496" xr:uid="{00000000-0005-0000-0000-0000301D0000}"/>
    <cellStyle name="Normal 8 3 2 10" xfId="9075" xr:uid="{300E0FE3-CD25-40DB-9094-332E100E5AD6}"/>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F0ABB7D2-6B20-46A6-B377-765E75945AAA}"/>
    <cellStyle name="Normal 8 3 2 2 2 2 2 3" xfId="11635" xr:uid="{2A90D5B0-7104-4996-8CA3-2AA06B7EE43B}"/>
    <cellStyle name="Normal 8 3 2 2 2 2 3" xfId="5279" xr:uid="{00000000-0005-0000-0000-0000361D0000}"/>
    <cellStyle name="Normal 8 3 2 2 2 2 3 2" xfId="13708" xr:uid="{0F019A1F-0C2E-462F-A73D-4D416EC18C9A}"/>
    <cellStyle name="Normal 8 3 2 2 2 2 4" xfId="9490" xr:uid="{B1147290-11BA-48A6-A1AD-BEA6DCDE6928}"/>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D2BED157-A8BA-4E45-A2EC-F742B709C989}"/>
    <cellStyle name="Normal 8 3 2 2 2 3 2 3" xfId="12048" xr:uid="{D16B7D16-DDFE-4361-A25F-84D90FA89263}"/>
    <cellStyle name="Normal 8 3 2 2 2 3 3" xfId="5692" xr:uid="{00000000-0005-0000-0000-00003A1D0000}"/>
    <cellStyle name="Normal 8 3 2 2 2 3 3 2" xfId="14121" xr:uid="{25C6C1A6-0C5B-4F24-8773-1BC631EEFDCC}"/>
    <cellStyle name="Normal 8 3 2 2 2 3 4" xfId="9903" xr:uid="{06E6A331-29BE-4C88-A4EF-595303A619EC}"/>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7CCE8626-35D8-41D7-9E7F-C7D3D6454F53}"/>
    <cellStyle name="Normal 8 3 2 2 2 4 2 3" xfId="12461" xr:uid="{AE50D31E-3FC0-49A5-91D1-84C2EC8F0FDC}"/>
    <cellStyle name="Normal 8 3 2 2 2 4 3" xfId="6105" xr:uid="{00000000-0005-0000-0000-00003E1D0000}"/>
    <cellStyle name="Normal 8 3 2 2 2 4 3 2" xfId="14534" xr:uid="{995E2D36-5137-4B4F-ABF2-5B37E6361E90}"/>
    <cellStyle name="Normal 8 3 2 2 2 4 4" xfId="10316" xr:uid="{763C72C9-5613-4CBA-AEBC-F795A957B09C}"/>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3EAF881B-01CC-4AC9-93F2-076F0DCD269C}"/>
    <cellStyle name="Normal 8 3 2 2 2 5 2 3" xfId="12874" xr:uid="{C840D5A0-87ED-4B63-B821-AE8EFD5FA32F}"/>
    <cellStyle name="Normal 8 3 2 2 2 5 3" xfId="6518" xr:uid="{00000000-0005-0000-0000-0000421D0000}"/>
    <cellStyle name="Normal 8 3 2 2 2 5 3 2" xfId="14947" xr:uid="{FE602049-B204-4CEA-B8C5-44495AE1E2AB}"/>
    <cellStyle name="Normal 8 3 2 2 2 5 4" xfId="10729" xr:uid="{0E779548-459E-4304-A6EE-A35E0285DE26}"/>
    <cellStyle name="Normal 8 3 2 2 2 6" xfId="2646" xr:uid="{00000000-0005-0000-0000-0000431D0000}"/>
    <cellStyle name="Normal 8 3 2 2 2 6 2" xfId="6931" xr:uid="{00000000-0005-0000-0000-0000441D0000}"/>
    <cellStyle name="Normal 8 3 2 2 2 6 2 2" xfId="15360" xr:uid="{DBC6F601-FA12-46F2-B6C1-E6C2AD81C58D}"/>
    <cellStyle name="Normal 8 3 2 2 2 6 3" xfId="11142" xr:uid="{508B9AE5-FA35-4929-9B66-FA59C49AD348}"/>
    <cellStyle name="Normal 8 3 2 2 2 7" xfId="4866" xr:uid="{00000000-0005-0000-0000-0000451D0000}"/>
    <cellStyle name="Normal 8 3 2 2 2 7 2" xfId="13295" xr:uid="{4AA07816-6B27-48C6-9FC5-CDFD601BBAF5}"/>
    <cellStyle name="Normal 8 3 2 2 2 8" xfId="9077" xr:uid="{A91A28ED-12BC-435C-AAD2-D5E4A4E0FA70}"/>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E7720AF5-7860-4202-ABC7-F1798FD1C93D}"/>
    <cellStyle name="Normal 8 3 2 2 3 2 3" xfId="11634" xr:uid="{B81381BD-F4A5-4E20-9931-5B74C719C7B3}"/>
    <cellStyle name="Normal 8 3 2 2 3 3" xfId="5278" xr:uid="{00000000-0005-0000-0000-0000491D0000}"/>
    <cellStyle name="Normal 8 3 2 2 3 3 2" xfId="13707" xr:uid="{D875D083-417E-4C4E-AEEF-4DF9BA76523F}"/>
    <cellStyle name="Normal 8 3 2 2 3 4" xfId="9489" xr:uid="{B6E697AC-57D8-49BB-BB97-7A21BC4B0164}"/>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AF58C1DC-671B-42F5-A303-2F2FBEAA838D}"/>
    <cellStyle name="Normal 8 3 2 2 4 2 3" xfId="12047" xr:uid="{393BB5E3-8749-4CDD-943A-6EA747F6F96B}"/>
    <cellStyle name="Normal 8 3 2 2 4 3" xfId="5691" xr:uid="{00000000-0005-0000-0000-00004D1D0000}"/>
    <cellStyle name="Normal 8 3 2 2 4 3 2" xfId="14120" xr:uid="{BE398FD7-BBF6-4F63-8CFB-98A84E1A32FA}"/>
    <cellStyle name="Normal 8 3 2 2 4 4" xfId="9902" xr:uid="{E1B091C1-7479-4B93-B2CE-23F26F70FBC8}"/>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0B1CA987-034A-4DC7-9BC9-4B0A73C1A7A4}"/>
    <cellStyle name="Normal 8 3 2 2 5 2 3" xfId="12460" xr:uid="{74334D15-EC38-42E8-A122-E0856DF40662}"/>
    <cellStyle name="Normal 8 3 2 2 5 3" xfId="6104" xr:uid="{00000000-0005-0000-0000-0000511D0000}"/>
    <cellStyle name="Normal 8 3 2 2 5 3 2" xfId="14533" xr:uid="{92EBA38A-8B22-4D62-B28B-9D0BA2B3E4B6}"/>
    <cellStyle name="Normal 8 3 2 2 5 4" xfId="10315" xr:uid="{CAAA1476-9C2D-48FE-9AD7-F275F360BFBF}"/>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FAC1F06F-E8DF-41BE-AE13-60A1D6B966A9}"/>
    <cellStyle name="Normal 8 3 2 2 6 2 3" xfId="12873" xr:uid="{6A297FD1-8F4C-4AB4-B5C5-849FC10B5532}"/>
    <cellStyle name="Normal 8 3 2 2 6 3" xfId="6517" xr:uid="{00000000-0005-0000-0000-0000551D0000}"/>
    <cellStyle name="Normal 8 3 2 2 6 3 2" xfId="14946" xr:uid="{7D574DFA-5B65-465F-BD71-0802E6DA28A6}"/>
    <cellStyle name="Normal 8 3 2 2 6 4" xfId="10728" xr:uid="{414BDDF9-3A3A-4F70-96AD-C9FDA35D1C61}"/>
    <cellStyle name="Normal 8 3 2 2 7" xfId="2645" xr:uid="{00000000-0005-0000-0000-0000561D0000}"/>
    <cellStyle name="Normal 8 3 2 2 7 2" xfId="6930" xr:uid="{00000000-0005-0000-0000-0000571D0000}"/>
    <cellStyle name="Normal 8 3 2 2 7 2 2" xfId="15359" xr:uid="{2982D5E6-315F-4E3E-BA72-D23CBD0DBA8B}"/>
    <cellStyle name="Normal 8 3 2 2 7 3" xfId="11141" xr:uid="{C30E4086-E4E0-4214-92C5-6A07173FA607}"/>
    <cellStyle name="Normal 8 3 2 2 8" xfId="4865" xr:uid="{00000000-0005-0000-0000-0000581D0000}"/>
    <cellStyle name="Normal 8 3 2 2 8 2" xfId="13294" xr:uid="{C528FD52-16CD-4C74-91B7-499D39D1855A}"/>
    <cellStyle name="Normal 8 3 2 2 9" xfId="9076" xr:uid="{D5F35A96-4964-45DA-B496-441EB0BCBC6B}"/>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BD51AC98-F949-47DD-91C4-754B365D4100}"/>
    <cellStyle name="Normal 8 3 2 3 2 2 3" xfId="11636" xr:uid="{D112DB96-EE6D-44AD-8E42-1E79613ADA23}"/>
    <cellStyle name="Normal 8 3 2 3 2 3" xfId="5280" xr:uid="{00000000-0005-0000-0000-00005D1D0000}"/>
    <cellStyle name="Normal 8 3 2 3 2 3 2" xfId="13709" xr:uid="{CB005455-0727-467F-985E-B4642E067E05}"/>
    <cellStyle name="Normal 8 3 2 3 2 4" xfId="9491" xr:uid="{193A671E-677B-4DD6-A5A4-B4CFE465C54B}"/>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05D647C8-3AC4-4536-A8C1-D1E3CABEA348}"/>
    <cellStyle name="Normal 8 3 2 3 3 2 3" xfId="12049" xr:uid="{0B7B4E8B-EFA5-4395-8F38-F1F866B2E66C}"/>
    <cellStyle name="Normal 8 3 2 3 3 3" xfId="5693" xr:uid="{00000000-0005-0000-0000-0000611D0000}"/>
    <cellStyle name="Normal 8 3 2 3 3 3 2" xfId="14122" xr:uid="{D676F0E6-E4B5-4335-980B-3041D52DA48C}"/>
    <cellStyle name="Normal 8 3 2 3 3 4" xfId="9904" xr:uid="{2A28A49D-CDFC-4F3F-93BD-0790E4F854EE}"/>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BFC11318-76BC-45BF-8389-91D75ED9B29C}"/>
    <cellStyle name="Normal 8 3 2 3 4 2 3" xfId="12462" xr:uid="{4813F86D-406C-46C2-BE4A-A054C9A3EC00}"/>
    <cellStyle name="Normal 8 3 2 3 4 3" xfId="6106" xr:uid="{00000000-0005-0000-0000-0000651D0000}"/>
    <cellStyle name="Normal 8 3 2 3 4 3 2" xfId="14535" xr:uid="{24FC4BE0-62DD-41C2-84C4-9DC17C5C1162}"/>
    <cellStyle name="Normal 8 3 2 3 4 4" xfId="10317" xr:uid="{9160E98E-A455-46FE-A468-9272DAC76F84}"/>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18FE110B-6947-4CA7-8FA7-3BFCDEDA8ECB}"/>
    <cellStyle name="Normal 8 3 2 3 5 2 3" xfId="12875" xr:uid="{342B1395-4F68-4CCC-A498-3F027D3B8481}"/>
    <cellStyle name="Normal 8 3 2 3 5 3" xfId="6519" xr:uid="{00000000-0005-0000-0000-0000691D0000}"/>
    <cellStyle name="Normal 8 3 2 3 5 3 2" xfId="14948" xr:uid="{A9C89AB8-C915-43EB-8D7B-64B161768EE6}"/>
    <cellStyle name="Normal 8 3 2 3 5 4" xfId="10730" xr:uid="{9C79F127-CF6B-42F1-B02C-600774C46AD7}"/>
    <cellStyle name="Normal 8 3 2 3 6" xfId="2647" xr:uid="{00000000-0005-0000-0000-00006A1D0000}"/>
    <cellStyle name="Normal 8 3 2 3 6 2" xfId="6932" xr:uid="{00000000-0005-0000-0000-00006B1D0000}"/>
    <cellStyle name="Normal 8 3 2 3 6 2 2" xfId="15361" xr:uid="{415D9F48-6A88-4FA4-B356-DB456991E47C}"/>
    <cellStyle name="Normal 8 3 2 3 6 3" xfId="11143" xr:uid="{47E6AAD2-4534-4BE1-87C9-0C4385B903FA}"/>
    <cellStyle name="Normal 8 3 2 3 7" xfId="4867" xr:uid="{00000000-0005-0000-0000-00006C1D0000}"/>
    <cellStyle name="Normal 8 3 2 3 7 2" xfId="13296" xr:uid="{9641BAF8-A74F-4106-AB58-40A80E90F809}"/>
    <cellStyle name="Normal 8 3 2 3 8" xfId="9078" xr:uid="{B6E78DB0-CA41-4FC6-9BAB-729B0FCB596C}"/>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7018CE78-1CA3-48AE-9AAC-24AF79861C25}"/>
    <cellStyle name="Normal 8 3 2 4 2 3" xfId="11633" xr:uid="{93A5C057-9175-45A9-9994-AECCB526726F}"/>
    <cellStyle name="Normal 8 3 2 4 3" xfId="5277" xr:uid="{00000000-0005-0000-0000-0000701D0000}"/>
    <cellStyle name="Normal 8 3 2 4 3 2" xfId="13706" xr:uid="{8A87DEDA-FEFA-4E4E-96A2-122B730932B4}"/>
    <cellStyle name="Normal 8 3 2 4 4" xfId="9488" xr:uid="{D371970D-DD6C-4850-A109-B5494E12EDBC}"/>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9B2F8F5D-E705-49F0-8113-1CB5C02E3F88}"/>
    <cellStyle name="Normal 8 3 2 5 2 3" xfId="12046" xr:uid="{E870FD0A-6B83-4C33-9EF6-F2D11722AF7E}"/>
    <cellStyle name="Normal 8 3 2 5 3" xfId="5690" xr:uid="{00000000-0005-0000-0000-0000741D0000}"/>
    <cellStyle name="Normal 8 3 2 5 3 2" xfId="14119" xr:uid="{6F16EFCD-BEED-4577-9E70-71BD2B5B9C4A}"/>
    <cellStyle name="Normal 8 3 2 5 4" xfId="9901" xr:uid="{572D683C-61EE-452A-81FA-FA4B0FEAC834}"/>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B7D9D731-B696-4A32-A372-3B73A92ADA00}"/>
    <cellStyle name="Normal 8 3 2 6 2 3" xfId="12459" xr:uid="{35A572F2-2480-445A-91A7-88D0C0A375F5}"/>
    <cellStyle name="Normal 8 3 2 6 3" xfId="6103" xr:uid="{00000000-0005-0000-0000-0000781D0000}"/>
    <cellStyle name="Normal 8 3 2 6 3 2" xfId="14532" xr:uid="{878F9FAB-AB85-4EB1-9F36-987B54D25EA6}"/>
    <cellStyle name="Normal 8 3 2 6 4" xfId="10314" xr:uid="{91D6453E-10BA-4EFE-AA35-E04FAC4F2C70}"/>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ED37CF88-9D20-44AE-9D18-371ADAD610AF}"/>
    <cellStyle name="Normal 8 3 2 7 2 3" xfId="12872" xr:uid="{685875E7-25EB-4649-8C39-FC72F9B4BA5C}"/>
    <cellStyle name="Normal 8 3 2 7 3" xfId="6516" xr:uid="{00000000-0005-0000-0000-00007C1D0000}"/>
    <cellStyle name="Normal 8 3 2 7 3 2" xfId="14945" xr:uid="{048A89F7-F950-4B93-ABAA-F3611E712655}"/>
    <cellStyle name="Normal 8 3 2 7 4" xfId="10727" xr:uid="{B27C9EDC-E6A9-4F8D-8010-D57CB76EBDAF}"/>
    <cellStyle name="Normal 8 3 2 8" xfId="2644" xr:uid="{00000000-0005-0000-0000-00007D1D0000}"/>
    <cellStyle name="Normal 8 3 2 8 2" xfId="6929" xr:uid="{00000000-0005-0000-0000-00007E1D0000}"/>
    <cellStyle name="Normal 8 3 2 8 2 2" xfId="15358" xr:uid="{DC090366-3D6E-4BF6-A3AC-62D3027600A4}"/>
    <cellStyle name="Normal 8 3 2 8 3" xfId="11140" xr:uid="{8DC37887-4349-4DDD-8251-6EC888516EDD}"/>
    <cellStyle name="Normal 8 3 2 9" xfId="4864" xr:uid="{00000000-0005-0000-0000-00007F1D0000}"/>
    <cellStyle name="Normal 8 3 2 9 2" xfId="13293" xr:uid="{01B1A20C-618C-4506-BA1F-B6A2B1CB506A}"/>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A95F67EB-FD57-4CF3-82F1-FA67469C45FA}"/>
    <cellStyle name="Normal 8 3 3 2 2 2 3" xfId="11638" xr:uid="{7E5D69B2-8F59-4496-8A77-92BC0B798756}"/>
    <cellStyle name="Normal 8 3 3 2 2 3" xfId="5282" xr:uid="{00000000-0005-0000-0000-0000851D0000}"/>
    <cellStyle name="Normal 8 3 3 2 2 3 2" xfId="13711" xr:uid="{EBE8C4D3-2138-40DF-94C4-BCDB43DADE18}"/>
    <cellStyle name="Normal 8 3 3 2 2 4" xfId="9493" xr:uid="{A408668A-A00A-437E-B0B7-17673C616235}"/>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FC702557-A4F2-453D-A5A8-3351A6486954}"/>
    <cellStyle name="Normal 8 3 3 2 3 2 3" xfId="12051" xr:uid="{A5AEE934-1B5D-4DC8-9FB0-F78FA01768E6}"/>
    <cellStyle name="Normal 8 3 3 2 3 3" xfId="5695" xr:uid="{00000000-0005-0000-0000-0000891D0000}"/>
    <cellStyle name="Normal 8 3 3 2 3 3 2" xfId="14124" xr:uid="{9B29CEB6-2DB0-4A5A-8498-39EC6CE683DE}"/>
    <cellStyle name="Normal 8 3 3 2 3 4" xfId="9906" xr:uid="{ACDCA8AC-36DD-48E7-824B-05720D152CAF}"/>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51BA6789-268C-4699-B503-B742FDFB6920}"/>
    <cellStyle name="Normal 8 3 3 2 4 2 3" xfId="12464" xr:uid="{600F4039-9F34-46EC-9B79-796815961D70}"/>
    <cellStyle name="Normal 8 3 3 2 4 3" xfId="6108" xr:uid="{00000000-0005-0000-0000-00008D1D0000}"/>
    <cellStyle name="Normal 8 3 3 2 4 3 2" xfId="14537" xr:uid="{F6DA495C-2F76-4EFD-8EF4-96991D9CFA47}"/>
    <cellStyle name="Normal 8 3 3 2 4 4" xfId="10319" xr:uid="{6E0D2006-FCC3-4F2E-AD4D-D00F39EC4227}"/>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742B51F8-AD8E-482F-BC41-15BA93E0538C}"/>
    <cellStyle name="Normal 8 3 3 2 5 2 3" xfId="12877" xr:uid="{C894887A-B7CD-4149-A82C-089C4BEAD595}"/>
    <cellStyle name="Normal 8 3 3 2 5 3" xfId="6521" xr:uid="{00000000-0005-0000-0000-0000911D0000}"/>
    <cellStyle name="Normal 8 3 3 2 5 3 2" xfId="14950" xr:uid="{C644B82A-D4AC-4E7E-BD97-1E5D34AB15F6}"/>
    <cellStyle name="Normal 8 3 3 2 5 4" xfId="10732" xr:uid="{69877900-007D-4D1F-A039-FFC96B404AE7}"/>
    <cellStyle name="Normal 8 3 3 2 6" xfId="2649" xr:uid="{00000000-0005-0000-0000-0000921D0000}"/>
    <cellStyle name="Normal 8 3 3 2 6 2" xfId="6934" xr:uid="{00000000-0005-0000-0000-0000931D0000}"/>
    <cellStyle name="Normal 8 3 3 2 6 2 2" xfId="15363" xr:uid="{8A536D62-E787-48E6-91C8-2E2FF0FE7DBC}"/>
    <cellStyle name="Normal 8 3 3 2 6 3" xfId="11145" xr:uid="{A9866CA1-7DB4-4C4F-BDBC-F11617766A50}"/>
    <cellStyle name="Normal 8 3 3 2 7" xfId="4869" xr:uid="{00000000-0005-0000-0000-0000941D0000}"/>
    <cellStyle name="Normal 8 3 3 2 7 2" xfId="13298" xr:uid="{D3F75D0D-3931-4853-AAA1-EE4270FDC5A3}"/>
    <cellStyle name="Normal 8 3 3 2 8" xfId="9080" xr:uid="{7579B471-93F5-4BE2-8C7C-A7E5481A7854}"/>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EEA0AD1F-2F20-4318-BDEF-B69C9229D1F4}"/>
    <cellStyle name="Normal 8 3 3 3 2 3" xfId="11637" xr:uid="{8C35E76E-70C1-4E7D-B119-45D029C64E22}"/>
    <cellStyle name="Normal 8 3 3 3 3" xfId="5281" xr:uid="{00000000-0005-0000-0000-0000981D0000}"/>
    <cellStyle name="Normal 8 3 3 3 3 2" xfId="13710" xr:uid="{48600381-E913-4A26-8578-A198E0F0BF23}"/>
    <cellStyle name="Normal 8 3 3 3 4" xfId="9492" xr:uid="{D7E6D6EF-83CA-4136-8848-6951C2B1F7B3}"/>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4FCEB689-D293-4909-B2B0-299527E189C9}"/>
    <cellStyle name="Normal 8 3 3 4 2 3" xfId="12050" xr:uid="{0CF93E0B-7502-4A34-BF74-655F922AE82B}"/>
    <cellStyle name="Normal 8 3 3 4 3" xfId="5694" xr:uid="{00000000-0005-0000-0000-00009C1D0000}"/>
    <cellStyle name="Normal 8 3 3 4 3 2" xfId="14123" xr:uid="{336CAB45-379C-4B02-958A-67471EAD4458}"/>
    <cellStyle name="Normal 8 3 3 4 4" xfId="9905" xr:uid="{9F20B100-ABD6-4BB1-8DB7-5F6D4AD29855}"/>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F7EC26E5-2697-44F3-8A66-E1E0FDB1A5E8}"/>
    <cellStyle name="Normal 8 3 3 5 2 3" xfId="12463" xr:uid="{F6079BA4-111E-42B5-81C1-66EB58E45B6D}"/>
    <cellStyle name="Normal 8 3 3 5 3" xfId="6107" xr:uid="{00000000-0005-0000-0000-0000A01D0000}"/>
    <cellStyle name="Normal 8 3 3 5 3 2" xfId="14536" xr:uid="{8F85F9FA-B33C-48C0-9D4B-CC7E746754CD}"/>
    <cellStyle name="Normal 8 3 3 5 4" xfId="10318" xr:uid="{9C4A2370-65D0-4AFF-BB0C-B0889811CB38}"/>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3F9C6AAA-9FA4-4C63-A606-D24BDA40B2D8}"/>
    <cellStyle name="Normal 8 3 3 6 2 3" xfId="12876" xr:uid="{FB3257B3-505F-4C81-971D-CFA9C1B425B3}"/>
    <cellStyle name="Normal 8 3 3 6 3" xfId="6520" xr:uid="{00000000-0005-0000-0000-0000A41D0000}"/>
    <cellStyle name="Normal 8 3 3 6 3 2" xfId="14949" xr:uid="{8427131F-0EF6-463D-911B-A3D051E84017}"/>
    <cellStyle name="Normal 8 3 3 6 4" xfId="10731" xr:uid="{2C27AB7B-04E9-4E51-9070-DB6099B91D55}"/>
    <cellStyle name="Normal 8 3 3 7" xfId="2648" xr:uid="{00000000-0005-0000-0000-0000A51D0000}"/>
    <cellStyle name="Normal 8 3 3 7 2" xfId="6933" xr:uid="{00000000-0005-0000-0000-0000A61D0000}"/>
    <cellStyle name="Normal 8 3 3 7 2 2" xfId="15362" xr:uid="{B8D55298-6002-498C-B4BD-0A806EC786BF}"/>
    <cellStyle name="Normal 8 3 3 7 3" xfId="11144" xr:uid="{68FC8E96-A372-44B1-9A29-C20544BB7AF2}"/>
    <cellStyle name="Normal 8 3 3 8" xfId="4868" xr:uid="{00000000-0005-0000-0000-0000A71D0000}"/>
    <cellStyle name="Normal 8 3 3 8 2" xfId="13297" xr:uid="{ED04AB79-50C1-40F2-9FEB-AC88C15AE121}"/>
    <cellStyle name="Normal 8 3 3 9" xfId="9079" xr:uid="{6E1270FF-F665-4B6C-ADB3-92B18DD2AE6E}"/>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B3F0ACCB-64A0-4AE9-B208-320828BC7F3B}"/>
    <cellStyle name="Normal 8 3 4 2 2 3" xfId="11639" xr:uid="{4A0DE46D-EE9E-4401-A7DE-ADC3628AE306}"/>
    <cellStyle name="Normal 8 3 4 2 3" xfId="5283" xr:uid="{00000000-0005-0000-0000-0000AC1D0000}"/>
    <cellStyle name="Normal 8 3 4 2 3 2" xfId="13712" xr:uid="{C108F653-A213-478A-AA9C-5A31FAE875C0}"/>
    <cellStyle name="Normal 8 3 4 2 4" xfId="9494" xr:uid="{877020CF-A0BB-421B-883C-071A1DAB404B}"/>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BBE71B95-02E0-46B5-8BBF-E2DC4EB35310}"/>
    <cellStyle name="Normal 8 3 4 3 2 3" xfId="12052" xr:uid="{C4686A7A-8481-485A-8964-E089786E2F6D}"/>
    <cellStyle name="Normal 8 3 4 3 3" xfId="5696" xr:uid="{00000000-0005-0000-0000-0000B01D0000}"/>
    <cellStyle name="Normal 8 3 4 3 3 2" xfId="14125" xr:uid="{8D2BB857-A792-4C06-ADA6-F12449338131}"/>
    <cellStyle name="Normal 8 3 4 3 4" xfId="9907" xr:uid="{3B0B5DFB-2416-404D-B916-78BE2BFEF8E4}"/>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68B689BB-AE74-4DEB-A3D7-20C7776380F9}"/>
    <cellStyle name="Normal 8 3 4 4 2 3" xfId="12465" xr:uid="{682AF34C-D059-4C90-814A-4024FE9543CF}"/>
    <cellStyle name="Normal 8 3 4 4 3" xfId="6109" xr:uid="{00000000-0005-0000-0000-0000B41D0000}"/>
    <cellStyle name="Normal 8 3 4 4 3 2" xfId="14538" xr:uid="{566B3C38-A1E2-4D8F-AF5E-ED6FCC55A7A4}"/>
    <cellStyle name="Normal 8 3 4 4 4" xfId="10320" xr:uid="{AE777DCE-908A-4CF6-99A6-8408E5871323}"/>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EA6958B2-E927-4D8F-BC2A-55CBF0419269}"/>
    <cellStyle name="Normal 8 3 4 5 2 3" xfId="12878" xr:uid="{3ECE8A9C-550E-413B-94DE-C0C7979567F7}"/>
    <cellStyle name="Normal 8 3 4 5 3" xfId="6522" xr:uid="{00000000-0005-0000-0000-0000B81D0000}"/>
    <cellStyle name="Normal 8 3 4 5 3 2" xfId="14951" xr:uid="{6F847975-14F7-4EEF-95DE-ABE979D2605F}"/>
    <cellStyle name="Normal 8 3 4 5 4" xfId="10733" xr:uid="{2C30410D-3DB5-4381-A899-446AC360C34C}"/>
    <cellStyle name="Normal 8 3 4 6" xfId="2650" xr:uid="{00000000-0005-0000-0000-0000B91D0000}"/>
    <cellStyle name="Normal 8 3 4 6 2" xfId="6935" xr:uid="{00000000-0005-0000-0000-0000BA1D0000}"/>
    <cellStyle name="Normal 8 3 4 6 2 2" xfId="15364" xr:uid="{478ED68B-BBE7-4535-AADD-1136E328DA1B}"/>
    <cellStyle name="Normal 8 3 4 6 3" xfId="11146" xr:uid="{B6EE67F7-221C-4E29-98F2-49D32BBE2FB7}"/>
    <cellStyle name="Normal 8 3 4 7" xfId="4870" xr:uid="{00000000-0005-0000-0000-0000BB1D0000}"/>
    <cellStyle name="Normal 8 3 4 7 2" xfId="13299" xr:uid="{03C449A2-F5D9-4546-9E97-B3AEBE2458F3}"/>
    <cellStyle name="Normal 8 3 4 8" xfId="9081" xr:uid="{CC56499A-8246-4DF3-9C2A-16DA8DEC7657}"/>
    <cellStyle name="Normal 8 3 5" xfId="963" xr:uid="{00000000-0005-0000-0000-0000BC1D0000}"/>
    <cellStyle name="Normal 8 3 5 2" xfId="3197" xr:uid="{00000000-0005-0000-0000-0000BD1D0000}"/>
    <cellStyle name="Normal 8 3 5 2 2" xfId="7421" xr:uid="{00000000-0005-0000-0000-0000BE1D0000}"/>
    <cellStyle name="Normal 8 3 5 2 2 2" xfId="15850" xr:uid="{4E5A15D3-C15E-4DC2-936F-D0572D060F1C}"/>
    <cellStyle name="Normal 8 3 5 2 3" xfId="11632" xr:uid="{DA06F973-5212-4989-82FE-8ACDB31CCAC0}"/>
    <cellStyle name="Normal 8 3 5 3" xfId="5276" xr:uid="{00000000-0005-0000-0000-0000BF1D0000}"/>
    <cellStyle name="Normal 8 3 5 3 2" xfId="13705" xr:uid="{ACDAE0DA-8145-43B7-9CFF-29F992BB76B2}"/>
    <cellStyle name="Normal 8 3 5 4" xfId="9487" xr:uid="{007C313B-A670-427A-847A-D730B4489AAD}"/>
    <cellStyle name="Normal 8 3 6" xfId="1380" xr:uid="{00000000-0005-0000-0000-0000C01D0000}"/>
    <cellStyle name="Normal 8 3 6 2" xfId="3610" xr:uid="{00000000-0005-0000-0000-0000C11D0000}"/>
    <cellStyle name="Normal 8 3 6 2 2" xfId="7834" xr:uid="{00000000-0005-0000-0000-0000C21D0000}"/>
    <cellStyle name="Normal 8 3 6 2 2 2" xfId="16263" xr:uid="{D9A798FB-5D5B-4CF3-A88F-F6A1A1255077}"/>
    <cellStyle name="Normal 8 3 6 2 3" xfId="12045" xr:uid="{6ACE5FF1-1985-4D2F-81B0-F904DC0BC4CD}"/>
    <cellStyle name="Normal 8 3 6 3" xfId="5689" xr:uid="{00000000-0005-0000-0000-0000C31D0000}"/>
    <cellStyle name="Normal 8 3 6 3 2" xfId="14118" xr:uid="{F3CFDFF9-8B06-475B-AEF9-1DA837D4E507}"/>
    <cellStyle name="Normal 8 3 6 4" xfId="9900" xr:uid="{1ECF622A-B5D0-4C22-8EA2-0B8B89C0FD24}"/>
    <cellStyle name="Normal 8 3 7" xfId="1793" xr:uid="{00000000-0005-0000-0000-0000C41D0000}"/>
    <cellStyle name="Normal 8 3 7 2" xfId="4023" xr:uid="{00000000-0005-0000-0000-0000C51D0000}"/>
    <cellStyle name="Normal 8 3 7 2 2" xfId="8247" xr:uid="{00000000-0005-0000-0000-0000C61D0000}"/>
    <cellStyle name="Normal 8 3 7 2 2 2" xfId="16676" xr:uid="{9E5EDAE8-1208-4E36-B021-73112F7B7460}"/>
    <cellStyle name="Normal 8 3 7 2 3" xfId="12458" xr:uid="{710EB8D1-D3BD-4191-8E91-CF8C7F0A33F1}"/>
    <cellStyle name="Normal 8 3 7 3" xfId="6102" xr:uid="{00000000-0005-0000-0000-0000C71D0000}"/>
    <cellStyle name="Normal 8 3 7 3 2" xfId="14531" xr:uid="{39EED65A-3225-47F9-98E9-2FBD79650F63}"/>
    <cellStyle name="Normal 8 3 7 4" xfId="10313" xr:uid="{CFDD5070-1507-4872-9223-F187D0FFFB3F}"/>
    <cellStyle name="Normal 8 3 8" xfId="2207" xr:uid="{00000000-0005-0000-0000-0000C81D0000}"/>
    <cellStyle name="Normal 8 3 8 2" xfId="4436" xr:uid="{00000000-0005-0000-0000-0000C91D0000}"/>
    <cellStyle name="Normal 8 3 8 2 2" xfId="8660" xr:uid="{00000000-0005-0000-0000-0000CA1D0000}"/>
    <cellStyle name="Normal 8 3 8 2 2 2" xfId="17089" xr:uid="{2EAB6E51-0634-4D6A-B053-AD257127066D}"/>
    <cellStyle name="Normal 8 3 8 2 3" xfId="12871" xr:uid="{1813AE98-8F86-4038-8DC3-284A32E7E931}"/>
    <cellStyle name="Normal 8 3 8 3" xfId="6515" xr:uid="{00000000-0005-0000-0000-0000CB1D0000}"/>
    <cellStyle name="Normal 8 3 8 3 2" xfId="14944" xr:uid="{7CA4BF96-F9B9-4DCA-852C-D63C45869B1C}"/>
    <cellStyle name="Normal 8 3 8 4" xfId="10726" xr:uid="{D255709C-DF1B-4FDF-A261-09A7965056B8}"/>
    <cellStyle name="Normal 8 3 9" xfId="2643" xr:uid="{00000000-0005-0000-0000-0000CC1D0000}"/>
    <cellStyle name="Normal 8 3 9 2" xfId="6928" xr:uid="{00000000-0005-0000-0000-0000CD1D0000}"/>
    <cellStyle name="Normal 8 3 9 2 2" xfId="15357" xr:uid="{D1398DC9-D5BB-44BA-8BD0-36E8CED09186}"/>
    <cellStyle name="Normal 8 3 9 3" xfId="11139" xr:uid="{682D08A2-6715-493E-B74C-581D01E629D5}"/>
    <cellStyle name="Normal 8 4" xfId="503" xr:uid="{00000000-0005-0000-0000-0000CE1D0000}"/>
    <cellStyle name="Normal 8 4 10" xfId="9082" xr:uid="{BD63FC83-579E-42A7-AE7D-1D64408CA178}"/>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40432854-40CC-4DA8-9AC6-D448817F1A3B}"/>
    <cellStyle name="Normal 8 4 2 2 2 2 3" xfId="11642" xr:uid="{9379D90B-3E14-49F8-9FF7-0680ADD75E8E}"/>
    <cellStyle name="Normal 8 4 2 2 2 3" xfId="5286" xr:uid="{00000000-0005-0000-0000-0000D41D0000}"/>
    <cellStyle name="Normal 8 4 2 2 2 3 2" xfId="13715" xr:uid="{28BA77A7-C0DC-489A-9C60-DA7067FB150A}"/>
    <cellStyle name="Normal 8 4 2 2 2 4" xfId="9497" xr:uid="{BF686480-5E40-4BD8-8D69-005A8C0DB9C1}"/>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6EAED869-B237-49D6-A2F3-53B967E86754}"/>
    <cellStyle name="Normal 8 4 2 2 3 2 3" xfId="12055" xr:uid="{08BC0539-04ED-4E37-AF01-794E398649B4}"/>
    <cellStyle name="Normal 8 4 2 2 3 3" xfId="5699" xr:uid="{00000000-0005-0000-0000-0000D81D0000}"/>
    <cellStyle name="Normal 8 4 2 2 3 3 2" xfId="14128" xr:uid="{B3324035-7A88-459E-85F2-0B750D9FA492}"/>
    <cellStyle name="Normal 8 4 2 2 3 4" xfId="9910" xr:uid="{7A1D6817-2A7A-4F1B-9A91-E467D0D945FD}"/>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62B3E906-F09D-4800-AD73-1F58B46A0DD8}"/>
    <cellStyle name="Normal 8 4 2 2 4 2 3" xfId="12468" xr:uid="{27E0C098-D95E-47FC-8C72-BE67FA699E9C}"/>
    <cellStyle name="Normal 8 4 2 2 4 3" xfId="6112" xr:uid="{00000000-0005-0000-0000-0000DC1D0000}"/>
    <cellStyle name="Normal 8 4 2 2 4 3 2" xfId="14541" xr:uid="{47BFD1D7-C11F-4BB9-BAEA-60AF604DE092}"/>
    <cellStyle name="Normal 8 4 2 2 4 4" xfId="10323" xr:uid="{84E29F5C-2606-46ED-ABDD-2254A0FCECD2}"/>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F5240CD8-B50C-4DFF-9E5E-9FC15E35805B}"/>
    <cellStyle name="Normal 8 4 2 2 5 2 3" xfId="12881" xr:uid="{DD25DD26-54A9-43F4-906D-E97814081F6F}"/>
    <cellStyle name="Normal 8 4 2 2 5 3" xfId="6525" xr:uid="{00000000-0005-0000-0000-0000E01D0000}"/>
    <cellStyle name="Normal 8 4 2 2 5 3 2" xfId="14954" xr:uid="{C88B383D-6FF2-4012-86D4-77B467E064AE}"/>
    <cellStyle name="Normal 8 4 2 2 5 4" xfId="10736" xr:uid="{5349F551-A7BA-40A5-9B9C-EE9A444440B9}"/>
    <cellStyle name="Normal 8 4 2 2 6" xfId="2653" xr:uid="{00000000-0005-0000-0000-0000E11D0000}"/>
    <cellStyle name="Normal 8 4 2 2 6 2" xfId="6938" xr:uid="{00000000-0005-0000-0000-0000E21D0000}"/>
    <cellStyle name="Normal 8 4 2 2 6 2 2" xfId="15367" xr:uid="{449CEC5A-E1B1-45AC-B2BA-25077A9EA8C6}"/>
    <cellStyle name="Normal 8 4 2 2 6 3" xfId="11149" xr:uid="{7E7F8361-AE19-4306-A357-72237545D936}"/>
    <cellStyle name="Normal 8 4 2 2 7" xfId="4873" xr:uid="{00000000-0005-0000-0000-0000E31D0000}"/>
    <cellStyle name="Normal 8 4 2 2 7 2" xfId="13302" xr:uid="{CFF0E0F7-4C2A-4046-BDB6-7A83DEDC2356}"/>
    <cellStyle name="Normal 8 4 2 2 8" xfId="9084" xr:uid="{0556CC3D-A772-49ED-BDD7-24A1BDE673BA}"/>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B4D7F9E7-EF4F-4232-B6CE-7AC8CCFCFFA6}"/>
    <cellStyle name="Normal 8 4 2 3 2 3" xfId="11641" xr:uid="{AFFC2B0A-A154-4066-B38C-9446B747EE16}"/>
    <cellStyle name="Normal 8 4 2 3 3" xfId="5285" xr:uid="{00000000-0005-0000-0000-0000E71D0000}"/>
    <cellStyle name="Normal 8 4 2 3 3 2" xfId="13714" xr:uid="{A5957C72-47A5-4EA0-B723-9B72123D3BF8}"/>
    <cellStyle name="Normal 8 4 2 3 4" xfId="9496" xr:uid="{0895328D-2B17-4082-9A3A-D9B167BFBED3}"/>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521D9F2D-D9E0-4802-98C5-68656EA6190A}"/>
    <cellStyle name="Normal 8 4 2 4 2 3" xfId="12054" xr:uid="{639100A4-399E-415B-AEA6-494551F2B710}"/>
    <cellStyle name="Normal 8 4 2 4 3" xfId="5698" xr:uid="{00000000-0005-0000-0000-0000EB1D0000}"/>
    <cellStyle name="Normal 8 4 2 4 3 2" xfId="14127" xr:uid="{40DD888E-14A8-4E90-8E82-DEA236242AF5}"/>
    <cellStyle name="Normal 8 4 2 4 4" xfId="9909" xr:uid="{CFF4A583-08D6-4BA2-BDB0-429DC07097E3}"/>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76AABB84-D22A-4167-A30A-010438C80057}"/>
    <cellStyle name="Normal 8 4 2 5 2 3" xfId="12467" xr:uid="{5AC46110-495D-46D1-8BF0-116FC8F206A5}"/>
    <cellStyle name="Normal 8 4 2 5 3" xfId="6111" xr:uid="{00000000-0005-0000-0000-0000EF1D0000}"/>
    <cellStyle name="Normal 8 4 2 5 3 2" xfId="14540" xr:uid="{B4695C2C-32C8-4CAD-BDFB-0DC59CF70D46}"/>
    <cellStyle name="Normal 8 4 2 5 4" xfId="10322" xr:uid="{23FD2D86-E9D9-45F2-8322-5CCA81607CFE}"/>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3C029FFD-D668-479B-8462-A7FE21FF7A8B}"/>
    <cellStyle name="Normal 8 4 2 6 2 3" xfId="12880" xr:uid="{942B9B1B-402E-4530-A8D2-C1DA04E4D166}"/>
    <cellStyle name="Normal 8 4 2 6 3" xfId="6524" xr:uid="{00000000-0005-0000-0000-0000F31D0000}"/>
    <cellStyle name="Normal 8 4 2 6 3 2" xfId="14953" xr:uid="{E024A471-BD7B-4F14-BDD8-CC62407C0680}"/>
    <cellStyle name="Normal 8 4 2 6 4" xfId="10735" xr:uid="{B5AFD3FB-B48A-43EC-8CFD-BFF9CA7FC7BC}"/>
    <cellStyle name="Normal 8 4 2 7" xfId="2652" xr:uid="{00000000-0005-0000-0000-0000F41D0000}"/>
    <cellStyle name="Normal 8 4 2 7 2" xfId="6937" xr:uid="{00000000-0005-0000-0000-0000F51D0000}"/>
    <cellStyle name="Normal 8 4 2 7 2 2" xfId="15366" xr:uid="{FDF76C38-FCCF-4AD5-9735-4965069F9CFC}"/>
    <cellStyle name="Normal 8 4 2 7 3" xfId="11148" xr:uid="{2589515B-5662-4E67-B785-7BE51364C6BF}"/>
    <cellStyle name="Normal 8 4 2 8" xfId="4872" xr:uid="{00000000-0005-0000-0000-0000F61D0000}"/>
    <cellStyle name="Normal 8 4 2 8 2" xfId="13301" xr:uid="{2724E593-08D5-4A85-AA50-58756A8E1B2C}"/>
    <cellStyle name="Normal 8 4 2 9" xfId="9083" xr:uid="{042827B8-8A24-4F00-9AF5-7953C5CC433A}"/>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61497D08-2633-4B33-915C-841317E6208B}"/>
    <cellStyle name="Normal 8 4 3 2 2 3" xfId="11643" xr:uid="{F58C68B8-DDD6-4910-897F-AE421E583AA1}"/>
    <cellStyle name="Normal 8 4 3 2 3" xfId="5287" xr:uid="{00000000-0005-0000-0000-0000FB1D0000}"/>
    <cellStyle name="Normal 8 4 3 2 3 2" xfId="13716" xr:uid="{7F880B15-D8E6-408D-85E5-E6F11A808C22}"/>
    <cellStyle name="Normal 8 4 3 2 4" xfId="9498" xr:uid="{65AABE33-C3EB-4E96-A712-A407FBB179A1}"/>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390365FE-6B5E-4231-BE03-2090B18E4031}"/>
    <cellStyle name="Normal 8 4 3 3 2 3" xfId="12056" xr:uid="{E38D8F0F-C96B-4CA8-9C67-56F0EF4CF53F}"/>
    <cellStyle name="Normal 8 4 3 3 3" xfId="5700" xr:uid="{00000000-0005-0000-0000-0000FF1D0000}"/>
    <cellStyle name="Normal 8 4 3 3 3 2" xfId="14129" xr:uid="{5509E947-1405-401C-8636-767DC16F91A0}"/>
    <cellStyle name="Normal 8 4 3 3 4" xfId="9911" xr:uid="{03875ECE-E6B0-4CA8-8AE0-C09839C18966}"/>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73152A7A-91ED-43D6-BDEA-18E2514F6298}"/>
    <cellStyle name="Normal 8 4 3 4 2 3" xfId="12469" xr:uid="{C8037BE8-D1E7-4D9A-BC65-9C71A345067E}"/>
    <cellStyle name="Normal 8 4 3 4 3" xfId="6113" xr:uid="{00000000-0005-0000-0000-0000031E0000}"/>
    <cellStyle name="Normal 8 4 3 4 3 2" xfId="14542" xr:uid="{6D93E4A3-FE7D-4434-A057-5D1BB599DD5F}"/>
    <cellStyle name="Normal 8 4 3 4 4" xfId="10324" xr:uid="{7A0E23FC-9267-4344-8B71-957562CB89AA}"/>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EEE0E716-E7EE-4725-AB78-8397A1E1B451}"/>
    <cellStyle name="Normal 8 4 3 5 2 3" xfId="12882" xr:uid="{7A9AA699-8CFD-4897-A9C5-C60C813895A7}"/>
    <cellStyle name="Normal 8 4 3 5 3" xfId="6526" xr:uid="{00000000-0005-0000-0000-0000071E0000}"/>
    <cellStyle name="Normal 8 4 3 5 3 2" xfId="14955" xr:uid="{95ECC05B-D9CF-4483-8245-7F73BD6D15A1}"/>
    <cellStyle name="Normal 8 4 3 5 4" xfId="10737" xr:uid="{0A9D72F4-E8E6-4006-AEBC-6E90754E9EA5}"/>
    <cellStyle name="Normal 8 4 3 6" xfId="2654" xr:uid="{00000000-0005-0000-0000-0000081E0000}"/>
    <cellStyle name="Normal 8 4 3 6 2" xfId="6939" xr:uid="{00000000-0005-0000-0000-0000091E0000}"/>
    <cellStyle name="Normal 8 4 3 6 2 2" xfId="15368" xr:uid="{FBCF3488-AF56-437B-BB4F-C65C112A99AB}"/>
    <cellStyle name="Normal 8 4 3 6 3" xfId="11150" xr:uid="{4B7DA460-EE6A-4E21-88EA-ED4FB653A012}"/>
    <cellStyle name="Normal 8 4 3 7" xfId="4874" xr:uid="{00000000-0005-0000-0000-00000A1E0000}"/>
    <cellStyle name="Normal 8 4 3 7 2" xfId="13303" xr:uid="{5DB34BF7-A4C0-43D4-AB0E-8AAE741C0733}"/>
    <cellStyle name="Normal 8 4 3 8" xfId="9085" xr:uid="{D631F820-2841-4880-9F7E-1E38CB3B67A3}"/>
    <cellStyle name="Normal 8 4 4" xfId="971" xr:uid="{00000000-0005-0000-0000-00000B1E0000}"/>
    <cellStyle name="Normal 8 4 4 2" xfId="3205" xr:uid="{00000000-0005-0000-0000-00000C1E0000}"/>
    <cellStyle name="Normal 8 4 4 2 2" xfId="7429" xr:uid="{00000000-0005-0000-0000-00000D1E0000}"/>
    <cellStyle name="Normal 8 4 4 2 2 2" xfId="15858" xr:uid="{9FBBF5CE-8D60-4C60-B1F7-AD5AFC9E53F2}"/>
    <cellStyle name="Normal 8 4 4 2 3" xfId="11640" xr:uid="{3B6C5D6D-14DD-4322-8B83-4A8F7F166046}"/>
    <cellStyle name="Normal 8 4 4 3" xfId="5284" xr:uid="{00000000-0005-0000-0000-00000E1E0000}"/>
    <cellStyle name="Normal 8 4 4 3 2" xfId="13713" xr:uid="{BB6B96F8-9FD4-4FCB-A120-86A2992F5A90}"/>
    <cellStyle name="Normal 8 4 4 4" xfId="9495" xr:uid="{9259C0CC-6E57-4A00-8C83-71BB2ECCEBF0}"/>
    <cellStyle name="Normal 8 4 5" xfId="1388" xr:uid="{00000000-0005-0000-0000-00000F1E0000}"/>
    <cellStyle name="Normal 8 4 5 2" xfId="3618" xr:uid="{00000000-0005-0000-0000-0000101E0000}"/>
    <cellStyle name="Normal 8 4 5 2 2" xfId="7842" xr:uid="{00000000-0005-0000-0000-0000111E0000}"/>
    <cellStyle name="Normal 8 4 5 2 2 2" xfId="16271" xr:uid="{2CACE74D-DF8A-4E33-9282-32941F62BDD0}"/>
    <cellStyle name="Normal 8 4 5 2 3" xfId="12053" xr:uid="{535E7771-D79A-40EC-84D3-0145A6F85EFC}"/>
    <cellStyle name="Normal 8 4 5 3" xfId="5697" xr:uid="{00000000-0005-0000-0000-0000121E0000}"/>
    <cellStyle name="Normal 8 4 5 3 2" xfId="14126" xr:uid="{503DE03B-A080-492E-8CCF-D26DAACF611C}"/>
    <cellStyle name="Normal 8 4 5 4" xfId="9908" xr:uid="{BD983046-B13B-4963-927E-87CA90EBF2BA}"/>
    <cellStyle name="Normal 8 4 6" xfId="1801" xr:uid="{00000000-0005-0000-0000-0000131E0000}"/>
    <cellStyle name="Normal 8 4 6 2" xfId="4031" xr:uid="{00000000-0005-0000-0000-0000141E0000}"/>
    <cellStyle name="Normal 8 4 6 2 2" xfId="8255" xr:uid="{00000000-0005-0000-0000-0000151E0000}"/>
    <cellStyle name="Normal 8 4 6 2 2 2" xfId="16684" xr:uid="{B82B19EB-66B6-4AA3-8EDF-8E7011C71322}"/>
    <cellStyle name="Normal 8 4 6 2 3" xfId="12466" xr:uid="{C1FFD77D-A3ED-4F11-B584-08F48D951B66}"/>
    <cellStyle name="Normal 8 4 6 3" xfId="6110" xr:uid="{00000000-0005-0000-0000-0000161E0000}"/>
    <cellStyle name="Normal 8 4 6 3 2" xfId="14539" xr:uid="{576642B0-F105-4E0D-9DBE-3755052C396D}"/>
    <cellStyle name="Normal 8 4 6 4" xfId="10321" xr:uid="{7C0500B0-ECF7-4181-BF3B-2B7CBC90871A}"/>
    <cellStyle name="Normal 8 4 7" xfId="2215" xr:uid="{00000000-0005-0000-0000-0000171E0000}"/>
    <cellStyle name="Normal 8 4 7 2" xfId="4444" xr:uid="{00000000-0005-0000-0000-0000181E0000}"/>
    <cellStyle name="Normal 8 4 7 2 2" xfId="8668" xr:uid="{00000000-0005-0000-0000-0000191E0000}"/>
    <cellStyle name="Normal 8 4 7 2 2 2" xfId="17097" xr:uid="{84398FBD-FC9A-4E0D-AB6E-9BE9A55A462D}"/>
    <cellStyle name="Normal 8 4 7 2 3" xfId="12879" xr:uid="{FD211F9D-13B6-47BC-A8C4-95DA21B9F8F5}"/>
    <cellStyle name="Normal 8 4 7 3" xfId="6523" xr:uid="{00000000-0005-0000-0000-00001A1E0000}"/>
    <cellStyle name="Normal 8 4 7 3 2" xfId="14952" xr:uid="{8149F38E-929B-4403-84A8-9EF8BB8CE1CB}"/>
    <cellStyle name="Normal 8 4 7 4" xfId="10734" xr:uid="{EFE53BFC-2262-422D-B037-E1C0AF7F1F3D}"/>
    <cellStyle name="Normal 8 4 8" xfId="2651" xr:uid="{00000000-0005-0000-0000-00001B1E0000}"/>
    <cellStyle name="Normal 8 4 8 2" xfId="6936" xr:uid="{00000000-0005-0000-0000-00001C1E0000}"/>
    <cellStyle name="Normal 8 4 8 2 2" xfId="15365" xr:uid="{480FCB03-E949-4391-B0EE-8698A44BDB08}"/>
    <cellStyle name="Normal 8 4 8 3" xfId="11147" xr:uid="{0AA35D35-1B31-4F12-A883-F18A7997EFD5}"/>
    <cellStyle name="Normal 8 4 9" xfId="4871" xr:uid="{00000000-0005-0000-0000-00001D1E0000}"/>
    <cellStyle name="Normal 8 4 9 2" xfId="13300" xr:uid="{9A899A38-EE27-4800-9D6D-3A9FC1B42ADD}"/>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6904066E-D390-4641-A895-1006341C5416}"/>
    <cellStyle name="Normal 8 5 2 2 2 3" xfId="11645" xr:uid="{A23E003A-B283-4196-B2A4-926B5811E0F6}"/>
    <cellStyle name="Normal 8 5 2 2 3" xfId="5289" xr:uid="{00000000-0005-0000-0000-0000231E0000}"/>
    <cellStyle name="Normal 8 5 2 2 3 2" xfId="13718" xr:uid="{51E3F0DC-FF9E-4121-A34E-60B028A932CC}"/>
    <cellStyle name="Normal 8 5 2 2 4" xfId="9500" xr:uid="{B1F1C446-957C-442A-9B3C-17C2D5DE5E2A}"/>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2EB8E79B-29D6-4F33-A307-CFB207B4820A}"/>
    <cellStyle name="Normal 8 5 2 3 2 3" xfId="12058" xr:uid="{047BF1A9-18F2-4BD8-90C5-2E00FF7A966E}"/>
    <cellStyle name="Normal 8 5 2 3 3" xfId="5702" xr:uid="{00000000-0005-0000-0000-0000271E0000}"/>
    <cellStyle name="Normal 8 5 2 3 3 2" xfId="14131" xr:uid="{5AF4BDC6-AC12-4DC4-A771-45CA29A0EA14}"/>
    <cellStyle name="Normal 8 5 2 3 4" xfId="9913" xr:uid="{A7B6AF21-F743-4DC6-8AD2-9583754A03B5}"/>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F01C02E6-4772-4CDF-8F20-9579A58773BD}"/>
    <cellStyle name="Normal 8 5 2 4 2 3" xfId="12471" xr:uid="{6E66E022-8B17-4534-8337-019F2CC612C1}"/>
    <cellStyle name="Normal 8 5 2 4 3" xfId="6115" xr:uid="{00000000-0005-0000-0000-00002B1E0000}"/>
    <cellStyle name="Normal 8 5 2 4 3 2" xfId="14544" xr:uid="{667160A2-45C3-4897-ACF1-855BFE77CDFB}"/>
    <cellStyle name="Normal 8 5 2 4 4" xfId="10326" xr:uid="{F09FD200-A3CF-46EC-8760-16B6C7016BEC}"/>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EDC74949-CC86-44AB-9973-A8496CDBAFA8}"/>
    <cellStyle name="Normal 8 5 2 5 2 3" xfId="12884" xr:uid="{61EE8FF6-2C79-4919-96E4-E238D3492680}"/>
    <cellStyle name="Normal 8 5 2 5 3" xfId="6528" xr:uid="{00000000-0005-0000-0000-00002F1E0000}"/>
    <cellStyle name="Normal 8 5 2 5 3 2" xfId="14957" xr:uid="{337D02D1-58F6-486D-A588-D781DEEBB824}"/>
    <cellStyle name="Normal 8 5 2 5 4" xfId="10739" xr:uid="{BE554BDE-3488-4D10-B56D-8985AE73B80B}"/>
    <cellStyle name="Normal 8 5 2 6" xfId="2656" xr:uid="{00000000-0005-0000-0000-0000301E0000}"/>
    <cellStyle name="Normal 8 5 2 6 2" xfId="6941" xr:uid="{00000000-0005-0000-0000-0000311E0000}"/>
    <cellStyle name="Normal 8 5 2 6 2 2" xfId="15370" xr:uid="{791BED6A-5EE2-41FE-BC37-C0CE96BB3476}"/>
    <cellStyle name="Normal 8 5 2 6 3" xfId="11152" xr:uid="{66B6C71E-F36C-4124-99AC-524D279419AF}"/>
    <cellStyle name="Normal 8 5 2 7" xfId="4876" xr:uid="{00000000-0005-0000-0000-0000321E0000}"/>
    <cellStyle name="Normal 8 5 2 7 2" xfId="13305" xr:uid="{6ED8847C-282C-4F64-BAC0-3DA022B38B5F}"/>
    <cellStyle name="Normal 8 5 2 8" xfId="9087" xr:uid="{19C432ED-241D-443D-81B3-9B0CE83AA239}"/>
    <cellStyle name="Normal 8 5 3" xfId="975" xr:uid="{00000000-0005-0000-0000-0000331E0000}"/>
    <cellStyle name="Normal 8 5 3 2" xfId="3209" xr:uid="{00000000-0005-0000-0000-0000341E0000}"/>
    <cellStyle name="Normal 8 5 3 2 2" xfId="7433" xr:uid="{00000000-0005-0000-0000-0000351E0000}"/>
    <cellStyle name="Normal 8 5 3 2 2 2" xfId="15862" xr:uid="{61BCA6B6-D9A8-4FF9-9D19-AC7E9CB19058}"/>
    <cellStyle name="Normal 8 5 3 2 3" xfId="11644" xr:uid="{93F587F7-4D36-4304-A78E-A5116D17CA94}"/>
    <cellStyle name="Normal 8 5 3 3" xfId="5288" xr:uid="{00000000-0005-0000-0000-0000361E0000}"/>
    <cellStyle name="Normal 8 5 3 3 2" xfId="13717" xr:uid="{22F3B04F-028E-465C-852A-121FB8BD069A}"/>
    <cellStyle name="Normal 8 5 3 4" xfId="9499" xr:uid="{478D1403-1CC5-4878-8367-EF1A398424DE}"/>
    <cellStyle name="Normal 8 5 4" xfId="1392" xr:uid="{00000000-0005-0000-0000-0000371E0000}"/>
    <cellStyle name="Normal 8 5 4 2" xfId="3622" xr:uid="{00000000-0005-0000-0000-0000381E0000}"/>
    <cellStyle name="Normal 8 5 4 2 2" xfId="7846" xr:uid="{00000000-0005-0000-0000-0000391E0000}"/>
    <cellStyle name="Normal 8 5 4 2 2 2" xfId="16275" xr:uid="{A71FD4D0-ABAB-402A-8ADD-3E988FBD7F85}"/>
    <cellStyle name="Normal 8 5 4 2 3" xfId="12057" xr:uid="{5AFA292D-3EDB-42D5-9235-CF4A84B58987}"/>
    <cellStyle name="Normal 8 5 4 3" xfId="5701" xr:uid="{00000000-0005-0000-0000-00003A1E0000}"/>
    <cellStyle name="Normal 8 5 4 3 2" xfId="14130" xr:uid="{49813AA7-4722-4D7C-A28B-6FAC73AEBBAF}"/>
    <cellStyle name="Normal 8 5 4 4" xfId="9912" xr:uid="{785FFC8F-7F06-48C2-87C2-F0B139516407}"/>
    <cellStyle name="Normal 8 5 5" xfId="1805" xr:uid="{00000000-0005-0000-0000-00003B1E0000}"/>
    <cellStyle name="Normal 8 5 5 2" xfId="4035" xr:uid="{00000000-0005-0000-0000-00003C1E0000}"/>
    <cellStyle name="Normal 8 5 5 2 2" xfId="8259" xr:uid="{00000000-0005-0000-0000-00003D1E0000}"/>
    <cellStyle name="Normal 8 5 5 2 2 2" xfId="16688" xr:uid="{A5D9C9CF-7F25-46F9-A774-C0846D2CA109}"/>
    <cellStyle name="Normal 8 5 5 2 3" xfId="12470" xr:uid="{477610D9-F3F7-42BE-A66E-FEFA3A10504B}"/>
    <cellStyle name="Normal 8 5 5 3" xfId="6114" xr:uid="{00000000-0005-0000-0000-00003E1E0000}"/>
    <cellStyle name="Normal 8 5 5 3 2" xfId="14543" xr:uid="{C5C01859-BBBB-4E0D-A31C-CDC4349E8588}"/>
    <cellStyle name="Normal 8 5 5 4" xfId="10325" xr:uid="{4659910F-416D-4938-9C22-C7F1A031B3E3}"/>
    <cellStyle name="Normal 8 5 6" xfId="2219" xr:uid="{00000000-0005-0000-0000-00003F1E0000}"/>
    <cellStyle name="Normal 8 5 6 2" xfId="4448" xr:uid="{00000000-0005-0000-0000-0000401E0000}"/>
    <cellStyle name="Normal 8 5 6 2 2" xfId="8672" xr:uid="{00000000-0005-0000-0000-0000411E0000}"/>
    <cellStyle name="Normal 8 5 6 2 2 2" xfId="17101" xr:uid="{96AD734C-F863-4DD7-A076-235C0EF0311B}"/>
    <cellStyle name="Normal 8 5 6 2 3" xfId="12883" xr:uid="{B85F1D0C-0BF6-4B96-A720-AE17C2FB993A}"/>
    <cellStyle name="Normal 8 5 6 3" xfId="6527" xr:uid="{00000000-0005-0000-0000-0000421E0000}"/>
    <cellStyle name="Normal 8 5 6 3 2" xfId="14956" xr:uid="{1C4CD0ED-6DE0-430A-8CBF-FC4976DCE481}"/>
    <cellStyle name="Normal 8 5 6 4" xfId="10738" xr:uid="{BD30CDDD-1D52-48E0-A779-F83B10B6A263}"/>
    <cellStyle name="Normal 8 5 7" xfId="2655" xr:uid="{00000000-0005-0000-0000-0000431E0000}"/>
    <cellStyle name="Normal 8 5 7 2" xfId="6940" xr:uid="{00000000-0005-0000-0000-0000441E0000}"/>
    <cellStyle name="Normal 8 5 7 2 2" xfId="15369" xr:uid="{FB09F1AE-AF6B-4BD7-9B52-081728C2AC39}"/>
    <cellStyle name="Normal 8 5 7 3" xfId="11151" xr:uid="{395A62A3-76C0-4758-A17D-CD697E72EA97}"/>
    <cellStyle name="Normal 8 5 8" xfId="4875" xr:uid="{00000000-0005-0000-0000-0000451E0000}"/>
    <cellStyle name="Normal 8 5 8 2" xfId="13304" xr:uid="{94EFE70E-3DA1-4972-9487-B41F8D0B21DF}"/>
    <cellStyle name="Normal 8 5 9" xfId="9086" xr:uid="{7BD58EAD-A184-4887-AE60-B87188808EEF}"/>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A829973B-DC5B-45DE-B210-2CB25D1CD9E7}"/>
    <cellStyle name="Normal 8 6 2 2 3" xfId="11646" xr:uid="{65914E2E-B0E1-4F99-990E-810172A4339A}"/>
    <cellStyle name="Normal 8 6 2 3" xfId="5290" xr:uid="{00000000-0005-0000-0000-00004A1E0000}"/>
    <cellStyle name="Normal 8 6 2 3 2" xfId="13719" xr:uid="{7F013A4D-2BC7-49ED-8DB7-C65FB407A222}"/>
    <cellStyle name="Normal 8 6 2 4" xfId="9501" xr:uid="{03DE5EF7-69DC-4211-9CDF-3BDB896707FC}"/>
    <cellStyle name="Normal 8 6 3" xfId="1394" xr:uid="{00000000-0005-0000-0000-00004B1E0000}"/>
    <cellStyle name="Normal 8 6 3 2" xfId="3624" xr:uid="{00000000-0005-0000-0000-00004C1E0000}"/>
    <cellStyle name="Normal 8 6 3 2 2" xfId="7848" xr:uid="{00000000-0005-0000-0000-00004D1E0000}"/>
    <cellStyle name="Normal 8 6 3 2 2 2" xfId="16277" xr:uid="{8C629E13-E31D-43AC-B6CB-612C9F03DCDE}"/>
    <cellStyle name="Normal 8 6 3 2 3" xfId="12059" xr:uid="{715E011E-6003-41E4-A903-D44AB83EE266}"/>
    <cellStyle name="Normal 8 6 3 3" xfId="5703" xr:uid="{00000000-0005-0000-0000-00004E1E0000}"/>
    <cellStyle name="Normal 8 6 3 3 2" xfId="14132" xr:uid="{9897788A-868D-4CD0-AAE0-750541F0B70F}"/>
    <cellStyle name="Normal 8 6 3 4" xfId="9914" xr:uid="{3050C924-3C10-46A2-B547-61A4F9F6453F}"/>
    <cellStyle name="Normal 8 6 4" xfId="1807" xr:uid="{00000000-0005-0000-0000-00004F1E0000}"/>
    <cellStyle name="Normal 8 6 4 2" xfId="4037" xr:uid="{00000000-0005-0000-0000-0000501E0000}"/>
    <cellStyle name="Normal 8 6 4 2 2" xfId="8261" xr:uid="{00000000-0005-0000-0000-0000511E0000}"/>
    <cellStyle name="Normal 8 6 4 2 2 2" xfId="16690" xr:uid="{CFDFA196-189E-4328-B4E2-0A295B17F89C}"/>
    <cellStyle name="Normal 8 6 4 2 3" xfId="12472" xr:uid="{C326E90B-5D92-4963-81A9-3045176FF69A}"/>
    <cellStyle name="Normal 8 6 4 3" xfId="6116" xr:uid="{00000000-0005-0000-0000-0000521E0000}"/>
    <cellStyle name="Normal 8 6 4 3 2" xfId="14545" xr:uid="{2EA0C49A-351E-4AA2-B3BD-F2D424601E60}"/>
    <cellStyle name="Normal 8 6 4 4" xfId="10327" xr:uid="{E76FB1AB-E21B-479D-BAA4-769727CD5F08}"/>
    <cellStyle name="Normal 8 6 5" xfId="2221" xr:uid="{00000000-0005-0000-0000-0000531E0000}"/>
    <cellStyle name="Normal 8 6 5 2" xfId="4450" xr:uid="{00000000-0005-0000-0000-0000541E0000}"/>
    <cellStyle name="Normal 8 6 5 2 2" xfId="8674" xr:uid="{00000000-0005-0000-0000-0000551E0000}"/>
    <cellStyle name="Normal 8 6 5 2 2 2" xfId="17103" xr:uid="{8E10DBBA-F69E-4D63-BBA2-2DA703FD7894}"/>
    <cellStyle name="Normal 8 6 5 2 3" xfId="12885" xr:uid="{05C6C607-F0F6-4A35-B5B1-BA01642F61A0}"/>
    <cellStyle name="Normal 8 6 5 3" xfId="6529" xr:uid="{00000000-0005-0000-0000-0000561E0000}"/>
    <cellStyle name="Normal 8 6 5 3 2" xfId="14958" xr:uid="{BCDD12D6-8227-48C3-8827-13026A5B302F}"/>
    <cellStyle name="Normal 8 6 5 4" xfId="10740" xr:uid="{3A7121A8-6349-4484-8245-4E3E699F94CA}"/>
    <cellStyle name="Normal 8 6 6" xfId="2657" xr:uid="{00000000-0005-0000-0000-0000571E0000}"/>
    <cellStyle name="Normal 8 6 6 2" xfId="6942" xr:uid="{00000000-0005-0000-0000-0000581E0000}"/>
    <cellStyle name="Normal 8 6 6 2 2" xfId="15371" xr:uid="{93DBF970-9B9D-46CD-820A-71C4435C98E8}"/>
    <cellStyle name="Normal 8 6 6 3" xfId="11153" xr:uid="{56E3144B-E178-4951-8BA3-372CE30FDB11}"/>
    <cellStyle name="Normal 8 6 7" xfId="4877" xr:uid="{00000000-0005-0000-0000-0000591E0000}"/>
    <cellStyle name="Normal 8 6 7 2" xfId="13306" xr:uid="{F491876D-AA8D-4C84-965C-E8F00370FEAD}"/>
    <cellStyle name="Normal 8 6 8" xfId="9088" xr:uid="{1FAD82CE-AED1-43B2-BF6B-DE0851513757}"/>
    <cellStyle name="Normal 8 7" xfId="946" xr:uid="{00000000-0005-0000-0000-00005A1E0000}"/>
    <cellStyle name="Normal 8 7 2" xfId="3180" xr:uid="{00000000-0005-0000-0000-00005B1E0000}"/>
    <cellStyle name="Normal 8 7 2 2" xfId="7404" xr:uid="{00000000-0005-0000-0000-00005C1E0000}"/>
    <cellStyle name="Normal 8 7 2 2 2" xfId="15833" xr:uid="{7CA2C67C-1220-43C0-ACA7-0828D1E82B16}"/>
    <cellStyle name="Normal 8 7 2 3" xfId="11615" xr:uid="{6D555FA7-F768-4E4E-801A-69EF1982B850}"/>
    <cellStyle name="Normal 8 7 3" xfId="5259" xr:uid="{00000000-0005-0000-0000-00005D1E0000}"/>
    <cellStyle name="Normal 8 7 3 2" xfId="13688" xr:uid="{206C2E99-AFBA-46FC-A8F0-164D0A77DF05}"/>
    <cellStyle name="Normal 8 7 4" xfId="9470" xr:uid="{A430AA64-530D-465C-849E-C0D540CE63DD}"/>
    <cellStyle name="Normal 8 8" xfId="1363" xr:uid="{00000000-0005-0000-0000-00005E1E0000}"/>
    <cellStyle name="Normal 8 8 2" xfId="3593" xr:uid="{00000000-0005-0000-0000-00005F1E0000}"/>
    <cellStyle name="Normal 8 8 2 2" xfId="7817" xr:uid="{00000000-0005-0000-0000-0000601E0000}"/>
    <cellStyle name="Normal 8 8 2 2 2" xfId="16246" xr:uid="{8339E734-84B1-496A-9283-7C8356F5CE71}"/>
    <cellStyle name="Normal 8 8 2 3" xfId="12028" xr:uid="{E86FBF86-CA0E-4E3E-9A06-BA3C4B071150}"/>
    <cellStyle name="Normal 8 8 3" xfId="5672" xr:uid="{00000000-0005-0000-0000-0000611E0000}"/>
    <cellStyle name="Normal 8 8 3 2" xfId="14101" xr:uid="{90DD91AE-03ED-4D21-BA98-5588969711B5}"/>
    <cellStyle name="Normal 8 8 4" xfId="9883" xr:uid="{1A66C127-97AF-4A67-BD9E-84048E30D131}"/>
    <cellStyle name="Normal 8 9" xfId="1776" xr:uid="{00000000-0005-0000-0000-0000621E0000}"/>
    <cellStyle name="Normal 8 9 2" xfId="4006" xr:uid="{00000000-0005-0000-0000-0000631E0000}"/>
    <cellStyle name="Normal 8 9 2 2" xfId="8230" xr:uid="{00000000-0005-0000-0000-0000641E0000}"/>
    <cellStyle name="Normal 8 9 2 2 2" xfId="16659" xr:uid="{B21FC3B6-35BC-4183-90E0-147A72DD5F8F}"/>
    <cellStyle name="Normal 8 9 2 3" xfId="12441" xr:uid="{194CAA67-0A87-4595-B40F-002DE768BCDF}"/>
    <cellStyle name="Normal 8 9 3" xfId="6085" xr:uid="{00000000-0005-0000-0000-0000651E0000}"/>
    <cellStyle name="Normal 8 9 3 2" xfId="14514" xr:uid="{BF46DE68-A865-460B-A6AB-4EAB97921001}"/>
    <cellStyle name="Normal 8 9 4" xfId="10296" xr:uid="{81A77ADF-52B3-4AB9-AEAD-7EDE1DDB70F2}"/>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825A4396-8512-43D6-B34D-5FD4FEAE6E68}"/>
    <cellStyle name="Normal 9 2 10 3" xfId="11154" xr:uid="{F3032B7D-C7F5-4675-95DD-4C987172457F}"/>
    <cellStyle name="Normal 9 2 11" xfId="4878" xr:uid="{00000000-0005-0000-0000-00006A1E0000}"/>
    <cellStyle name="Normal 9 2 11 2" xfId="13307" xr:uid="{3A90984F-94DC-4D38-95AB-6D7E6F078B39}"/>
    <cellStyle name="Normal 9 2 12" xfId="9089" xr:uid="{2047C686-D188-412A-99DC-7AB9AE52E9A9}"/>
    <cellStyle name="Normal 9 2 2" xfId="512" xr:uid="{00000000-0005-0000-0000-00006B1E0000}"/>
    <cellStyle name="Normal 9 2 2 10" xfId="4879" xr:uid="{00000000-0005-0000-0000-00006C1E0000}"/>
    <cellStyle name="Normal 9 2 2 10 2" xfId="13308" xr:uid="{D6EB8C28-4D9B-4216-B726-60FF3B7BD99A}"/>
    <cellStyle name="Normal 9 2 2 11" xfId="9090" xr:uid="{F5AFD63E-59D9-44AF-9DE0-7246262CCAAE}"/>
    <cellStyle name="Normal 9 2 2 2" xfId="513" xr:uid="{00000000-0005-0000-0000-00006D1E0000}"/>
    <cellStyle name="Normal 9 2 2 2 10" xfId="9091" xr:uid="{FB704D6D-4C5B-4513-8C56-3CC9E8214D3E}"/>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0512E6D5-FC87-4B3E-A9F4-070346C495F1}"/>
    <cellStyle name="Normal 9 2 2 2 2 2 2 2 3" xfId="11651" xr:uid="{4923A513-B28C-4072-8980-C38971ED79AE}"/>
    <cellStyle name="Normal 9 2 2 2 2 2 2 3" xfId="5295" xr:uid="{00000000-0005-0000-0000-0000731E0000}"/>
    <cellStyle name="Normal 9 2 2 2 2 2 2 3 2" xfId="13724" xr:uid="{81D8F16A-90BB-47E7-BFD9-04D91BDB74BF}"/>
    <cellStyle name="Normal 9 2 2 2 2 2 2 4" xfId="9506" xr:uid="{A0E92129-4A04-41E3-B3B5-A8ECCFCFFD5F}"/>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4E3A9D82-7E28-44C5-8CAC-8C07102CE477}"/>
    <cellStyle name="Normal 9 2 2 2 2 2 3 2 3" xfId="12064" xr:uid="{F9C7DDCE-C354-499F-978B-87752EAA5DD3}"/>
    <cellStyle name="Normal 9 2 2 2 2 2 3 3" xfId="5708" xr:uid="{00000000-0005-0000-0000-0000771E0000}"/>
    <cellStyle name="Normal 9 2 2 2 2 2 3 3 2" xfId="14137" xr:uid="{7B773ADC-1761-4159-BF25-823E497BCC5E}"/>
    <cellStyle name="Normal 9 2 2 2 2 2 3 4" xfId="9919" xr:uid="{D9E05B88-E033-4361-8C30-4D883A77BA94}"/>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961FB291-DE4C-4223-9F65-EF51310AEA60}"/>
    <cellStyle name="Normal 9 2 2 2 2 2 4 2 3" xfId="12477" xr:uid="{E4F7A2B2-A2C2-4A70-A25D-4B51850D2AEE}"/>
    <cellStyle name="Normal 9 2 2 2 2 2 4 3" xfId="6121" xr:uid="{00000000-0005-0000-0000-00007B1E0000}"/>
    <cellStyle name="Normal 9 2 2 2 2 2 4 3 2" xfId="14550" xr:uid="{41BBF506-FD5D-4ECC-A29B-5E47AFD6D31C}"/>
    <cellStyle name="Normal 9 2 2 2 2 2 4 4" xfId="10332" xr:uid="{438CECDB-71F6-4C00-822D-ADE98913DD87}"/>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4D921E10-B64B-4900-AF7B-89FE871CD725}"/>
    <cellStyle name="Normal 9 2 2 2 2 2 5 2 3" xfId="12890" xr:uid="{5DDD4140-01CA-478B-8167-C8716B52B1DC}"/>
    <cellStyle name="Normal 9 2 2 2 2 2 5 3" xfId="6534" xr:uid="{00000000-0005-0000-0000-00007F1E0000}"/>
    <cellStyle name="Normal 9 2 2 2 2 2 5 3 2" xfId="14963" xr:uid="{1654977C-F0E0-4D4B-A823-2C4681F6A427}"/>
    <cellStyle name="Normal 9 2 2 2 2 2 5 4" xfId="10745" xr:uid="{CB4F8A44-D07E-4604-BDAC-761BDEA07273}"/>
    <cellStyle name="Normal 9 2 2 2 2 2 6" xfId="2662" xr:uid="{00000000-0005-0000-0000-0000801E0000}"/>
    <cellStyle name="Normal 9 2 2 2 2 2 6 2" xfId="6947" xr:uid="{00000000-0005-0000-0000-0000811E0000}"/>
    <cellStyle name="Normal 9 2 2 2 2 2 6 2 2" xfId="15376" xr:uid="{84A7C346-1E75-40CF-AE24-1162888000C2}"/>
    <cellStyle name="Normal 9 2 2 2 2 2 6 3" xfId="11158" xr:uid="{EF8B40A7-08AF-4756-B0B5-2F81762981DA}"/>
    <cellStyle name="Normal 9 2 2 2 2 2 7" xfId="4882" xr:uid="{00000000-0005-0000-0000-0000821E0000}"/>
    <cellStyle name="Normal 9 2 2 2 2 2 7 2" xfId="13311" xr:uid="{FC63A1BD-E66B-4ECA-A0EE-6F4030AB81B5}"/>
    <cellStyle name="Normal 9 2 2 2 2 2 8" xfId="9093" xr:uid="{8046EB11-26D6-4162-AC59-60AE99067A56}"/>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CCB1C011-2016-4885-9351-808741699AFB}"/>
    <cellStyle name="Normal 9 2 2 2 2 3 2 3" xfId="11650" xr:uid="{6CA98EC5-FCA9-4FC4-BD79-DC0DA9F3BB36}"/>
    <cellStyle name="Normal 9 2 2 2 2 3 3" xfId="5294" xr:uid="{00000000-0005-0000-0000-0000861E0000}"/>
    <cellStyle name="Normal 9 2 2 2 2 3 3 2" xfId="13723" xr:uid="{8EF5F09A-33E0-4055-9446-E7173A18D086}"/>
    <cellStyle name="Normal 9 2 2 2 2 3 4" xfId="9505" xr:uid="{1237BBCA-AE8A-456F-9D65-A6AE3AA48357}"/>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7DE57B08-9BF5-4330-BB3F-85F3F5969EB3}"/>
    <cellStyle name="Normal 9 2 2 2 2 4 2 3" xfId="12063" xr:uid="{1FF81604-8F82-4BA4-B3BE-A8CC1D9EA590}"/>
    <cellStyle name="Normal 9 2 2 2 2 4 3" xfId="5707" xr:uid="{00000000-0005-0000-0000-00008A1E0000}"/>
    <cellStyle name="Normal 9 2 2 2 2 4 3 2" xfId="14136" xr:uid="{D187BF62-9523-48C6-8D0C-E487317DA80E}"/>
    <cellStyle name="Normal 9 2 2 2 2 4 4" xfId="9918" xr:uid="{6FB6FFE5-AB9B-4AF5-982D-52C79402E647}"/>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C46D40A6-A0F4-44A5-9987-9C45511045D6}"/>
    <cellStyle name="Normal 9 2 2 2 2 5 2 3" xfId="12476" xr:uid="{6D4F27D7-3736-4FE1-85C1-BEBCE51C2197}"/>
    <cellStyle name="Normal 9 2 2 2 2 5 3" xfId="6120" xr:uid="{00000000-0005-0000-0000-00008E1E0000}"/>
    <cellStyle name="Normal 9 2 2 2 2 5 3 2" xfId="14549" xr:uid="{4573E254-6CA7-4B01-8727-C48F08A7FC51}"/>
    <cellStyle name="Normal 9 2 2 2 2 5 4" xfId="10331" xr:uid="{34568C4E-B695-485D-B259-053DA08D48B3}"/>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25F639D3-9E3B-4564-A52A-0263C2D8B9BA}"/>
    <cellStyle name="Normal 9 2 2 2 2 6 2 3" xfId="12889" xr:uid="{8C88BBEE-5146-488E-9804-FD9425561B13}"/>
    <cellStyle name="Normal 9 2 2 2 2 6 3" xfId="6533" xr:uid="{00000000-0005-0000-0000-0000921E0000}"/>
    <cellStyle name="Normal 9 2 2 2 2 6 3 2" xfId="14962" xr:uid="{FD6B780B-14DD-4B8F-B6B6-32C39A244BEC}"/>
    <cellStyle name="Normal 9 2 2 2 2 6 4" xfId="10744" xr:uid="{02E82E3E-0B4B-486F-B437-22EC64522F67}"/>
    <cellStyle name="Normal 9 2 2 2 2 7" xfId="2661" xr:uid="{00000000-0005-0000-0000-0000931E0000}"/>
    <cellStyle name="Normal 9 2 2 2 2 7 2" xfId="6946" xr:uid="{00000000-0005-0000-0000-0000941E0000}"/>
    <cellStyle name="Normal 9 2 2 2 2 7 2 2" xfId="15375" xr:uid="{E8AC16A3-FDE8-438F-AC1D-5596389AB061}"/>
    <cellStyle name="Normal 9 2 2 2 2 7 3" xfId="11157" xr:uid="{FE12BB5B-0760-4D81-92C1-AAF912DBC267}"/>
    <cellStyle name="Normal 9 2 2 2 2 8" xfId="4881" xr:uid="{00000000-0005-0000-0000-0000951E0000}"/>
    <cellStyle name="Normal 9 2 2 2 2 8 2" xfId="13310" xr:uid="{EF69D423-05A5-4712-976F-731370C73059}"/>
    <cellStyle name="Normal 9 2 2 2 2 9" xfId="9092" xr:uid="{DC3B381A-DE37-41FF-9028-F2D65FEFF02E}"/>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5BF425EF-21D5-4E7D-9949-5B73E4ED6728}"/>
    <cellStyle name="Normal 9 2 2 2 3 2 2 3" xfId="11652" xr:uid="{42631F94-6618-4428-B84A-46C6B5371E2F}"/>
    <cellStyle name="Normal 9 2 2 2 3 2 3" xfId="5296" xr:uid="{00000000-0005-0000-0000-00009A1E0000}"/>
    <cellStyle name="Normal 9 2 2 2 3 2 3 2" xfId="13725" xr:uid="{E0597819-9400-4842-A6AB-C99E602A46DA}"/>
    <cellStyle name="Normal 9 2 2 2 3 2 4" xfId="9507" xr:uid="{7838140B-12FA-416A-929A-56BA064AEA43}"/>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1D38625A-6355-42D7-A864-8C5B3C8AA4A0}"/>
    <cellStyle name="Normal 9 2 2 2 3 3 2 3" xfId="12065" xr:uid="{D4F1893F-B571-442A-A8F9-4D07D3192198}"/>
    <cellStyle name="Normal 9 2 2 2 3 3 3" xfId="5709" xr:uid="{00000000-0005-0000-0000-00009E1E0000}"/>
    <cellStyle name="Normal 9 2 2 2 3 3 3 2" xfId="14138" xr:uid="{92727474-32B5-473C-B087-FBC819B3791B}"/>
    <cellStyle name="Normal 9 2 2 2 3 3 4" xfId="9920" xr:uid="{5C4F54D7-D08D-4803-8677-28C9D1E6A112}"/>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11DC0839-5559-449D-A2A8-349F99E6063E}"/>
    <cellStyle name="Normal 9 2 2 2 3 4 2 3" xfId="12478" xr:uid="{BF83138B-69E0-4A34-9A84-BFF6EEEE56D4}"/>
    <cellStyle name="Normal 9 2 2 2 3 4 3" xfId="6122" xr:uid="{00000000-0005-0000-0000-0000A21E0000}"/>
    <cellStyle name="Normal 9 2 2 2 3 4 3 2" xfId="14551" xr:uid="{2A1B0114-D9F3-4AC8-9BA8-BD61E1094741}"/>
    <cellStyle name="Normal 9 2 2 2 3 4 4" xfId="10333" xr:uid="{956F1A53-FC9C-4127-9A56-4A6FC5459942}"/>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F77DC96E-1EB4-4DE0-B27C-C390EE7426F8}"/>
    <cellStyle name="Normal 9 2 2 2 3 5 2 3" xfId="12891" xr:uid="{D4E20788-5BAD-44F8-BCB9-76901266FD06}"/>
    <cellStyle name="Normal 9 2 2 2 3 5 3" xfId="6535" xr:uid="{00000000-0005-0000-0000-0000A61E0000}"/>
    <cellStyle name="Normal 9 2 2 2 3 5 3 2" xfId="14964" xr:uid="{788A45A1-48DE-4240-9BA7-539D86D147B2}"/>
    <cellStyle name="Normal 9 2 2 2 3 5 4" xfId="10746" xr:uid="{31F70B87-6C5B-41C4-9ACC-30CE3363D82F}"/>
    <cellStyle name="Normal 9 2 2 2 3 6" xfId="2663" xr:uid="{00000000-0005-0000-0000-0000A71E0000}"/>
    <cellStyle name="Normal 9 2 2 2 3 6 2" xfId="6948" xr:uid="{00000000-0005-0000-0000-0000A81E0000}"/>
    <cellStyle name="Normal 9 2 2 2 3 6 2 2" xfId="15377" xr:uid="{8F2309B4-46E3-4F5F-A807-411EBF5815FD}"/>
    <cellStyle name="Normal 9 2 2 2 3 6 3" xfId="11159" xr:uid="{439EF12A-D8D7-48B8-BB1E-340C5FFB6B38}"/>
    <cellStyle name="Normal 9 2 2 2 3 7" xfId="4883" xr:uid="{00000000-0005-0000-0000-0000A91E0000}"/>
    <cellStyle name="Normal 9 2 2 2 3 7 2" xfId="13312" xr:uid="{09B4812D-2A7A-4A2C-910C-DD4E7633F39D}"/>
    <cellStyle name="Normal 9 2 2 2 3 8" xfId="9094" xr:uid="{BD102BB9-302A-41D1-B81E-AAA3F209D611}"/>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3180A647-9BC9-42CC-8112-1041C0B56714}"/>
    <cellStyle name="Normal 9 2 2 2 4 2 3" xfId="11649" xr:uid="{01D57857-8C2C-4A61-BA6C-94580A2064CD}"/>
    <cellStyle name="Normal 9 2 2 2 4 3" xfId="5293" xr:uid="{00000000-0005-0000-0000-0000AD1E0000}"/>
    <cellStyle name="Normal 9 2 2 2 4 3 2" xfId="13722" xr:uid="{7BECC024-68F0-4D91-9952-A8F4B74A1583}"/>
    <cellStyle name="Normal 9 2 2 2 4 4" xfId="9504" xr:uid="{139B0110-3C74-490E-8A43-326DC198BC69}"/>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39D4A5E1-24B6-46A8-A143-6A2DE63D010E}"/>
    <cellStyle name="Normal 9 2 2 2 5 2 3" xfId="12062" xr:uid="{B6980DDB-5352-43E8-AA34-FCDAAF3C20AA}"/>
    <cellStyle name="Normal 9 2 2 2 5 3" xfId="5706" xr:uid="{00000000-0005-0000-0000-0000B11E0000}"/>
    <cellStyle name="Normal 9 2 2 2 5 3 2" xfId="14135" xr:uid="{929F3DB1-A42B-4667-856E-D06F66D3BC9C}"/>
    <cellStyle name="Normal 9 2 2 2 5 4" xfId="9917" xr:uid="{66FD2914-3554-4E05-93DE-397F6572AB79}"/>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17A6B4A1-039D-4125-A7C4-D806011E9574}"/>
    <cellStyle name="Normal 9 2 2 2 6 2 3" xfId="12475" xr:uid="{42D231B0-4740-4752-82B3-EEEB9BCEEABE}"/>
    <cellStyle name="Normal 9 2 2 2 6 3" xfId="6119" xr:uid="{00000000-0005-0000-0000-0000B51E0000}"/>
    <cellStyle name="Normal 9 2 2 2 6 3 2" xfId="14548" xr:uid="{3DAEB51D-7643-45A5-9A8A-FBD0E1E02850}"/>
    <cellStyle name="Normal 9 2 2 2 6 4" xfId="10330" xr:uid="{86BC2A36-B8DB-4AAF-B4F7-9408C0371DA6}"/>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DF847A76-0518-4CD1-8310-D5BC913B7E46}"/>
    <cellStyle name="Normal 9 2 2 2 7 2 3" xfId="12888" xr:uid="{5EBAE72B-E024-4D02-BB33-66085C2635FC}"/>
    <cellStyle name="Normal 9 2 2 2 7 3" xfId="6532" xr:uid="{00000000-0005-0000-0000-0000B91E0000}"/>
    <cellStyle name="Normal 9 2 2 2 7 3 2" xfId="14961" xr:uid="{1179A450-4B5D-4D49-A85E-E452CDD20B63}"/>
    <cellStyle name="Normal 9 2 2 2 7 4" xfId="10743" xr:uid="{D0F7884D-A923-4424-B129-273E4724688A}"/>
    <cellStyle name="Normal 9 2 2 2 8" xfId="2660" xr:uid="{00000000-0005-0000-0000-0000BA1E0000}"/>
    <cellStyle name="Normal 9 2 2 2 8 2" xfId="6945" xr:uid="{00000000-0005-0000-0000-0000BB1E0000}"/>
    <cellStyle name="Normal 9 2 2 2 8 2 2" xfId="15374" xr:uid="{DF85F7E2-10DE-4AA7-AA09-27FD4F33B67C}"/>
    <cellStyle name="Normal 9 2 2 2 8 3" xfId="11156" xr:uid="{07F68B67-510D-4840-95FC-7B769D537803}"/>
    <cellStyle name="Normal 9 2 2 2 9" xfId="4880" xr:uid="{00000000-0005-0000-0000-0000BC1E0000}"/>
    <cellStyle name="Normal 9 2 2 2 9 2" xfId="13309" xr:uid="{12E770A0-D25A-4508-B0DC-91BEAE4F2E5A}"/>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CDD67F5C-CC14-4E21-981A-21F54F7EAAE1}"/>
    <cellStyle name="Normal 9 2 2 3 2 2 2 3" xfId="11654" xr:uid="{ACFB3BE9-655C-43BE-A99F-E315284C1665}"/>
    <cellStyle name="Normal 9 2 2 3 2 2 3" xfId="5298" xr:uid="{00000000-0005-0000-0000-0000C21E0000}"/>
    <cellStyle name="Normal 9 2 2 3 2 2 3 2" xfId="13727" xr:uid="{B45F5A9C-31A3-48E0-9BDD-41DC7EAD7466}"/>
    <cellStyle name="Normal 9 2 2 3 2 2 4" xfId="9509" xr:uid="{B18F4450-4FA4-4409-B762-6E758F014205}"/>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A0C9461F-9103-4DD9-832C-E2AF385C78EE}"/>
    <cellStyle name="Normal 9 2 2 3 2 3 2 3" xfId="12067" xr:uid="{A205E8B7-3B6B-4791-B6C2-49B97A8D1C7D}"/>
    <cellStyle name="Normal 9 2 2 3 2 3 3" xfId="5711" xr:uid="{00000000-0005-0000-0000-0000C61E0000}"/>
    <cellStyle name="Normal 9 2 2 3 2 3 3 2" xfId="14140" xr:uid="{0A5D9F26-553F-4119-BD35-0BB05A840F71}"/>
    <cellStyle name="Normal 9 2 2 3 2 3 4" xfId="9922" xr:uid="{D8E9CDCB-EC97-4C02-A710-DD274F4E06DA}"/>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93503CC1-EF56-4A63-B261-B9F68AE107A8}"/>
    <cellStyle name="Normal 9 2 2 3 2 4 2 3" xfId="12480" xr:uid="{2DF1D19C-2DF0-47A8-BE90-A1CE9D2245CF}"/>
    <cellStyle name="Normal 9 2 2 3 2 4 3" xfId="6124" xr:uid="{00000000-0005-0000-0000-0000CA1E0000}"/>
    <cellStyle name="Normal 9 2 2 3 2 4 3 2" xfId="14553" xr:uid="{A7F7B2F8-71BB-43E9-868B-5F2B8E03A11C}"/>
    <cellStyle name="Normal 9 2 2 3 2 4 4" xfId="10335" xr:uid="{53ABAF35-5D94-44D3-8AEA-30DC9349D834}"/>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96284EBA-15F0-4DCF-911E-623B769471A9}"/>
    <cellStyle name="Normal 9 2 2 3 2 5 2 3" xfId="12893" xr:uid="{0B0923A1-FE43-47A2-A25D-6BD482782ECD}"/>
    <cellStyle name="Normal 9 2 2 3 2 5 3" xfId="6537" xr:uid="{00000000-0005-0000-0000-0000CE1E0000}"/>
    <cellStyle name="Normal 9 2 2 3 2 5 3 2" xfId="14966" xr:uid="{8B26C796-797C-4643-AEB4-257200B6FA58}"/>
    <cellStyle name="Normal 9 2 2 3 2 5 4" xfId="10748" xr:uid="{36007DEC-7503-46EB-87AF-71D4AA0D0B14}"/>
    <cellStyle name="Normal 9 2 2 3 2 6" xfId="2665" xr:uid="{00000000-0005-0000-0000-0000CF1E0000}"/>
    <cellStyle name="Normal 9 2 2 3 2 6 2" xfId="6950" xr:uid="{00000000-0005-0000-0000-0000D01E0000}"/>
    <cellStyle name="Normal 9 2 2 3 2 6 2 2" xfId="15379" xr:uid="{D10748BB-9A09-41F5-8E91-0FC8EE3135C9}"/>
    <cellStyle name="Normal 9 2 2 3 2 6 3" xfId="11161" xr:uid="{DB576C65-3C35-4726-AEF3-6F87F6F1EA27}"/>
    <cellStyle name="Normal 9 2 2 3 2 7" xfId="4885" xr:uid="{00000000-0005-0000-0000-0000D11E0000}"/>
    <cellStyle name="Normal 9 2 2 3 2 7 2" xfId="13314" xr:uid="{532A00BF-96B4-4229-88C4-13DA82A8E3FC}"/>
    <cellStyle name="Normal 9 2 2 3 2 8" xfId="9096" xr:uid="{E40FF332-FF1A-48FF-98E4-3ACE586BB92E}"/>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486046B1-DD8B-417B-863B-67D7174BD8EC}"/>
    <cellStyle name="Normal 9 2 2 3 3 2 3" xfId="11653" xr:uid="{16FCFCA5-8060-41E0-BCDE-E879ADB87ACE}"/>
    <cellStyle name="Normal 9 2 2 3 3 3" xfId="5297" xr:uid="{00000000-0005-0000-0000-0000D51E0000}"/>
    <cellStyle name="Normal 9 2 2 3 3 3 2" xfId="13726" xr:uid="{A6A12A8B-1D87-4510-9965-B52D706E5B19}"/>
    <cellStyle name="Normal 9 2 2 3 3 4" xfId="9508" xr:uid="{F387C6FE-B916-46E3-A686-30B066B11033}"/>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CFABBC44-C593-425A-8387-5764934A6BBE}"/>
    <cellStyle name="Normal 9 2 2 3 4 2 3" xfId="12066" xr:uid="{E7B70EC8-3C6B-4507-AC4B-6749324750B0}"/>
    <cellStyle name="Normal 9 2 2 3 4 3" xfId="5710" xr:uid="{00000000-0005-0000-0000-0000D91E0000}"/>
    <cellStyle name="Normal 9 2 2 3 4 3 2" xfId="14139" xr:uid="{767D14E8-5511-40A2-A735-47DCAB44641A}"/>
    <cellStyle name="Normal 9 2 2 3 4 4" xfId="9921" xr:uid="{AAC38142-DE30-41EE-B2D2-701C8F3D264C}"/>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5C0FE11B-B9C9-42D8-98CB-1EEB6AFF79C3}"/>
    <cellStyle name="Normal 9 2 2 3 5 2 3" xfId="12479" xr:uid="{11C8A359-863E-4086-B9F9-D1CCDF01765F}"/>
    <cellStyle name="Normal 9 2 2 3 5 3" xfId="6123" xr:uid="{00000000-0005-0000-0000-0000DD1E0000}"/>
    <cellStyle name="Normal 9 2 2 3 5 3 2" xfId="14552" xr:uid="{5835220A-24BB-4325-8626-F2DDB6C4A7F9}"/>
    <cellStyle name="Normal 9 2 2 3 5 4" xfId="10334" xr:uid="{45D09284-D365-4BB5-AE40-EA31A1DDFFDF}"/>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03EFF8FC-27BB-407D-89CC-5AEB20A0E0B8}"/>
    <cellStyle name="Normal 9 2 2 3 6 2 3" xfId="12892" xr:uid="{A37ED261-B125-4F49-997C-E73AC8AE9F50}"/>
    <cellStyle name="Normal 9 2 2 3 6 3" xfId="6536" xr:uid="{00000000-0005-0000-0000-0000E11E0000}"/>
    <cellStyle name="Normal 9 2 2 3 6 3 2" xfId="14965" xr:uid="{41105A94-C2FE-4144-BE08-3408109C8AAD}"/>
    <cellStyle name="Normal 9 2 2 3 6 4" xfId="10747" xr:uid="{FEEC1BD2-81AD-4B2A-99F8-C87D4FB231F1}"/>
    <cellStyle name="Normal 9 2 2 3 7" xfId="2664" xr:uid="{00000000-0005-0000-0000-0000E21E0000}"/>
    <cellStyle name="Normal 9 2 2 3 7 2" xfId="6949" xr:uid="{00000000-0005-0000-0000-0000E31E0000}"/>
    <cellStyle name="Normal 9 2 2 3 7 2 2" xfId="15378" xr:uid="{8BAB5113-1CD9-4CE2-A09E-9DB96784001A}"/>
    <cellStyle name="Normal 9 2 2 3 7 3" xfId="11160" xr:uid="{6C8E2884-F890-48B5-B3DF-D21A815307D5}"/>
    <cellStyle name="Normal 9 2 2 3 8" xfId="4884" xr:uid="{00000000-0005-0000-0000-0000E41E0000}"/>
    <cellStyle name="Normal 9 2 2 3 8 2" xfId="13313" xr:uid="{8087D642-394D-4583-9865-EA0804014378}"/>
    <cellStyle name="Normal 9 2 2 3 9" xfId="9095" xr:uid="{EFDFFB93-0638-44C2-B170-11709A8EF732}"/>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067C4E54-2C75-4107-8653-D315E599EBB1}"/>
    <cellStyle name="Normal 9 2 2 4 2 2 3" xfId="11655" xr:uid="{279DFC53-9DF1-44C3-A6EF-DD016193DC76}"/>
    <cellStyle name="Normal 9 2 2 4 2 3" xfId="5299" xr:uid="{00000000-0005-0000-0000-0000E91E0000}"/>
    <cellStyle name="Normal 9 2 2 4 2 3 2" xfId="13728" xr:uid="{D82C24BF-E016-4C4E-8FF3-9C9BFD3E9199}"/>
    <cellStyle name="Normal 9 2 2 4 2 4" xfId="9510" xr:uid="{36A7249C-FF82-46BA-BDA4-13A4BA9A2F6A}"/>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C5A200AB-C216-4832-AB9A-F323A525F57F}"/>
    <cellStyle name="Normal 9 2 2 4 3 2 3" xfId="12068" xr:uid="{EEAF6503-FB0D-4D46-A0B8-034D19E34117}"/>
    <cellStyle name="Normal 9 2 2 4 3 3" xfId="5712" xr:uid="{00000000-0005-0000-0000-0000ED1E0000}"/>
    <cellStyle name="Normal 9 2 2 4 3 3 2" xfId="14141" xr:uid="{DB18E875-DF51-474D-8DDC-EA78B3265940}"/>
    <cellStyle name="Normal 9 2 2 4 3 4" xfId="9923" xr:uid="{F9D45429-1070-4496-B491-15D7E356A75E}"/>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6398D7BA-BD51-4783-A65A-8DC47B10FECC}"/>
    <cellStyle name="Normal 9 2 2 4 4 2 3" xfId="12481" xr:uid="{657E696B-3362-4903-8460-410974B59685}"/>
    <cellStyle name="Normal 9 2 2 4 4 3" xfId="6125" xr:uid="{00000000-0005-0000-0000-0000F11E0000}"/>
    <cellStyle name="Normal 9 2 2 4 4 3 2" xfId="14554" xr:uid="{2A6524EF-C5BA-4C15-926C-0CF21BB7EECF}"/>
    <cellStyle name="Normal 9 2 2 4 4 4" xfId="10336" xr:uid="{9621BBD9-8BBA-42DE-AF0F-232E445C1E80}"/>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28366B7D-FDED-4F15-B996-5323D63764F8}"/>
    <cellStyle name="Normal 9 2 2 4 5 2 3" xfId="12894" xr:uid="{6A8742DA-D072-4BEB-8D49-568F68D261A3}"/>
    <cellStyle name="Normal 9 2 2 4 5 3" xfId="6538" xr:uid="{00000000-0005-0000-0000-0000F51E0000}"/>
    <cellStyle name="Normal 9 2 2 4 5 3 2" xfId="14967" xr:uid="{D3242E5B-BC8D-4A59-81FB-72B58683079F}"/>
    <cellStyle name="Normal 9 2 2 4 5 4" xfId="10749" xr:uid="{41C0353B-9EDC-4E83-9058-42ACBA2F1831}"/>
    <cellStyle name="Normal 9 2 2 4 6" xfId="2666" xr:uid="{00000000-0005-0000-0000-0000F61E0000}"/>
    <cellStyle name="Normal 9 2 2 4 6 2" xfId="6951" xr:uid="{00000000-0005-0000-0000-0000F71E0000}"/>
    <cellStyle name="Normal 9 2 2 4 6 2 2" xfId="15380" xr:uid="{2BE7CAE9-0357-4BD1-82A7-D60B5E3671CF}"/>
    <cellStyle name="Normal 9 2 2 4 6 3" xfId="11162" xr:uid="{55BEA09D-CC53-47D9-9166-2A2F213D05B3}"/>
    <cellStyle name="Normal 9 2 2 4 7" xfId="4886" xr:uid="{00000000-0005-0000-0000-0000F81E0000}"/>
    <cellStyle name="Normal 9 2 2 4 7 2" xfId="13315" xr:uid="{751633A2-3B5F-4D81-B0BD-56242EF0A65F}"/>
    <cellStyle name="Normal 9 2 2 4 8" xfId="9097" xr:uid="{73E74354-E466-4B67-899D-BE55A383A7DB}"/>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3E31001D-D200-46B4-88E3-E682AFEEA5F5}"/>
    <cellStyle name="Normal 9 2 2 5 2 3" xfId="11648" xr:uid="{6A5AC94E-4F69-457E-BB3A-E68175B1D447}"/>
    <cellStyle name="Normal 9 2 2 5 3" xfId="5292" xr:uid="{00000000-0005-0000-0000-0000FC1E0000}"/>
    <cellStyle name="Normal 9 2 2 5 3 2" xfId="13721" xr:uid="{5BF981EA-9E0D-4BA7-A01A-C0C327B79567}"/>
    <cellStyle name="Normal 9 2 2 5 4" xfId="9503" xr:uid="{73311165-9B76-449D-8060-16E7AA85F75A}"/>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60CEEA39-9531-4598-AF83-FB0A16597722}"/>
    <cellStyle name="Normal 9 2 2 6 2 3" xfId="12061" xr:uid="{E5800600-5893-4B4E-A9A8-BD809328FB29}"/>
    <cellStyle name="Normal 9 2 2 6 3" xfId="5705" xr:uid="{00000000-0005-0000-0000-0000001F0000}"/>
    <cellStyle name="Normal 9 2 2 6 3 2" xfId="14134" xr:uid="{777594FB-1E06-44B4-9F7A-01247DFD819C}"/>
    <cellStyle name="Normal 9 2 2 6 4" xfId="9916" xr:uid="{F0F8552E-7107-4746-8B72-DC300122220C}"/>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CB144252-A72F-44A1-98C6-222735143891}"/>
    <cellStyle name="Normal 9 2 2 7 2 3" xfId="12474" xr:uid="{CD57F68B-D4F8-4D98-983D-0C4A8F5B2EA9}"/>
    <cellStyle name="Normal 9 2 2 7 3" xfId="6118" xr:uid="{00000000-0005-0000-0000-0000041F0000}"/>
    <cellStyle name="Normal 9 2 2 7 3 2" xfId="14547" xr:uid="{5CD6CDDE-17FF-477D-866E-3CD406273318}"/>
    <cellStyle name="Normal 9 2 2 7 4" xfId="10329" xr:uid="{D3F3138C-B92A-4381-BBE7-45809F0F4C32}"/>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1A0299CC-1013-419A-AC39-25DBDD86924A}"/>
    <cellStyle name="Normal 9 2 2 8 2 3" xfId="12887" xr:uid="{5548B1D3-5B85-4359-A345-F11C96B1D03B}"/>
    <cellStyle name="Normal 9 2 2 8 3" xfId="6531" xr:uid="{00000000-0005-0000-0000-0000081F0000}"/>
    <cellStyle name="Normal 9 2 2 8 3 2" xfId="14960" xr:uid="{855DF1B9-4FF1-4BF7-A20F-1657A2D79B62}"/>
    <cellStyle name="Normal 9 2 2 8 4" xfId="10742" xr:uid="{E3249FDA-A772-48C3-9849-A8A0205D82CE}"/>
    <cellStyle name="Normal 9 2 2 9" xfId="2659" xr:uid="{00000000-0005-0000-0000-0000091F0000}"/>
    <cellStyle name="Normal 9 2 2 9 2" xfId="6944" xr:uid="{00000000-0005-0000-0000-00000A1F0000}"/>
    <cellStyle name="Normal 9 2 2 9 2 2" xfId="15373" xr:uid="{5D0BA35F-1323-4165-8277-1E45BCD02895}"/>
    <cellStyle name="Normal 9 2 2 9 3" xfId="11155" xr:uid="{305E5215-97BF-4697-9E7A-817390D0DF3F}"/>
    <cellStyle name="Normal 9 2 3" xfId="520" xr:uid="{00000000-0005-0000-0000-00000B1F0000}"/>
    <cellStyle name="Normal 9 2 3 10" xfId="9098" xr:uid="{5715EC7C-3AD2-4CB7-B28F-ACBEEE7E95BD}"/>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7C4BE56B-C452-4F51-95C7-E3905290E344}"/>
    <cellStyle name="Normal 9 2 3 2 2 2 2 3" xfId="11658" xr:uid="{76C8BD7A-EAFD-4D8F-BBA9-2933510A3B85}"/>
    <cellStyle name="Normal 9 2 3 2 2 2 3" xfId="5302" xr:uid="{00000000-0005-0000-0000-0000111F0000}"/>
    <cellStyle name="Normal 9 2 3 2 2 2 3 2" xfId="13731" xr:uid="{115F99C7-0E7D-45F7-98AA-3380F76A5F8B}"/>
    <cellStyle name="Normal 9 2 3 2 2 2 4" xfId="9513" xr:uid="{C53E7E35-BD7F-4F2A-8FE4-FD59053EF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6288A32E-5E2A-4A29-BE56-859C31DA98BE}"/>
    <cellStyle name="Normal 9 2 3 2 2 3 2 3" xfId="12071" xr:uid="{15CEC4D8-F8E2-4EBB-85EF-41EFFDDBB416}"/>
    <cellStyle name="Normal 9 2 3 2 2 3 3" xfId="5715" xr:uid="{00000000-0005-0000-0000-0000151F0000}"/>
    <cellStyle name="Normal 9 2 3 2 2 3 3 2" xfId="14144" xr:uid="{5573A076-695B-41BD-867F-362A423115A2}"/>
    <cellStyle name="Normal 9 2 3 2 2 3 4" xfId="9926" xr:uid="{76C4EC68-8431-457A-B620-9057DF93588C}"/>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2CE8E11E-0657-421E-B7A7-2E75CD26D875}"/>
    <cellStyle name="Normal 9 2 3 2 2 4 2 3" xfId="12484" xr:uid="{0C31B707-CFFD-4CB7-AB4E-A97C96419D0F}"/>
    <cellStyle name="Normal 9 2 3 2 2 4 3" xfId="6128" xr:uid="{00000000-0005-0000-0000-0000191F0000}"/>
    <cellStyle name="Normal 9 2 3 2 2 4 3 2" xfId="14557" xr:uid="{890173F0-F040-4C6B-8A13-4788DAE20DF0}"/>
    <cellStyle name="Normal 9 2 3 2 2 4 4" xfId="10339" xr:uid="{E56733CA-A0BB-40AA-AEED-91D71421404B}"/>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EB939B33-36C7-4798-A30A-021AFEF372CD}"/>
    <cellStyle name="Normal 9 2 3 2 2 5 2 3" xfId="12897" xr:uid="{A22BE6C0-44A5-4539-90FD-3B094EE9A2E7}"/>
    <cellStyle name="Normal 9 2 3 2 2 5 3" xfId="6541" xr:uid="{00000000-0005-0000-0000-00001D1F0000}"/>
    <cellStyle name="Normal 9 2 3 2 2 5 3 2" xfId="14970" xr:uid="{B60AB2CF-E375-4BAB-B9BE-184E869F6B0F}"/>
    <cellStyle name="Normal 9 2 3 2 2 5 4" xfId="10752" xr:uid="{1FA7759A-ACE1-46D6-A300-1E917BD38CA7}"/>
    <cellStyle name="Normal 9 2 3 2 2 6" xfId="2669" xr:uid="{00000000-0005-0000-0000-00001E1F0000}"/>
    <cellStyle name="Normal 9 2 3 2 2 6 2" xfId="6954" xr:uid="{00000000-0005-0000-0000-00001F1F0000}"/>
    <cellStyle name="Normal 9 2 3 2 2 6 2 2" xfId="15383" xr:uid="{CD4A1FAC-AC93-4CE9-B4D8-3BBEF7661DE4}"/>
    <cellStyle name="Normal 9 2 3 2 2 6 3" xfId="11165" xr:uid="{AAF68869-2918-478E-9036-8E6BA13B8742}"/>
    <cellStyle name="Normal 9 2 3 2 2 7" xfId="4889" xr:uid="{00000000-0005-0000-0000-0000201F0000}"/>
    <cellStyle name="Normal 9 2 3 2 2 7 2" xfId="13318" xr:uid="{18376CDC-B6BE-4012-B2EF-A21D699352B3}"/>
    <cellStyle name="Normal 9 2 3 2 2 8" xfId="9100" xr:uid="{84F1E714-A53F-4C83-AF6B-52339930E4A9}"/>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F1A00A59-4DCA-4749-9B1D-31CA43E5E5D9}"/>
    <cellStyle name="Normal 9 2 3 2 3 2 3" xfId="11657" xr:uid="{65957D02-7589-4AB5-8584-D3EF9E4EBC48}"/>
    <cellStyle name="Normal 9 2 3 2 3 3" xfId="5301" xr:uid="{00000000-0005-0000-0000-0000241F0000}"/>
    <cellStyle name="Normal 9 2 3 2 3 3 2" xfId="13730" xr:uid="{8711FC14-7D6A-4672-9286-371AEE4AE019}"/>
    <cellStyle name="Normal 9 2 3 2 3 4" xfId="9512" xr:uid="{F451C125-4D6C-408D-8750-F121E47FA5E1}"/>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C8681E8E-5E60-47B2-BB26-1030DC026FF5}"/>
    <cellStyle name="Normal 9 2 3 2 4 2 3" xfId="12070" xr:uid="{60C78DE7-7165-4EAE-8697-2BE10DF86CA0}"/>
    <cellStyle name="Normal 9 2 3 2 4 3" xfId="5714" xr:uid="{00000000-0005-0000-0000-0000281F0000}"/>
    <cellStyle name="Normal 9 2 3 2 4 3 2" xfId="14143" xr:uid="{996A01BF-C3A5-4475-8A75-20A7AFBC119C}"/>
    <cellStyle name="Normal 9 2 3 2 4 4" xfId="9925" xr:uid="{13682434-3B23-49E8-A3FC-7A164AFC8C63}"/>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47454FFE-A989-4742-AD91-2B0A315D4823}"/>
    <cellStyle name="Normal 9 2 3 2 5 2 3" xfId="12483" xr:uid="{3A20158A-96B5-44DB-98B3-82ECA42A59D5}"/>
    <cellStyle name="Normal 9 2 3 2 5 3" xfId="6127" xr:uid="{00000000-0005-0000-0000-00002C1F0000}"/>
    <cellStyle name="Normal 9 2 3 2 5 3 2" xfId="14556" xr:uid="{E2717FE7-6896-4B33-9131-0DD40DCB8273}"/>
    <cellStyle name="Normal 9 2 3 2 5 4" xfId="10338" xr:uid="{B6F83081-2F49-425A-9E54-A4164A470B12}"/>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E6CB92E1-1D62-44CA-A934-7002E148AA33}"/>
    <cellStyle name="Normal 9 2 3 2 6 2 3" xfId="12896" xr:uid="{BB9A2A5F-F870-43F8-ADC7-66F0D0A47909}"/>
    <cellStyle name="Normal 9 2 3 2 6 3" xfId="6540" xr:uid="{00000000-0005-0000-0000-0000301F0000}"/>
    <cellStyle name="Normal 9 2 3 2 6 3 2" xfId="14969" xr:uid="{B199BB45-34F8-4318-94B2-E1431F0DE4FC}"/>
    <cellStyle name="Normal 9 2 3 2 6 4" xfId="10751" xr:uid="{21AC62A8-1BF3-438A-95E6-DCBB0209F83E}"/>
    <cellStyle name="Normal 9 2 3 2 7" xfId="2668" xr:uid="{00000000-0005-0000-0000-0000311F0000}"/>
    <cellStyle name="Normal 9 2 3 2 7 2" xfId="6953" xr:uid="{00000000-0005-0000-0000-0000321F0000}"/>
    <cellStyle name="Normal 9 2 3 2 7 2 2" xfId="15382" xr:uid="{DA18771F-AF6B-455B-AFD7-8AD0683A91D5}"/>
    <cellStyle name="Normal 9 2 3 2 7 3" xfId="11164" xr:uid="{975DA06F-D887-4629-92B4-0096282D3804}"/>
    <cellStyle name="Normal 9 2 3 2 8" xfId="4888" xr:uid="{00000000-0005-0000-0000-0000331F0000}"/>
    <cellStyle name="Normal 9 2 3 2 8 2" xfId="13317" xr:uid="{D7B80DA1-8FD0-4862-98EF-AEBF8886E127}"/>
    <cellStyle name="Normal 9 2 3 2 9" xfId="9099" xr:uid="{B994622A-5931-4CC5-B2DB-F5EB29FAEF8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D24FB935-15D4-47A1-B35A-6D7DBCD53D8D}"/>
    <cellStyle name="Normal 9 2 3 3 2 2 3" xfId="11659" xr:uid="{FB084E9E-A78C-4D86-BEB2-337A99EEFD7F}"/>
    <cellStyle name="Normal 9 2 3 3 2 3" xfId="5303" xr:uid="{00000000-0005-0000-0000-0000381F0000}"/>
    <cellStyle name="Normal 9 2 3 3 2 3 2" xfId="13732" xr:uid="{F4A2B98E-80E9-4614-B6AC-F244F767394A}"/>
    <cellStyle name="Normal 9 2 3 3 2 4" xfId="9514" xr:uid="{370C1A53-E85D-445A-9E48-9651D1CFF4C5}"/>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CF964A55-71B0-4891-A808-E8B04D8B81BE}"/>
    <cellStyle name="Normal 9 2 3 3 3 2 3" xfId="12072" xr:uid="{1E006446-1DCE-448A-82B7-09AF9575A0CF}"/>
    <cellStyle name="Normal 9 2 3 3 3 3" xfId="5716" xr:uid="{00000000-0005-0000-0000-00003C1F0000}"/>
    <cellStyle name="Normal 9 2 3 3 3 3 2" xfId="14145" xr:uid="{86E547A2-503F-4BEE-921E-BE4DC9E15ECA}"/>
    <cellStyle name="Normal 9 2 3 3 3 4" xfId="9927" xr:uid="{F214CB7C-21DB-4EBA-9D88-342876E2D968}"/>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4134387C-50A0-464E-BB2C-3EB8B2697C69}"/>
    <cellStyle name="Normal 9 2 3 3 4 2 3" xfId="12485" xr:uid="{4BAA1425-A8E2-49B7-9FE5-CEECAFF44EE7}"/>
    <cellStyle name="Normal 9 2 3 3 4 3" xfId="6129" xr:uid="{00000000-0005-0000-0000-0000401F0000}"/>
    <cellStyle name="Normal 9 2 3 3 4 3 2" xfId="14558" xr:uid="{4EA44470-587F-48D0-9C5A-2629E858840A}"/>
    <cellStyle name="Normal 9 2 3 3 4 4" xfId="10340" xr:uid="{2595C013-52AE-4EA8-BFDB-0A5370DD90CE}"/>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FE5E25D8-D188-4144-A25E-01CD19E0AB7D}"/>
    <cellStyle name="Normal 9 2 3 3 5 2 3" xfId="12898" xr:uid="{7E854F63-732B-4BD7-A33F-4F01097E9BB4}"/>
    <cellStyle name="Normal 9 2 3 3 5 3" xfId="6542" xr:uid="{00000000-0005-0000-0000-0000441F0000}"/>
    <cellStyle name="Normal 9 2 3 3 5 3 2" xfId="14971" xr:uid="{4027E643-52B6-45EA-AE67-B4DD142848BD}"/>
    <cellStyle name="Normal 9 2 3 3 5 4" xfId="10753" xr:uid="{70EC3DAB-B1B8-4E78-BF3A-1206EC821A97}"/>
    <cellStyle name="Normal 9 2 3 3 6" xfId="2670" xr:uid="{00000000-0005-0000-0000-0000451F0000}"/>
    <cellStyle name="Normal 9 2 3 3 6 2" xfId="6955" xr:uid="{00000000-0005-0000-0000-0000461F0000}"/>
    <cellStyle name="Normal 9 2 3 3 6 2 2" xfId="15384" xr:uid="{9239983F-3A07-4931-8BB9-4B59616E1D1E}"/>
    <cellStyle name="Normal 9 2 3 3 6 3" xfId="11166" xr:uid="{10DEF9AE-5094-43FB-B021-0DF803C6C610}"/>
    <cellStyle name="Normal 9 2 3 3 7" xfId="4890" xr:uid="{00000000-0005-0000-0000-0000471F0000}"/>
    <cellStyle name="Normal 9 2 3 3 7 2" xfId="13319" xr:uid="{15AFC827-338A-4EFB-96EE-37C2E71786AB}"/>
    <cellStyle name="Normal 9 2 3 3 8" xfId="9101" xr:uid="{41A4A814-0676-4D9A-A092-29736E3F85E4}"/>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E77D1F45-61B4-465D-8E7D-83F96BEE4147}"/>
    <cellStyle name="Normal 9 2 3 4 2 3" xfId="11656" xr:uid="{565F6C1C-093C-4F98-BD25-ED82BF60CA9E}"/>
    <cellStyle name="Normal 9 2 3 4 3" xfId="5300" xr:uid="{00000000-0005-0000-0000-00004B1F0000}"/>
    <cellStyle name="Normal 9 2 3 4 3 2" xfId="13729" xr:uid="{12342D43-C2F0-4AED-A7FC-5CE7BCAADB19}"/>
    <cellStyle name="Normal 9 2 3 4 4" xfId="9511" xr:uid="{A85EF374-B4A8-4B2E-A70A-E87D48DD95C6}"/>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F1FEFEDA-5D1C-488F-89D5-F8D400130BD7}"/>
    <cellStyle name="Normal 9 2 3 5 2 3" xfId="12069" xr:uid="{ED162992-DA18-471D-9F83-F4B5A2CCEFAF}"/>
    <cellStyle name="Normal 9 2 3 5 3" xfId="5713" xr:uid="{00000000-0005-0000-0000-00004F1F0000}"/>
    <cellStyle name="Normal 9 2 3 5 3 2" xfId="14142" xr:uid="{C4820D6A-B7D4-45CF-A639-D72D6B9D58D3}"/>
    <cellStyle name="Normal 9 2 3 5 4" xfId="9924" xr:uid="{A61A1293-8AAC-43F5-951D-7A190C145956}"/>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439F34F7-91D8-4498-9C08-DD5425E018AA}"/>
    <cellStyle name="Normal 9 2 3 6 2 3" xfId="12482" xr:uid="{AF30807B-FFA1-495C-ABEF-2A1E93F56DD5}"/>
    <cellStyle name="Normal 9 2 3 6 3" xfId="6126" xr:uid="{00000000-0005-0000-0000-0000531F0000}"/>
    <cellStyle name="Normal 9 2 3 6 3 2" xfId="14555" xr:uid="{74076F3F-E633-4CF9-97F7-67AA55627508}"/>
    <cellStyle name="Normal 9 2 3 6 4" xfId="10337" xr:uid="{B4EF47A0-C629-4D56-A596-DC0FA4CEE891}"/>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9AE5F441-2FEF-4A73-8785-5FE6EB47A762}"/>
    <cellStyle name="Normal 9 2 3 7 2 3" xfId="12895" xr:uid="{F3CA28F0-0740-415F-A2E9-188AD3EC3E68}"/>
    <cellStyle name="Normal 9 2 3 7 3" xfId="6539" xr:uid="{00000000-0005-0000-0000-0000571F0000}"/>
    <cellStyle name="Normal 9 2 3 7 3 2" xfId="14968" xr:uid="{3895301F-A4E9-4479-A4B4-68188814FBB4}"/>
    <cellStyle name="Normal 9 2 3 7 4" xfId="10750" xr:uid="{01B27E99-7855-4C99-A6D1-9BC315490CCF}"/>
    <cellStyle name="Normal 9 2 3 8" xfId="2667" xr:uid="{00000000-0005-0000-0000-0000581F0000}"/>
    <cellStyle name="Normal 9 2 3 8 2" xfId="6952" xr:uid="{00000000-0005-0000-0000-0000591F0000}"/>
    <cellStyle name="Normal 9 2 3 8 2 2" xfId="15381" xr:uid="{C92FFCB2-B667-4BB0-9A4D-21637BCC0248}"/>
    <cellStyle name="Normal 9 2 3 8 3" xfId="11163" xr:uid="{6FA1FF39-4E71-431E-845D-D4288D74AC44}"/>
    <cellStyle name="Normal 9 2 3 9" xfId="4887" xr:uid="{00000000-0005-0000-0000-00005A1F0000}"/>
    <cellStyle name="Normal 9 2 3 9 2" xfId="13316" xr:uid="{75829F47-B3E4-40A1-9C91-59CD02609CB3}"/>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4518D1AF-0503-4C58-8955-E0E2A3200899}"/>
    <cellStyle name="Normal 9 2 4 2 2 2 3" xfId="11661" xr:uid="{7F9FC5D0-6EA6-43A9-AE76-58AB16B5ECC6}"/>
    <cellStyle name="Normal 9 2 4 2 2 3" xfId="5305" xr:uid="{00000000-0005-0000-0000-0000601F0000}"/>
    <cellStyle name="Normal 9 2 4 2 2 3 2" xfId="13734" xr:uid="{A6C46E78-5AB5-40CE-B753-98CE058C8BA5}"/>
    <cellStyle name="Normal 9 2 4 2 2 4" xfId="9516" xr:uid="{408091D5-DB6D-405D-87AA-FABEDC822608}"/>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D0188155-9F0D-4775-8280-F2088689E42D}"/>
    <cellStyle name="Normal 9 2 4 2 3 2 3" xfId="12074" xr:uid="{8B74BB2C-75B6-4CB5-BE2D-299D8F9B7EED}"/>
    <cellStyle name="Normal 9 2 4 2 3 3" xfId="5718" xr:uid="{00000000-0005-0000-0000-0000641F0000}"/>
    <cellStyle name="Normal 9 2 4 2 3 3 2" xfId="14147" xr:uid="{BF07DA09-3F24-4296-B7C5-29D3D1AF1A0F}"/>
    <cellStyle name="Normal 9 2 4 2 3 4" xfId="9929" xr:uid="{54093577-148E-44AC-8E98-424E8E1A93EC}"/>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8EC11632-B1ED-4077-86AD-014F5F2335DF}"/>
    <cellStyle name="Normal 9 2 4 2 4 2 3" xfId="12487" xr:uid="{DD3FCFBD-A781-4EDC-8CF1-B44C9D0E2ADC}"/>
    <cellStyle name="Normal 9 2 4 2 4 3" xfId="6131" xr:uid="{00000000-0005-0000-0000-0000681F0000}"/>
    <cellStyle name="Normal 9 2 4 2 4 3 2" xfId="14560" xr:uid="{4D8D0BDE-40BF-4667-AF76-E57B5B5243E3}"/>
    <cellStyle name="Normal 9 2 4 2 4 4" xfId="10342" xr:uid="{0A228822-90DC-4148-9EEE-58774F4E6A7A}"/>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66F85327-E145-4A3C-860C-3A4E118DC3E5}"/>
    <cellStyle name="Normal 9 2 4 2 5 2 3" xfId="12900" xr:uid="{0EC877D5-17E7-4E0E-8294-7F1F1A37C78D}"/>
    <cellStyle name="Normal 9 2 4 2 5 3" xfId="6544" xr:uid="{00000000-0005-0000-0000-00006C1F0000}"/>
    <cellStyle name="Normal 9 2 4 2 5 3 2" xfId="14973" xr:uid="{4F497F2B-7D12-4086-82CB-09D9F3662B36}"/>
    <cellStyle name="Normal 9 2 4 2 5 4" xfId="10755" xr:uid="{9C43CB28-1475-4ED3-8086-18B34194C0D0}"/>
    <cellStyle name="Normal 9 2 4 2 6" xfId="2672" xr:uid="{00000000-0005-0000-0000-00006D1F0000}"/>
    <cellStyle name="Normal 9 2 4 2 6 2" xfId="6957" xr:uid="{00000000-0005-0000-0000-00006E1F0000}"/>
    <cellStyle name="Normal 9 2 4 2 6 2 2" xfId="15386" xr:uid="{8A520C80-D020-4FBA-B245-178ACCE00F58}"/>
    <cellStyle name="Normal 9 2 4 2 6 3" xfId="11168" xr:uid="{46C28C9F-216D-47A6-A14A-293C854F44AF}"/>
    <cellStyle name="Normal 9 2 4 2 7" xfId="4892" xr:uid="{00000000-0005-0000-0000-00006F1F0000}"/>
    <cellStyle name="Normal 9 2 4 2 7 2" xfId="13321" xr:uid="{BB49D4CC-FD69-45BF-8C3F-961B1E03EAC1}"/>
    <cellStyle name="Normal 9 2 4 2 8" xfId="9103" xr:uid="{102800F9-73DD-4F73-B698-6A9BB3E45A30}"/>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83AE916D-B244-4D57-A2CD-F1328A3EE858}"/>
    <cellStyle name="Normal 9 2 4 3 2 3" xfId="11660" xr:uid="{340A0724-4F0E-428A-8337-6CC7647BC30E}"/>
    <cellStyle name="Normal 9 2 4 3 3" xfId="5304" xr:uid="{00000000-0005-0000-0000-0000731F0000}"/>
    <cellStyle name="Normal 9 2 4 3 3 2" xfId="13733" xr:uid="{917F97EF-0841-49C8-92F4-42A1D3A12E2C}"/>
    <cellStyle name="Normal 9 2 4 3 4" xfId="9515" xr:uid="{7BD033D9-7875-40A3-A2D5-58A6585EC22B}"/>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0EA6B789-5285-4250-AA9F-7B550E973CB0}"/>
    <cellStyle name="Normal 9 2 4 4 2 3" xfId="12073" xr:uid="{893F37D4-D543-40FC-A66C-141615137060}"/>
    <cellStyle name="Normal 9 2 4 4 3" xfId="5717" xr:uid="{00000000-0005-0000-0000-0000771F0000}"/>
    <cellStyle name="Normal 9 2 4 4 3 2" xfId="14146" xr:uid="{2CF3A91E-5EED-43C4-8A60-F1D1EFD4ECBF}"/>
    <cellStyle name="Normal 9 2 4 4 4" xfId="9928" xr:uid="{C63528E6-1CC2-4E36-91A6-836259F2B9EC}"/>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64008B1A-5314-4303-B013-8AC87A30260F}"/>
    <cellStyle name="Normal 9 2 4 5 2 3" xfId="12486" xr:uid="{7A4B59F0-ED07-42A7-84DC-956CA746C57A}"/>
    <cellStyle name="Normal 9 2 4 5 3" xfId="6130" xr:uid="{00000000-0005-0000-0000-00007B1F0000}"/>
    <cellStyle name="Normal 9 2 4 5 3 2" xfId="14559" xr:uid="{24A47878-691B-4F59-8260-81F54F0FB9A8}"/>
    <cellStyle name="Normal 9 2 4 5 4" xfId="10341" xr:uid="{14858FE3-5332-40F0-89D7-0186846259E8}"/>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CCD697CD-9EAD-40B6-ABD6-B660FF1DA465}"/>
    <cellStyle name="Normal 9 2 4 6 2 3" xfId="12899" xr:uid="{282C4DD8-E23A-4BB5-A768-3C63819F9D00}"/>
    <cellStyle name="Normal 9 2 4 6 3" xfId="6543" xr:uid="{00000000-0005-0000-0000-00007F1F0000}"/>
    <cellStyle name="Normal 9 2 4 6 3 2" xfId="14972" xr:uid="{C8AC9990-80EB-4777-9816-9EA68144C115}"/>
    <cellStyle name="Normal 9 2 4 6 4" xfId="10754" xr:uid="{20A96217-6F6B-4039-89FF-0D0ACE6CFD3E}"/>
    <cellStyle name="Normal 9 2 4 7" xfId="2671" xr:uid="{00000000-0005-0000-0000-0000801F0000}"/>
    <cellStyle name="Normal 9 2 4 7 2" xfId="6956" xr:uid="{00000000-0005-0000-0000-0000811F0000}"/>
    <cellStyle name="Normal 9 2 4 7 2 2" xfId="15385" xr:uid="{CF7A81DF-F574-4E90-8E57-559A7FE398C9}"/>
    <cellStyle name="Normal 9 2 4 7 3" xfId="11167" xr:uid="{A2728421-9779-4562-A30C-4671758389FA}"/>
    <cellStyle name="Normal 9 2 4 8" xfId="4891" xr:uid="{00000000-0005-0000-0000-0000821F0000}"/>
    <cellStyle name="Normal 9 2 4 8 2" xfId="13320" xr:uid="{1641D277-54B6-4C57-90AE-66D249EDFABA}"/>
    <cellStyle name="Normal 9 2 4 9" xfId="9102" xr:uid="{7F3B3C31-5527-47EC-AA31-34B4762BF205}"/>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DBC00E4B-4F91-4BB1-A344-197A2EC1A591}"/>
    <cellStyle name="Normal 9 2 5 2 2 3" xfId="11662" xr:uid="{2D8D397D-4271-4CC1-B69B-16F45FBEEC1D}"/>
    <cellStyle name="Normal 9 2 5 2 3" xfId="5306" xr:uid="{00000000-0005-0000-0000-0000871F0000}"/>
    <cellStyle name="Normal 9 2 5 2 3 2" xfId="13735" xr:uid="{0FE79D7C-F69E-4C1D-8ABC-14B5859CEA58}"/>
    <cellStyle name="Normal 9 2 5 2 4" xfId="9517" xr:uid="{04EC6423-D640-4330-91E7-22939BEFF427}"/>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469044D8-C012-4D3E-B624-5303D007A159}"/>
    <cellStyle name="Normal 9 2 5 3 2 3" xfId="12075" xr:uid="{7B45A4D6-D8E2-4905-B4CC-A36D078371D6}"/>
    <cellStyle name="Normal 9 2 5 3 3" xfId="5719" xr:uid="{00000000-0005-0000-0000-00008B1F0000}"/>
    <cellStyle name="Normal 9 2 5 3 3 2" xfId="14148" xr:uid="{8FA8B2B6-4FF9-4866-80F5-A17B6E337C7A}"/>
    <cellStyle name="Normal 9 2 5 3 4" xfId="9930" xr:uid="{C70F6A0B-BB09-498D-AF77-636076F509D6}"/>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BBE51FD7-611E-4A73-BEFD-6E5B75E632D7}"/>
    <cellStyle name="Normal 9 2 5 4 2 3" xfId="12488" xr:uid="{4BC54B09-D700-4E1C-B1E0-A52506FA5470}"/>
    <cellStyle name="Normal 9 2 5 4 3" xfId="6132" xr:uid="{00000000-0005-0000-0000-00008F1F0000}"/>
    <cellStyle name="Normal 9 2 5 4 3 2" xfId="14561" xr:uid="{E7A36B9E-8A8A-4BE5-B490-0700B10332AC}"/>
    <cellStyle name="Normal 9 2 5 4 4" xfId="10343" xr:uid="{48AB7118-E8AA-4933-BC55-C3BABEC672E2}"/>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EFCCA8F8-BDAC-457B-AE85-58265C36E9DD}"/>
    <cellStyle name="Normal 9 2 5 5 2 3" xfId="12901" xr:uid="{83911AAD-74C5-4B61-AD5E-ADDD3B7E8510}"/>
    <cellStyle name="Normal 9 2 5 5 3" xfId="6545" xr:uid="{00000000-0005-0000-0000-0000931F0000}"/>
    <cellStyle name="Normal 9 2 5 5 3 2" xfId="14974" xr:uid="{FE586B2D-2634-4A75-8C37-37B9A77F4E72}"/>
    <cellStyle name="Normal 9 2 5 5 4" xfId="10756" xr:uid="{0A33A75B-8A77-4D5D-BE07-1E9F27210C99}"/>
    <cellStyle name="Normal 9 2 5 6" xfId="2673" xr:uid="{00000000-0005-0000-0000-0000941F0000}"/>
    <cellStyle name="Normal 9 2 5 6 2" xfId="6958" xr:uid="{00000000-0005-0000-0000-0000951F0000}"/>
    <cellStyle name="Normal 9 2 5 6 2 2" xfId="15387" xr:uid="{DBC34659-E142-4F6E-B571-B78422FBE8E1}"/>
    <cellStyle name="Normal 9 2 5 6 3" xfId="11169" xr:uid="{DE52F4C5-9FC2-46CC-8C84-14AE3A96E245}"/>
    <cellStyle name="Normal 9 2 5 7" xfId="4893" xr:uid="{00000000-0005-0000-0000-0000961F0000}"/>
    <cellStyle name="Normal 9 2 5 7 2" xfId="13322" xr:uid="{D42811A1-8CFE-4351-BE16-98CB77758629}"/>
    <cellStyle name="Normal 9 2 5 8" xfId="9104" xr:uid="{1FB4C9F5-F5AC-43EF-92C3-77AB8927956C}"/>
    <cellStyle name="Normal 9 2 6" xfId="979" xr:uid="{00000000-0005-0000-0000-0000971F0000}"/>
    <cellStyle name="Normal 9 2 6 2" xfId="3212" xr:uid="{00000000-0005-0000-0000-0000981F0000}"/>
    <cellStyle name="Normal 9 2 6 2 2" xfId="7436" xr:uid="{00000000-0005-0000-0000-0000991F0000}"/>
    <cellStyle name="Normal 9 2 6 2 2 2" xfId="15865" xr:uid="{033CFA60-AB7C-4A9E-98DD-A44C0D38386C}"/>
    <cellStyle name="Normal 9 2 6 2 3" xfId="11647" xr:uid="{DBF305A8-A32B-4599-A295-D4AC4117676A}"/>
    <cellStyle name="Normal 9 2 6 3" xfId="5291" xr:uid="{00000000-0005-0000-0000-00009A1F0000}"/>
    <cellStyle name="Normal 9 2 6 3 2" xfId="13720" xr:uid="{5A02D695-475F-4DA1-86A1-8E9C33BCB884}"/>
    <cellStyle name="Normal 9 2 6 4" xfId="9502" xr:uid="{0A72B09F-200E-43E0-84F9-F7B97CEFB9B2}"/>
    <cellStyle name="Normal 9 2 7" xfId="1395" xr:uid="{00000000-0005-0000-0000-00009B1F0000}"/>
    <cellStyle name="Normal 9 2 7 2" xfId="3625" xr:uid="{00000000-0005-0000-0000-00009C1F0000}"/>
    <cellStyle name="Normal 9 2 7 2 2" xfId="7849" xr:uid="{00000000-0005-0000-0000-00009D1F0000}"/>
    <cellStyle name="Normal 9 2 7 2 2 2" xfId="16278" xr:uid="{7C0C90AC-4E85-4BFD-9BC6-B9EFBD37DC06}"/>
    <cellStyle name="Normal 9 2 7 2 3" xfId="12060" xr:uid="{B1C97619-8434-4222-8584-A7D7D5BA5CB5}"/>
    <cellStyle name="Normal 9 2 7 3" xfId="5704" xr:uid="{00000000-0005-0000-0000-00009E1F0000}"/>
    <cellStyle name="Normal 9 2 7 3 2" xfId="14133" xr:uid="{DEE7CC3D-C6DA-4964-B944-E1DEB6EE12FE}"/>
    <cellStyle name="Normal 9 2 7 4" xfId="9915" xr:uid="{D59FE8EE-06AB-47C3-9F99-BD37ABB0CAD7}"/>
    <cellStyle name="Normal 9 2 8" xfId="1808" xr:uid="{00000000-0005-0000-0000-00009F1F0000}"/>
    <cellStyle name="Normal 9 2 8 2" xfId="4038" xr:uid="{00000000-0005-0000-0000-0000A01F0000}"/>
    <cellStyle name="Normal 9 2 8 2 2" xfId="8262" xr:uid="{00000000-0005-0000-0000-0000A11F0000}"/>
    <cellStyle name="Normal 9 2 8 2 2 2" xfId="16691" xr:uid="{CEDC79EE-416B-436E-821E-DA92768E3FAA}"/>
    <cellStyle name="Normal 9 2 8 2 3" xfId="12473" xr:uid="{F0291F63-9643-416A-A209-16BF53D61B79}"/>
    <cellStyle name="Normal 9 2 8 3" xfId="6117" xr:uid="{00000000-0005-0000-0000-0000A21F0000}"/>
    <cellStyle name="Normal 9 2 8 3 2" xfId="14546" xr:uid="{C16CBC22-05C2-4A14-B66C-EF55F920DA38}"/>
    <cellStyle name="Normal 9 2 8 4" xfId="10328" xr:uid="{17E7867F-E332-4360-AFA8-B088B4C41B0E}"/>
    <cellStyle name="Normal 9 2 9" xfId="2222" xr:uid="{00000000-0005-0000-0000-0000A31F0000}"/>
    <cellStyle name="Normal 9 2 9 2" xfId="4451" xr:uid="{00000000-0005-0000-0000-0000A41F0000}"/>
    <cellStyle name="Normal 9 2 9 2 2" xfId="8675" xr:uid="{00000000-0005-0000-0000-0000A51F0000}"/>
    <cellStyle name="Normal 9 2 9 2 2 2" xfId="17104" xr:uid="{76F34868-70BB-4186-B33E-59FD176583F6}"/>
    <cellStyle name="Normal 9 2 9 2 3" xfId="12886" xr:uid="{D47AD2CC-1FF6-4254-92BF-2CC2F72B2390}"/>
    <cellStyle name="Normal 9 2 9 3" xfId="6530" xr:uid="{00000000-0005-0000-0000-0000A61F0000}"/>
    <cellStyle name="Normal 9 2 9 3 2" xfId="14959" xr:uid="{032FBC78-A36B-432F-B778-3B2E99849E90}"/>
    <cellStyle name="Normal 9 2 9 4" xfId="10741" xr:uid="{5F7FF1E3-EC87-43D5-BDE5-659E38211412}"/>
    <cellStyle name="Normal 9 3" xfId="527" xr:uid="{00000000-0005-0000-0000-0000A71F0000}"/>
    <cellStyle name="Normal 9 3 10" xfId="4894" xr:uid="{00000000-0005-0000-0000-0000A81F0000}"/>
    <cellStyle name="Normal 9 3 10 2" xfId="13323" xr:uid="{A4C3F690-6406-4153-B55E-CC00292908F5}"/>
    <cellStyle name="Normal 9 3 11" xfId="9105" xr:uid="{C974B1D3-CBB8-4DFC-A3AD-D6C07A05CF59}"/>
    <cellStyle name="Normal 9 3 2" xfId="528" xr:uid="{00000000-0005-0000-0000-0000A91F0000}"/>
    <cellStyle name="Normal 9 3 2 10" xfId="9106" xr:uid="{4A7E885E-89C3-4EDF-BEF3-6CF879F9DB97}"/>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21B5198E-E98A-43DC-8B7C-AC86CFCB8840}"/>
    <cellStyle name="Normal 9 3 2 2 2 2 2 3" xfId="11666" xr:uid="{8C1E1062-48C5-48DA-9FDB-823AC2B5A8EF}"/>
    <cellStyle name="Normal 9 3 2 2 2 2 3" xfId="5310" xr:uid="{00000000-0005-0000-0000-0000AF1F0000}"/>
    <cellStyle name="Normal 9 3 2 2 2 2 3 2" xfId="13739" xr:uid="{34C60A14-AF59-46D8-8E14-82DC5680B6D7}"/>
    <cellStyle name="Normal 9 3 2 2 2 2 4" xfId="9521" xr:uid="{32AC9635-DCDD-4823-9B2F-4C9287A0810D}"/>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09F7B6EB-19AB-4853-AB48-F54106E02AC0}"/>
    <cellStyle name="Normal 9 3 2 2 2 3 2 3" xfId="12079" xr:uid="{CB9A700D-3B16-4104-9F29-2EFB427C48AA}"/>
    <cellStyle name="Normal 9 3 2 2 2 3 3" xfId="5723" xr:uid="{00000000-0005-0000-0000-0000B31F0000}"/>
    <cellStyle name="Normal 9 3 2 2 2 3 3 2" xfId="14152" xr:uid="{9B3ECA30-1C42-48A7-9DE7-A725325C060F}"/>
    <cellStyle name="Normal 9 3 2 2 2 3 4" xfId="9934" xr:uid="{C8D2C4D5-BA25-4098-9F48-71C25846BCB1}"/>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F4972CF2-8F60-4332-AD9E-C0936862A2BB}"/>
    <cellStyle name="Normal 9 3 2 2 2 4 2 3" xfId="12492" xr:uid="{4495E718-20D8-470D-A149-B6A30E2636B5}"/>
    <cellStyle name="Normal 9 3 2 2 2 4 3" xfId="6136" xr:uid="{00000000-0005-0000-0000-0000B71F0000}"/>
    <cellStyle name="Normal 9 3 2 2 2 4 3 2" xfId="14565" xr:uid="{7C2396D0-6973-49CC-879A-0E174325779F}"/>
    <cellStyle name="Normal 9 3 2 2 2 4 4" xfId="10347" xr:uid="{EB672DE1-82BD-4367-83D5-AFAE48F3BD19}"/>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197D949C-AFA9-41F6-9537-9BB4E3CBD8C9}"/>
    <cellStyle name="Normal 9 3 2 2 2 5 2 3" xfId="12905" xr:uid="{A38A1B28-C198-477D-86D6-1E7DFB95AFC9}"/>
    <cellStyle name="Normal 9 3 2 2 2 5 3" xfId="6549" xr:uid="{00000000-0005-0000-0000-0000BB1F0000}"/>
    <cellStyle name="Normal 9 3 2 2 2 5 3 2" xfId="14978" xr:uid="{F63190C9-5E45-4534-BE67-4C9BA24C0EC6}"/>
    <cellStyle name="Normal 9 3 2 2 2 5 4" xfId="10760" xr:uid="{69AB3FC7-C06D-4DC0-99EA-63E1840940AD}"/>
    <cellStyle name="Normal 9 3 2 2 2 6" xfId="2677" xr:uid="{00000000-0005-0000-0000-0000BC1F0000}"/>
    <cellStyle name="Normal 9 3 2 2 2 6 2" xfId="6962" xr:uid="{00000000-0005-0000-0000-0000BD1F0000}"/>
    <cellStyle name="Normal 9 3 2 2 2 6 2 2" xfId="15391" xr:uid="{6A8D0DEB-8C86-4C3A-AE13-4A34D79A51B6}"/>
    <cellStyle name="Normal 9 3 2 2 2 6 3" xfId="11173" xr:uid="{DE9EEE7B-89A1-4B07-ADDE-7B98339FD290}"/>
    <cellStyle name="Normal 9 3 2 2 2 7" xfId="4897" xr:uid="{00000000-0005-0000-0000-0000BE1F0000}"/>
    <cellStyle name="Normal 9 3 2 2 2 7 2" xfId="13326" xr:uid="{57D957CD-0787-4BF6-BD9A-A866D4CDC667}"/>
    <cellStyle name="Normal 9 3 2 2 2 8" xfId="9108" xr:uid="{FBEC3827-2729-4886-8E39-7ED1C06E1581}"/>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55A1913D-6A58-400F-B5B6-B9FE8A58E39B}"/>
    <cellStyle name="Normal 9 3 2 2 3 2 3" xfId="11665" xr:uid="{EC11C22B-A362-4185-B243-D7031664FE15}"/>
    <cellStyle name="Normal 9 3 2 2 3 3" xfId="5309" xr:uid="{00000000-0005-0000-0000-0000C21F0000}"/>
    <cellStyle name="Normal 9 3 2 2 3 3 2" xfId="13738" xr:uid="{026C8E79-632E-4C08-B986-D0B5F70C4722}"/>
    <cellStyle name="Normal 9 3 2 2 3 4" xfId="9520" xr:uid="{21541099-AD60-4EFA-9398-19CB53E65661}"/>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06090EF0-8226-486E-8147-C1D745435CEA}"/>
    <cellStyle name="Normal 9 3 2 2 4 2 3" xfId="12078" xr:uid="{FAF129CE-A8C4-4262-B2DD-A5BD38AB4CEF}"/>
    <cellStyle name="Normal 9 3 2 2 4 3" xfId="5722" xr:uid="{00000000-0005-0000-0000-0000C61F0000}"/>
    <cellStyle name="Normal 9 3 2 2 4 3 2" xfId="14151" xr:uid="{B484ACA9-557A-41AA-B0AA-AD79DC1A5493}"/>
    <cellStyle name="Normal 9 3 2 2 4 4" xfId="9933" xr:uid="{B5B24855-8C64-4C9E-AEFD-866F23F28FA5}"/>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7D175863-5BA4-4560-AC55-0C158625E316}"/>
    <cellStyle name="Normal 9 3 2 2 5 2 3" xfId="12491" xr:uid="{903D5DD0-2390-4F4E-A4B5-A485617FD8CD}"/>
    <cellStyle name="Normal 9 3 2 2 5 3" xfId="6135" xr:uid="{00000000-0005-0000-0000-0000CA1F0000}"/>
    <cellStyle name="Normal 9 3 2 2 5 3 2" xfId="14564" xr:uid="{E75E2B4E-212B-4BE0-9AC5-19B8638120C1}"/>
    <cellStyle name="Normal 9 3 2 2 5 4" xfId="10346" xr:uid="{6A7A29CC-489D-45DA-9EA2-DDD5BE927D8B}"/>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02BF59AA-6194-4B74-8F1B-FBAED513DEAE}"/>
    <cellStyle name="Normal 9 3 2 2 6 2 3" xfId="12904" xr:uid="{0714C44A-3DCA-457F-B135-A1AA467773DF}"/>
    <cellStyle name="Normal 9 3 2 2 6 3" xfId="6548" xr:uid="{00000000-0005-0000-0000-0000CE1F0000}"/>
    <cellStyle name="Normal 9 3 2 2 6 3 2" xfId="14977" xr:uid="{CE1696BB-5FB4-4638-9748-33FAEA2A81FE}"/>
    <cellStyle name="Normal 9 3 2 2 6 4" xfId="10759" xr:uid="{42D69595-C3B3-4AA8-9C0E-313967220496}"/>
    <cellStyle name="Normal 9 3 2 2 7" xfId="2676" xr:uid="{00000000-0005-0000-0000-0000CF1F0000}"/>
    <cellStyle name="Normal 9 3 2 2 7 2" xfId="6961" xr:uid="{00000000-0005-0000-0000-0000D01F0000}"/>
    <cellStyle name="Normal 9 3 2 2 7 2 2" xfId="15390" xr:uid="{C06649F5-F94E-4BFF-8E58-C47FDB4A9C1D}"/>
    <cellStyle name="Normal 9 3 2 2 7 3" xfId="11172" xr:uid="{455BB106-6303-4233-BEAB-545DECA5CA47}"/>
    <cellStyle name="Normal 9 3 2 2 8" xfId="4896" xr:uid="{00000000-0005-0000-0000-0000D11F0000}"/>
    <cellStyle name="Normal 9 3 2 2 8 2" xfId="13325" xr:uid="{28E57F8D-D959-4D28-8F3E-0564B6CEACED}"/>
    <cellStyle name="Normal 9 3 2 2 9" xfId="9107" xr:uid="{9DDEF29F-9C29-411D-98F3-831B59519817}"/>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40F69725-6200-4638-B8F9-6F34D12BD021}"/>
    <cellStyle name="Normal 9 3 2 3 2 2 3" xfId="11667" xr:uid="{9B9A4A99-8EB3-4406-B82C-78ED18F85C79}"/>
    <cellStyle name="Normal 9 3 2 3 2 3" xfId="5311" xr:uid="{00000000-0005-0000-0000-0000D61F0000}"/>
    <cellStyle name="Normal 9 3 2 3 2 3 2" xfId="13740" xr:uid="{14CC874D-B527-489F-88A8-065AA4FF883E}"/>
    <cellStyle name="Normal 9 3 2 3 2 4" xfId="9522" xr:uid="{070F802D-7B85-4B7B-8855-8C4B5E4AF1AC}"/>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94AE88A8-00F0-4830-9043-8B95234A9EDC}"/>
    <cellStyle name="Normal 9 3 2 3 3 2 3" xfId="12080" xr:uid="{0CB9A48D-4AD8-4553-A116-BBCF5E0004C9}"/>
    <cellStyle name="Normal 9 3 2 3 3 3" xfId="5724" xr:uid="{00000000-0005-0000-0000-0000DA1F0000}"/>
    <cellStyle name="Normal 9 3 2 3 3 3 2" xfId="14153" xr:uid="{29EEBB52-5937-4DD2-8ACC-2672023EAE2D}"/>
    <cellStyle name="Normal 9 3 2 3 3 4" xfId="9935" xr:uid="{B1CD314F-7FE4-455F-80C6-E05B26BEE1D4}"/>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4934B3EA-EB35-445E-ADF6-548CF0F5AF73}"/>
    <cellStyle name="Normal 9 3 2 3 4 2 3" xfId="12493" xr:uid="{30127E6C-1F32-4953-AA0F-ECF7D782843E}"/>
    <cellStyle name="Normal 9 3 2 3 4 3" xfId="6137" xr:uid="{00000000-0005-0000-0000-0000DE1F0000}"/>
    <cellStyle name="Normal 9 3 2 3 4 3 2" xfId="14566" xr:uid="{075917B0-1456-4397-BA74-094C308F2FC4}"/>
    <cellStyle name="Normal 9 3 2 3 4 4" xfId="10348" xr:uid="{1BA987A2-FE46-468E-A32C-A38AF348D9A1}"/>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48FC3A06-1CED-4823-81B7-EA73A7F74D8E}"/>
    <cellStyle name="Normal 9 3 2 3 5 2 3" xfId="12906" xr:uid="{F7D1D6C2-A86C-403B-9207-98BB58CA75A8}"/>
    <cellStyle name="Normal 9 3 2 3 5 3" xfId="6550" xr:uid="{00000000-0005-0000-0000-0000E21F0000}"/>
    <cellStyle name="Normal 9 3 2 3 5 3 2" xfId="14979" xr:uid="{04E2FF8E-90BD-440F-8A13-C63FC87B1D39}"/>
    <cellStyle name="Normal 9 3 2 3 5 4" xfId="10761" xr:uid="{A3711D45-2D06-4642-BBC5-4CDFADBBBE78}"/>
    <cellStyle name="Normal 9 3 2 3 6" xfId="2678" xr:uid="{00000000-0005-0000-0000-0000E31F0000}"/>
    <cellStyle name="Normal 9 3 2 3 6 2" xfId="6963" xr:uid="{00000000-0005-0000-0000-0000E41F0000}"/>
    <cellStyle name="Normal 9 3 2 3 6 2 2" xfId="15392" xr:uid="{BBD8810C-7969-4C61-9225-BD83F1C91D22}"/>
    <cellStyle name="Normal 9 3 2 3 6 3" xfId="11174" xr:uid="{4AAC49CD-4870-4A03-8859-B9024106374D}"/>
    <cellStyle name="Normal 9 3 2 3 7" xfId="4898" xr:uid="{00000000-0005-0000-0000-0000E51F0000}"/>
    <cellStyle name="Normal 9 3 2 3 7 2" xfId="13327" xr:uid="{B579E4E3-3DB1-4637-8119-F78F9D80832B}"/>
    <cellStyle name="Normal 9 3 2 3 8" xfId="9109" xr:uid="{72E24CE4-0F08-457D-BA9B-BB281C6D6A76}"/>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6BE2518A-C6E4-4C88-8F7E-D6D913DBCDD9}"/>
    <cellStyle name="Normal 9 3 2 4 2 3" xfId="11664" xr:uid="{773917D7-B8D6-4A5C-A622-EE8B3BE9C6D0}"/>
    <cellStyle name="Normal 9 3 2 4 3" xfId="5308" xr:uid="{00000000-0005-0000-0000-0000E91F0000}"/>
    <cellStyle name="Normal 9 3 2 4 3 2" xfId="13737" xr:uid="{A1CBD97E-AE4E-4767-8273-B86F7897757B}"/>
    <cellStyle name="Normal 9 3 2 4 4" xfId="9519" xr:uid="{EC8A7D61-1D40-4F94-A48C-805BE8BD08FE}"/>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85FD8385-A708-4B2B-8D58-23EFFC13C6E2}"/>
    <cellStyle name="Normal 9 3 2 5 2 3" xfId="12077" xr:uid="{CDF935F5-BC9F-457D-A14D-54AFFAC6675A}"/>
    <cellStyle name="Normal 9 3 2 5 3" xfId="5721" xr:uid="{00000000-0005-0000-0000-0000ED1F0000}"/>
    <cellStyle name="Normal 9 3 2 5 3 2" xfId="14150" xr:uid="{08D65B88-4EAF-4C3F-B4F5-0FEC3EEFDCC5}"/>
    <cellStyle name="Normal 9 3 2 5 4" xfId="9932" xr:uid="{D1E6E7A2-2414-49BB-B50A-2E001120D3D4}"/>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AC32F2B3-6E6B-4F89-87F7-03F835DF8024}"/>
    <cellStyle name="Normal 9 3 2 6 2 3" xfId="12490" xr:uid="{6E147746-D696-4273-ADAB-0F1C5C612504}"/>
    <cellStyle name="Normal 9 3 2 6 3" xfId="6134" xr:uid="{00000000-0005-0000-0000-0000F11F0000}"/>
    <cellStyle name="Normal 9 3 2 6 3 2" xfId="14563" xr:uid="{A7FB11B6-71A1-43D0-A2A6-2FB46E6F1682}"/>
    <cellStyle name="Normal 9 3 2 6 4" xfId="10345" xr:uid="{7CEE21A8-0635-4B91-AE3C-DE0A228C6365}"/>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2CE53A00-3ED1-4931-B9CD-7C359CD3C2DA}"/>
    <cellStyle name="Normal 9 3 2 7 2 3" xfId="12903" xr:uid="{8A6555D9-3F39-4DBD-812C-1C5B9F87A182}"/>
    <cellStyle name="Normal 9 3 2 7 3" xfId="6547" xr:uid="{00000000-0005-0000-0000-0000F51F0000}"/>
    <cellStyle name="Normal 9 3 2 7 3 2" xfId="14976" xr:uid="{6F06B1EB-3E89-43B1-82D2-A4BBEC2CAE0E}"/>
    <cellStyle name="Normal 9 3 2 7 4" xfId="10758" xr:uid="{F54BA3CC-D4BC-46E5-AA1D-DEC390FCCB64}"/>
    <cellStyle name="Normal 9 3 2 8" xfId="2675" xr:uid="{00000000-0005-0000-0000-0000F61F0000}"/>
    <cellStyle name="Normal 9 3 2 8 2" xfId="6960" xr:uid="{00000000-0005-0000-0000-0000F71F0000}"/>
    <cellStyle name="Normal 9 3 2 8 2 2" xfId="15389" xr:uid="{EC96EE13-4C1B-418D-B3F1-B388D38FCDF0}"/>
    <cellStyle name="Normal 9 3 2 8 3" xfId="11171" xr:uid="{08D461E8-CCBC-47B5-AAB1-BB1A9D59E20E}"/>
    <cellStyle name="Normal 9 3 2 9" xfId="4895" xr:uid="{00000000-0005-0000-0000-0000F81F0000}"/>
    <cellStyle name="Normal 9 3 2 9 2" xfId="13324" xr:uid="{DD48C8B5-6C7F-4F71-B341-DF3479EC0631}"/>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F8D3B9E6-362E-4A1E-B52A-04CB80079A00}"/>
    <cellStyle name="Normal 9 3 3 2 2 2 3" xfId="11669" xr:uid="{FF709BCC-A819-4FA6-AB41-73A06533AAD0}"/>
    <cellStyle name="Normal 9 3 3 2 2 3" xfId="5313" xr:uid="{00000000-0005-0000-0000-0000FE1F0000}"/>
    <cellStyle name="Normal 9 3 3 2 2 3 2" xfId="13742" xr:uid="{A61BC08D-2B93-4584-9491-68E43BD1374F}"/>
    <cellStyle name="Normal 9 3 3 2 2 4" xfId="9524" xr:uid="{30072791-8E34-4826-96A5-D3EFC71FD87F}"/>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A8C4C1F4-E9DB-4C74-B2A2-FCB0CD0019FF}"/>
    <cellStyle name="Normal 9 3 3 2 3 2 3" xfId="12082" xr:uid="{17C66757-6EA1-4A8B-A962-65F5D9D2BF0B}"/>
    <cellStyle name="Normal 9 3 3 2 3 3" xfId="5726" xr:uid="{00000000-0005-0000-0000-000002200000}"/>
    <cellStyle name="Normal 9 3 3 2 3 3 2" xfId="14155" xr:uid="{AD1F42D0-C435-401F-B2BF-4609275C65BE}"/>
    <cellStyle name="Normal 9 3 3 2 3 4" xfId="9937" xr:uid="{9F45F524-8E7D-4AEF-810D-7B2D554E454A}"/>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454DEA6C-8850-4416-B8DB-1CE8B335BB57}"/>
    <cellStyle name="Normal 9 3 3 2 4 2 3" xfId="12495" xr:uid="{33F928D5-457F-4A8B-9C5C-8189AA0CC7CD}"/>
    <cellStyle name="Normal 9 3 3 2 4 3" xfId="6139" xr:uid="{00000000-0005-0000-0000-000006200000}"/>
    <cellStyle name="Normal 9 3 3 2 4 3 2" xfId="14568" xr:uid="{74B7C359-7ECE-4C50-937B-36EC93EF4634}"/>
    <cellStyle name="Normal 9 3 3 2 4 4" xfId="10350" xr:uid="{67891734-997D-433E-9796-5B4810D2AAC4}"/>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0F480FF1-D2B2-44C4-9129-F85707E5A9CF}"/>
    <cellStyle name="Normal 9 3 3 2 5 2 3" xfId="12908" xr:uid="{CAA10ED5-A7B8-4B42-B8F1-891251351606}"/>
    <cellStyle name="Normal 9 3 3 2 5 3" xfId="6552" xr:uid="{00000000-0005-0000-0000-00000A200000}"/>
    <cellStyle name="Normal 9 3 3 2 5 3 2" xfId="14981" xr:uid="{E34C275B-2DD8-4237-A5FE-2ADA0C720F46}"/>
    <cellStyle name="Normal 9 3 3 2 5 4" xfId="10763" xr:uid="{8E655DD1-B3D3-4D5D-80CD-F8B91429E048}"/>
    <cellStyle name="Normal 9 3 3 2 6" xfId="2680" xr:uid="{00000000-0005-0000-0000-00000B200000}"/>
    <cellStyle name="Normal 9 3 3 2 6 2" xfId="6965" xr:uid="{00000000-0005-0000-0000-00000C200000}"/>
    <cellStyle name="Normal 9 3 3 2 6 2 2" xfId="15394" xr:uid="{0A62360B-FB3F-4EB5-8D8D-1394230DDA82}"/>
    <cellStyle name="Normal 9 3 3 2 6 3" xfId="11176" xr:uid="{F2EEA599-8734-4F2F-8912-4D3E82F1F277}"/>
    <cellStyle name="Normal 9 3 3 2 7" xfId="4900" xr:uid="{00000000-0005-0000-0000-00000D200000}"/>
    <cellStyle name="Normal 9 3 3 2 7 2" xfId="13329" xr:uid="{5D517D90-95EA-4FB6-A52B-9EDFE23E649D}"/>
    <cellStyle name="Normal 9 3 3 2 8" xfId="9111" xr:uid="{99C63C06-2C18-406D-924D-688C1EBE0552}"/>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AC641530-1EFD-4E92-80A9-02CAC2CBADA5}"/>
    <cellStyle name="Normal 9 3 3 3 2 3" xfId="11668" xr:uid="{6390DB3F-2095-4111-8286-1CEB42D811F5}"/>
    <cellStyle name="Normal 9 3 3 3 3" xfId="5312" xr:uid="{00000000-0005-0000-0000-000011200000}"/>
    <cellStyle name="Normal 9 3 3 3 3 2" xfId="13741" xr:uid="{930F3E04-E5FE-477E-AC81-AD1341706B39}"/>
    <cellStyle name="Normal 9 3 3 3 4" xfId="9523" xr:uid="{940FB0B2-0638-4ABE-B53B-6CC98A5830D5}"/>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F6E58384-5BCB-4AFC-BCAA-A67E5F1F81F7}"/>
    <cellStyle name="Normal 9 3 3 4 2 3" xfId="12081" xr:uid="{A7F12772-6191-454C-93DF-C47C860C6079}"/>
    <cellStyle name="Normal 9 3 3 4 3" xfId="5725" xr:uid="{00000000-0005-0000-0000-000015200000}"/>
    <cellStyle name="Normal 9 3 3 4 3 2" xfId="14154" xr:uid="{87EB8717-C5DF-439C-91B9-8B44491B59CB}"/>
    <cellStyle name="Normal 9 3 3 4 4" xfId="9936" xr:uid="{C08D0D78-D96D-4624-B5AE-446549F0ED30}"/>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5C16CDFA-3BF4-424C-BA34-121F1B3F325E}"/>
    <cellStyle name="Normal 9 3 3 5 2 3" xfId="12494" xr:uid="{156EC626-CBD8-4713-B495-7D52E34C8DD1}"/>
    <cellStyle name="Normal 9 3 3 5 3" xfId="6138" xr:uid="{00000000-0005-0000-0000-000019200000}"/>
    <cellStyle name="Normal 9 3 3 5 3 2" xfId="14567" xr:uid="{57EC3A94-EC5A-42A9-9252-4FE9C8BFD00D}"/>
    <cellStyle name="Normal 9 3 3 5 4" xfId="10349" xr:uid="{F11C6B4B-FC0D-432E-88CD-8307899DBD62}"/>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54595488-4B42-43FB-9F2C-5F31DD235F2F}"/>
    <cellStyle name="Normal 9 3 3 6 2 3" xfId="12907" xr:uid="{1BC94DD2-C71D-4B09-A1DA-2142AEDBED3A}"/>
    <cellStyle name="Normal 9 3 3 6 3" xfId="6551" xr:uid="{00000000-0005-0000-0000-00001D200000}"/>
    <cellStyle name="Normal 9 3 3 6 3 2" xfId="14980" xr:uid="{03D64737-33B4-4A48-B09D-8D2AE01F2C3B}"/>
    <cellStyle name="Normal 9 3 3 6 4" xfId="10762" xr:uid="{80D55027-37C3-4C6D-934A-E3B6E44F2D72}"/>
    <cellStyle name="Normal 9 3 3 7" xfId="2679" xr:uid="{00000000-0005-0000-0000-00001E200000}"/>
    <cellStyle name="Normal 9 3 3 7 2" xfId="6964" xr:uid="{00000000-0005-0000-0000-00001F200000}"/>
    <cellStyle name="Normal 9 3 3 7 2 2" xfId="15393" xr:uid="{98AA70AE-07EC-4681-A8AE-C63FA402563B}"/>
    <cellStyle name="Normal 9 3 3 7 3" xfId="11175" xr:uid="{8BA3EED0-F741-4035-B64C-4CD38FF28DBC}"/>
    <cellStyle name="Normal 9 3 3 8" xfId="4899" xr:uid="{00000000-0005-0000-0000-000020200000}"/>
    <cellStyle name="Normal 9 3 3 8 2" xfId="13328" xr:uid="{51E2DC74-D731-4231-85B5-709CB4CCEDB8}"/>
    <cellStyle name="Normal 9 3 3 9" xfId="9110" xr:uid="{11ADC12D-F1C3-4D4C-BDD1-475810820CC2}"/>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C9BF6965-0A03-4DE3-8A90-F360D8F151B5}"/>
    <cellStyle name="Normal 9 3 4 2 2 3" xfId="11670" xr:uid="{70C50850-8048-4AB1-A365-EE44478B64C9}"/>
    <cellStyle name="Normal 9 3 4 2 3" xfId="5314" xr:uid="{00000000-0005-0000-0000-000025200000}"/>
    <cellStyle name="Normal 9 3 4 2 3 2" xfId="13743" xr:uid="{35F7E65C-BEBD-49A9-83E2-DDB5D097322A}"/>
    <cellStyle name="Normal 9 3 4 2 4" xfId="9525" xr:uid="{1FACB3D2-4F88-4ED2-B772-A967E30444C2}"/>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48F8EF32-0909-4EEF-AE77-3F37AF3C54B3}"/>
    <cellStyle name="Normal 9 3 4 3 2 3" xfId="12083" xr:uid="{506D9340-C175-47B3-86F1-153AC7BAF5C4}"/>
    <cellStyle name="Normal 9 3 4 3 3" xfId="5727" xr:uid="{00000000-0005-0000-0000-000029200000}"/>
    <cellStyle name="Normal 9 3 4 3 3 2" xfId="14156" xr:uid="{3A00E396-BD7D-411C-89FE-201A99091148}"/>
    <cellStyle name="Normal 9 3 4 3 4" xfId="9938" xr:uid="{6FFF78A4-AA7B-4F1F-A7E9-9E556BFC5BF0}"/>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0FD41584-E19E-44BB-99D6-003A9A92EBB0}"/>
    <cellStyle name="Normal 9 3 4 4 2 3" xfId="12496" xr:uid="{1B9EDCBA-BC4F-40F6-831F-FEF776B14424}"/>
    <cellStyle name="Normal 9 3 4 4 3" xfId="6140" xr:uid="{00000000-0005-0000-0000-00002D200000}"/>
    <cellStyle name="Normal 9 3 4 4 3 2" xfId="14569" xr:uid="{749350BB-D922-47D8-8F47-A9E61397AED4}"/>
    <cellStyle name="Normal 9 3 4 4 4" xfId="10351" xr:uid="{6E1863E1-B92E-4DA1-A827-AEABE518DB19}"/>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61B85B19-72EC-48FC-97D1-71D8560AAED4}"/>
    <cellStyle name="Normal 9 3 4 5 2 3" xfId="12909" xr:uid="{79FBA0DB-9DF7-4E0D-B230-DD0ECA80040A}"/>
    <cellStyle name="Normal 9 3 4 5 3" xfId="6553" xr:uid="{00000000-0005-0000-0000-000031200000}"/>
    <cellStyle name="Normal 9 3 4 5 3 2" xfId="14982" xr:uid="{C9BE50DC-21E9-46A0-9B4D-46B7EC9FA686}"/>
    <cellStyle name="Normal 9 3 4 5 4" xfId="10764" xr:uid="{9DA6F500-5D8D-46D9-B204-D30DF0B81442}"/>
    <cellStyle name="Normal 9 3 4 6" xfId="2681" xr:uid="{00000000-0005-0000-0000-000032200000}"/>
    <cellStyle name="Normal 9 3 4 6 2" xfId="6966" xr:uid="{00000000-0005-0000-0000-000033200000}"/>
    <cellStyle name="Normal 9 3 4 6 2 2" xfId="15395" xr:uid="{FA79475E-D0EB-4471-A9CE-0F5AACF47857}"/>
    <cellStyle name="Normal 9 3 4 6 3" xfId="11177" xr:uid="{1873E9B7-DE52-4D3D-A8DB-2029543F0271}"/>
    <cellStyle name="Normal 9 3 4 7" xfId="4901" xr:uid="{00000000-0005-0000-0000-000034200000}"/>
    <cellStyle name="Normal 9 3 4 7 2" xfId="13330" xr:uid="{D0F99CD4-C967-43B5-ADF0-BF07BC562DA1}"/>
    <cellStyle name="Normal 9 3 4 8" xfId="9112" xr:uid="{6D305142-DE65-454F-89C5-C67260682A54}"/>
    <cellStyle name="Normal 9 3 5" xfId="995" xr:uid="{00000000-0005-0000-0000-000035200000}"/>
    <cellStyle name="Normal 9 3 5 2" xfId="3228" xr:uid="{00000000-0005-0000-0000-000036200000}"/>
    <cellStyle name="Normal 9 3 5 2 2" xfId="7452" xr:uid="{00000000-0005-0000-0000-000037200000}"/>
    <cellStyle name="Normal 9 3 5 2 2 2" xfId="15881" xr:uid="{E5E34CD1-1D5A-46CE-B445-152B62F46D3B}"/>
    <cellStyle name="Normal 9 3 5 2 3" xfId="11663" xr:uid="{C0FEECD1-87FE-4166-8544-DACB72167912}"/>
    <cellStyle name="Normal 9 3 5 3" xfId="5307" xr:uid="{00000000-0005-0000-0000-000038200000}"/>
    <cellStyle name="Normal 9 3 5 3 2" xfId="13736" xr:uid="{6DF39EC0-46D5-4B14-A6CB-F37A4552BE69}"/>
    <cellStyle name="Normal 9 3 5 4" xfId="9518" xr:uid="{F11C0453-A2F6-4AA1-8045-123E9CF4C3CE}"/>
    <cellStyle name="Normal 9 3 6" xfId="1411" xr:uid="{00000000-0005-0000-0000-000039200000}"/>
    <cellStyle name="Normal 9 3 6 2" xfId="3641" xr:uid="{00000000-0005-0000-0000-00003A200000}"/>
    <cellStyle name="Normal 9 3 6 2 2" xfId="7865" xr:uid="{00000000-0005-0000-0000-00003B200000}"/>
    <cellStyle name="Normal 9 3 6 2 2 2" xfId="16294" xr:uid="{9AD1F6FC-9B46-4055-8BAD-7D553675A1F4}"/>
    <cellStyle name="Normal 9 3 6 2 3" xfId="12076" xr:uid="{663A9689-B293-4F86-8C05-2E95A2D981FA}"/>
    <cellStyle name="Normal 9 3 6 3" xfId="5720" xr:uid="{00000000-0005-0000-0000-00003C200000}"/>
    <cellStyle name="Normal 9 3 6 3 2" xfId="14149" xr:uid="{DEFDB68D-6D2D-471F-8EBC-BABA8035BC10}"/>
    <cellStyle name="Normal 9 3 6 4" xfId="9931" xr:uid="{A33EF6A3-9DC8-49AC-B36D-F1119BFA46AB}"/>
    <cellStyle name="Normal 9 3 7" xfId="1824" xr:uid="{00000000-0005-0000-0000-00003D200000}"/>
    <cellStyle name="Normal 9 3 7 2" xfId="4054" xr:uid="{00000000-0005-0000-0000-00003E200000}"/>
    <cellStyle name="Normal 9 3 7 2 2" xfId="8278" xr:uid="{00000000-0005-0000-0000-00003F200000}"/>
    <cellStyle name="Normal 9 3 7 2 2 2" xfId="16707" xr:uid="{BA552784-F611-4C21-BE4A-C9CDC5ECF235}"/>
    <cellStyle name="Normal 9 3 7 2 3" xfId="12489" xr:uid="{C597DD0E-EAFE-4D7A-BFC0-E9DF6E894868}"/>
    <cellStyle name="Normal 9 3 7 3" xfId="6133" xr:uid="{00000000-0005-0000-0000-000040200000}"/>
    <cellStyle name="Normal 9 3 7 3 2" xfId="14562" xr:uid="{9E706C80-2E43-44C6-A9A9-62B21255D31A}"/>
    <cellStyle name="Normal 9 3 7 4" xfId="10344" xr:uid="{73BDEA50-7FB2-4656-809A-1885C2DB6D0D}"/>
    <cellStyle name="Normal 9 3 8" xfId="2238" xr:uid="{00000000-0005-0000-0000-000041200000}"/>
    <cellStyle name="Normal 9 3 8 2" xfId="4467" xr:uid="{00000000-0005-0000-0000-000042200000}"/>
    <cellStyle name="Normal 9 3 8 2 2" xfId="8691" xr:uid="{00000000-0005-0000-0000-000043200000}"/>
    <cellStyle name="Normal 9 3 8 2 2 2" xfId="17120" xr:uid="{B90E5110-6ACB-410E-88E2-3F62094C5CEA}"/>
    <cellStyle name="Normal 9 3 8 2 3" xfId="12902" xr:uid="{8A8B06FE-1CA2-4F66-AAEF-8A219AF7F137}"/>
    <cellStyle name="Normal 9 3 8 3" xfId="6546" xr:uid="{00000000-0005-0000-0000-000044200000}"/>
    <cellStyle name="Normal 9 3 8 3 2" xfId="14975" xr:uid="{C940C42F-FBD1-4EA2-8033-06411B7D3317}"/>
    <cellStyle name="Normal 9 3 8 4" xfId="10757" xr:uid="{1DD61874-5C8F-4991-85AE-953BCB6D1BEF}"/>
    <cellStyle name="Normal 9 3 9" xfId="2674" xr:uid="{00000000-0005-0000-0000-000045200000}"/>
    <cellStyle name="Normal 9 3 9 2" xfId="6959" xr:uid="{00000000-0005-0000-0000-000046200000}"/>
    <cellStyle name="Normal 9 3 9 2 2" xfId="15388" xr:uid="{A4B7535C-BB03-4845-9177-66C83A2711A4}"/>
    <cellStyle name="Normal 9 3 9 3" xfId="11170" xr:uid="{E4A18DF2-EC0F-4675-902D-0260162DBF1D}"/>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353E2CB6-B4EB-4AAD-ACD7-61644B6157EA}"/>
    <cellStyle name="Normal 9 5 2 2 2 3" xfId="11672" xr:uid="{A1921F41-E1DA-48FD-9EFD-F119CFFAC1DE}"/>
    <cellStyle name="Normal 9 5 2 2 3" xfId="5316" xr:uid="{00000000-0005-0000-0000-00004E200000}"/>
    <cellStyle name="Normal 9 5 2 2 3 2" xfId="13745" xr:uid="{C2AC8E3B-6FBF-4839-8F73-EA3D6B35FFF6}"/>
    <cellStyle name="Normal 9 5 2 2 4" xfId="9527" xr:uid="{5F7CD4EF-AC74-4FD1-9A8C-8CDFFE93D42E}"/>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6DCDCC05-92AA-4F0C-8DA8-F567842F5EB1}"/>
    <cellStyle name="Normal 9 5 2 3 2 3" xfId="12085" xr:uid="{037B94AC-B34A-4A83-8D0B-E96E70EEBF79}"/>
    <cellStyle name="Normal 9 5 2 3 3" xfId="5729" xr:uid="{00000000-0005-0000-0000-000052200000}"/>
    <cellStyle name="Normal 9 5 2 3 3 2" xfId="14158" xr:uid="{CFE8AF21-4137-4AEB-9594-A2250265C1D3}"/>
    <cellStyle name="Normal 9 5 2 3 4" xfId="9940" xr:uid="{7899C4E1-C15B-49E1-B121-D2614577F5A9}"/>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E8AAE151-3DCF-41BE-8C98-A9B1421E53A5}"/>
    <cellStyle name="Normal 9 5 2 4 2 3" xfId="12498" xr:uid="{035C76ED-5699-490B-A510-BE99AA603719}"/>
    <cellStyle name="Normal 9 5 2 4 3" xfId="6142" xr:uid="{00000000-0005-0000-0000-000056200000}"/>
    <cellStyle name="Normal 9 5 2 4 3 2" xfId="14571" xr:uid="{813C6F39-1D05-4FE1-A938-7D23A8F96BE8}"/>
    <cellStyle name="Normal 9 5 2 4 4" xfId="10353" xr:uid="{A078E613-1F26-46C1-AD46-D7898A092248}"/>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AFC84125-22E0-43CB-9FAD-115FE3FF4E74}"/>
    <cellStyle name="Normal 9 5 2 5 2 3" xfId="12911" xr:uid="{9FADACAF-3453-48B3-9E18-F32DFD502E60}"/>
    <cellStyle name="Normal 9 5 2 5 3" xfId="6555" xr:uid="{00000000-0005-0000-0000-00005A200000}"/>
    <cellStyle name="Normal 9 5 2 5 3 2" xfId="14984" xr:uid="{6023CBF4-C16E-47D5-99EF-E42D2BDC8FCE}"/>
    <cellStyle name="Normal 9 5 2 5 4" xfId="10766" xr:uid="{C1717A43-8FF7-4CC6-BAF3-B4D39DC56648}"/>
    <cellStyle name="Normal 9 5 2 6" xfId="2683" xr:uid="{00000000-0005-0000-0000-00005B200000}"/>
    <cellStyle name="Normal 9 5 2 6 2" xfId="6968" xr:uid="{00000000-0005-0000-0000-00005C200000}"/>
    <cellStyle name="Normal 9 5 2 6 2 2" xfId="15397" xr:uid="{3F8931A7-E994-430C-8214-8AD6688FB92F}"/>
    <cellStyle name="Normal 9 5 2 6 3" xfId="11179" xr:uid="{C83A1B3E-7F1C-4877-AA13-E78587762B96}"/>
    <cellStyle name="Normal 9 5 2 7" xfId="4903" xr:uid="{00000000-0005-0000-0000-00005D200000}"/>
    <cellStyle name="Normal 9 5 2 7 2" xfId="13332" xr:uid="{F6C89C7D-69BB-4679-8061-FCBADDBEBFDD}"/>
    <cellStyle name="Normal 9 5 2 8" xfId="9114" xr:uid="{5729E227-4508-4B72-BA63-27C391468C7B}"/>
    <cellStyle name="Normal 9 5 3" xfId="1004" xr:uid="{00000000-0005-0000-0000-00005E200000}"/>
    <cellStyle name="Normal 9 5 3 2" xfId="3236" xr:uid="{00000000-0005-0000-0000-00005F200000}"/>
    <cellStyle name="Normal 9 5 3 2 2" xfId="7460" xr:uid="{00000000-0005-0000-0000-000060200000}"/>
    <cellStyle name="Normal 9 5 3 2 2 2" xfId="15889" xr:uid="{4A718164-3F8D-4240-9D24-D7A3E052EE38}"/>
    <cellStyle name="Normal 9 5 3 2 3" xfId="11671" xr:uid="{FA042AA3-292D-4ADF-A160-15071BD5ADBA}"/>
    <cellStyle name="Normal 9 5 3 3" xfId="5315" xr:uid="{00000000-0005-0000-0000-000061200000}"/>
    <cellStyle name="Normal 9 5 3 3 2" xfId="13744" xr:uid="{5127DB61-AEF9-4668-B7C3-300F13EA41F9}"/>
    <cellStyle name="Normal 9 5 3 4" xfId="9526" xr:uid="{F2EC9E7F-FCD1-43C9-B81B-819B33E9EF51}"/>
    <cellStyle name="Normal 9 5 4" xfId="1419" xr:uid="{00000000-0005-0000-0000-000062200000}"/>
    <cellStyle name="Normal 9 5 4 2" xfId="3649" xr:uid="{00000000-0005-0000-0000-000063200000}"/>
    <cellStyle name="Normal 9 5 4 2 2" xfId="7873" xr:uid="{00000000-0005-0000-0000-000064200000}"/>
    <cellStyle name="Normal 9 5 4 2 2 2" xfId="16302" xr:uid="{5515F97B-0D62-4459-B1E4-2B7646C9130D}"/>
    <cellStyle name="Normal 9 5 4 2 3" xfId="12084" xr:uid="{6613FD8F-3224-42F5-908E-D8C155EDFF73}"/>
    <cellStyle name="Normal 9 5 4 3" xfId="5728" xr:uid="{00000000-0005-0000-0000-000065200000}"/>
    <cellStyle name="Normal 9 5 4 3 2" xfId="14157" xr:uid="{C1A44E78-FCF7-476D-A7A7-5504A2AF6F93}"/>
    <cellStyle name="Normal 9 5 4 4" xfId="9939" xr:uid="{F821117A-BB6F-440A-9C46-59E61AA440AB}"/>
    <cellStyle name="Normal 9 5 5" xfId="1832" xr:uid="{00000000-0005-0000-0000-000066200000}"/>
    <cellStyle name="Normal 9 5 5 2" xfId="4062" xr:uid="{00000000-0005-0000-0000-000067200000}"/>
    <cellStyle name="Normal 9 5 5 2 2" xfId="8286" xr:uid="{00000000-0005-0000-0000-000068200000}"/>
    <cellStyle name="Normal 9 5 5 2 2 2" xfId="16715" xr:uid="{E9A65C16-7DE7-4D4F-A071-FA2CA5B804FD}"/>
    <cellStyle name="Normal 9 5 5 2 3" xfId="12497" xr:uid="{044C2878-EDC6-4EAA-8BE4-9AEEDC181F68}"/>
    <cellStyle name="Normal 9 5 5 3" xfId="6141" xr:uid="{00000000-0005-0000-0000-000069200000}"/>
    <cellStyle name="Normal 9 5 5 3 2" xfId="14570" xr:uid="{19BC2A09-5DBC-42D7-91F2-0CFF716641CA}"/>
    <cellStyle name="Normal 9 5 5 4" xfId="10352" xr:uid="{A31AC1A3-9F2E-48E7-95C2-1F2F41D3C9E2}"/>
    <cellStyle name="Normal 9 5 6" xfId="2246" xr:uid="{00000000-0005-0000-0000-00006A200000}"/>
    <cellStyle name="Normal 9 5 6 2" xfId="4475" xr:uid="{00000000-0005-0000-0000-00006B200000}"/>
    <cellStyle name="Normal 9 5 6 2 2" xfId="8699" xr:uid="{00000000-0005-0000-0000-00006C200000}"/>
    <cellStyle name="Normal 9 5 6 2 2 2" xfId="17128" xr:uid="{C726FF67-B710-45A9-BF12-B07C74878C3D}"/>
    <cellStyle name="Normal 9 5 6 2 3" xfId="12910" xr:uid="{66EC9B06-2316-4D73-A464-869512B6AC62}"/>
    <cellStyle name="Normal 9 5 6 3" xfId="6554" xr:uid="{00000000-0005-0000-0000-00006D200000}"/>
    <cellStyle name="Normal 9 5 6 3 2" xfId="14983" xr:uid="{6AB15F98-0399-4DA7-85CF-37B2ED4F9A16}"/>
    <cellStyle name="Normal 9 5 6 4" xfId="10765" xr:uid="{397318FB-B0C7-477C-A1B5-B99274D80389}"/>
    <cellStyle name="Normal 9 5 7" xfId="2682" xr:uid="{00000000-0005-0000-0000-00006E200000}"/>
    <cellStyle name="Normal 9 5 7 2" xfId="6967" xr:uid="{00000000-0005-0000-0000-00006F200000}"/>
    <cellStyle name="Normal 9 5 7 2 2" xfId="15396" xr:uid="{F7E715B5-55D4-4830-8C3C-B2934337D4C2}"/>
    <cellStyle name="Normal 9 5 7 3" xfId="11178" xr:uid="{02D4F5C8-BEC5-4265-85A0-711DE704B46E}"/>
    <cellStyle name="Normal 9 5 8" xfId="4902" xr:uid="{00000000-0005-0000-0000-000070200000}"/>
    <cellStyle name="Normal 9 5 8 2" xfId="13331" xr:uid="{0C268464-BA53-4858-9F2C-6BE2207A7FF7}"/>
    <cellStyle name="Normal 9 5 9" xfId="9113" xr:uid="{EBF6524B-A472-4E8C-A304-06329CB93D4A}"/>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23D55E32-EE21-4B7F-B381-737601E96875}"/>
    <cellStyle name="Normal 9 6 2 2 3" xfId="11673" xr:uid="{08280B75-AC9D-4510-9246-95580585ACA1}"/>
    <cellStyle name="Normal 9 6 2 3" xfId="5317" xr:uid="{00000000-0005-0000-0000-000075200000}"/>
    <cellStyle name="Normal 9 6 2 3 2" xfId="13746" xr:uid="{66368168-66AC-4D7C-AF73-DFA56577E350}"/>
    <cellStyle name="Normal 9 6 2 4" xfId="9528" xr:uid="{181574F1-1C5D-429C-B2B2-E6C2AADD7981}"/>
    <cellStyle name="Normal 9 6 3" xfId="1421" xr:uid="{00000000-0005-0000-0000-000076200000}"/>
    <cellStyle name="Normal 9 6 3 2" xfId="3651" xr:uid="{00000000-0005-0000-0000-000077200000}"/>
    <cellStyle name="Normal 9 6 3 2 2" xfId="7875" xr:uid="{00000000-0005-0000-0000-000078200000}"/>
    <cellStyle name="Normal 9 6 3 2 2 2" xfId="16304" xr:uid="{43598861-6B65-448C-A7C6-79E3B2659B89}"/>
    <cellStyle name="Normal 9 6 3 2 3" xfId="12086" xr:uid="{AA66BD6A-395A-4CF3-B170-D29AD5642BAD}"/>
    <cellStyle name="Normal 9 6 3 3" xfId="5730" xr:uid="{00000000-0005-0000-0000-000079200000}"/>
    <cellStyle name="Normal 9 6 3 3 2" xfId="14159" xr:uid="{79334759-78E1-4305-B0D2-41B2D227E6D6}"/>
    <cellStyle name="Normal 9 6 3 4" xfId="9941" xr:uid="{D39498EE-04AC-4A51-BE8E-B9F340C2B515}"/>
    <cellStyle name="Normal 9 6 4" xfId="1834" xr:uid="{00000000-0005-0000-0000-00007A200000}"/>
    <cellStyle name="Normal 9 6 4 2" xfId="4064" xr:uid="{00000000-0005-0000-0000-00007B200000}"/>
    <cellStyle name="Normal 9 6 4 2 2" xfId="8288" xr:uid="{00000000-0005-0000-0000-00007C200000}"/>
    <cellStyle name="Normal 9 6 4 2 2 2" xfId="16717" xr:uid="{B6F3D362-D4B0-414A-9AC2-DC613F737667}"/>
    <cellStyle name="Normal 9 6 4 2 3" xfId="12499" xr:uid="{66F0C57A-5499-4AEA-9B1C-76A28F2426AD}"/>
    <cellStyle name="Normal 9 6 4 3" xfId="6143" xr:uid="{00000000-0005-0000-0000-00007D200000}"/>
    <cellStyle name="Normal 9 6 4 3 2" xfId="14572" xr:uid="{91D1D20E-1F0E-4CAE-8FA3-54ADFA0A07FC}"/>
    <cellStyle name="Normal 9 6 4 4" xfId="10354" xr:uid="{5801D3B8-D2C9-43C9-8AC8-DCB75A2A2EC6}"/>
    <cellStyle name="Normal 9 6 5" xfId="2248" xr:uid="{00000000-0005-0000-0000-00007E200000}"/>
    <cellStyle name="Normal 9 6 5 2" xfId="4477" xr:uid="{00000000-0005-0000-0000-00007F200000}"/>
    <cellStyle name="Normal 9 6 5 2 2" xfId="8701" xr:uid="{00000000-0005-0000-0000-000080200000}"/>
    <cellStyle name="Normal 9 6 5 2 2 2" xfId="17130" xr:uid="{03AB6F5A-4E4C-4B4C-9058-CE2BD0C488BF}"/>
    <cellStyle name="Normal 9 6 5 2 3" xfId="12912" xr:uid="{7D892896-5D87-4852-B1F3-C6075B097A59}"/>
    <cellStyle name="Normal 9 6 5 3" xfId="6556" xr:uid="{00000000-0005-0000-0000-000081200000}"/>
    <cellStyle name="Normal 9 6 5 3 2" xfId="14985" xr:uid="{09297463-7E74-4064-87EC-AE83FE566D47}"/>
    <cellStyle name="Normal 9 6 5 4" xfId="10767" xr:uid="{D4B79BB4-EEE7-47E8-B527-44B77E29C16A}"/>
    <cellStyle name="Normal 9 6 6" xfId="2684" xr:uid="{00000000-0005-0000-0000-000082200000}"/>
    <cellStyle name="Normal 9 6 6 2" xfId="6969" xr:uid="{00000000-0005-0000-0000-000083200000}"/>
    <cellStyle name="Normal 9 6 6 2 2" xfId="15398" xr:uid="{A6593586-3B80-4177-A984-04EC92CBE6ED}"/>
    <cellStyle name="Normal 9 6 6 3" xfId="11180" xr:uid="{EFBBB743-8635-430D-9DC9-FFC45263CFF7}"/>
    <cellStyle name="Normal 9 6 7" xfId="4904" xr:uid="{00000000-0005-0000-0000-000084200000}"/>
    <cellStyle name="Normal 9 6 7 2" xfId="13333" xr:uid="{B9D9614F-2ECA-4467-89CC-4AC148C96D25}"/>
    <cellStyle name="Normal 9 6 8" xfId="9115" xr:uid="{BB30EFD3-A498-450A-83F2-AB9A35F282B2}"/>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CED3D98A-D407-42F1-A1DD-0439AA9D951B}"/>
    <cellStyle name="Note 2 2 10 3" xfId="11261" xr:uid="{288C9F40-E445-4DE8-9F43-1876197363E6}"/>
    <cellStyle name="Note 2 2 11" xfId="4905" xr:uid="{00000000-0005-0000-0000-000093200000}"/>
    <cellStyle name="Note 2 2 11 2" xfId="13334" xr:uid="{A17EE6BE-34F2-4541-815E-A2186706B520}"/>
    <cellStyle name="Note 2 2 12" xfId="9116" xr:uid="{B3ADA87E-9BF3-4E51-AF8A-32634469686C}"/>
    <cellStyle name="Note 2 2 2" xfId="547" xr:uid="{00000000-0005-0000-0000-000094200000}"/>
    <cellStyle name="Note 2 2 2 10" xfId="4906" xr:uid="{00000000-0005-0000-0000-000095200000}"/>
    <cellStyle name="Note 2 2 2 10 2" xfId="13335" xr:uid="{96EFE9E3-DD9A-46AC-8B76-8221697BC501}"/>
    <cellStyle name="Note 2 2 2 11" xfId="9117" xr:uid="{CE5E9054-8FC2-4EC7-9DC7-1604C403605B}"/>
    <cellStyle name="Note 2 2 2 2" xfId="548" xr:uid="{00000000-0005-0000-0000-000096200000}"/>
    <cellStyle name="Note 2 2 2 2 10" xfId="9118" xr:uid="{AAE2C32F-DF05-422D-A275-8DC193FCDD86}"/>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E788B881-516A-42C6-BB4C-8F1317F7E658}"/>
    <cellStyle name="Note 2 2 2 2 2 2 3" xfId="11676" xr:uid="{CF75C9AC-FF00-4352-92B2-E89056F7F7AA}"/>
    <cellStyle name="Note 2 2 2 2 2 3" xfId="5320" xr:uid="{00000000-0005-0000-0000-00009A200000}"/>
    <cellStyle name="Note 2 2 2 2 2 3 2" xfId="13749" xr:uid="{11601447-1217-435F-8DBD-8A107739E07E}"/>
    <cellStyle name="Note 2 2 2 2 2 4" xfId="9531" xr:uid="{7995448F-8EBB-4E69-AB93-42D9BE85A3E5}"/>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8D18160B-ECA8-48A3-A73C-839CD9131812}"/>
    <cellStyle name="Note 2 2 2 2 3 2 3" xfId="12089" xr:uid="{1819FB77-C50D-4DAA-9FF8-4345AF0A061E}"/>
    <cellStyle name="Note 2 2 2 2 3 3" xfId="5733" xr:uid="{00000000-0005-0000-0000-00009E200000}"/>
    <cellStyle name="Note 2 2 2 2 3 3 2" xfId="14162" xr:uid="{1D87348F-82FC-42A6-9851-96AC27414826}"/>
    <cellStyle name="Note 2 2 2 2 3 4" xfId="9944" xr:uid="{453D86D3-DE2A-49E9-B40B-A9069D418A10}"/>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6412A2DF-2FCD-4584-AF78-B00E16D9EB65}"/>
    <cellStyle name="Note 2 2 2 2 4 2 3" xfId="12502" xr:uid="{BDD32C15-DF0F-420A-9DE5-AEEB5A40C417}"/>
    <cellStyle name="Note 2 2 2 2 4 3" xfId="6146" xr:uid="{00000000-0005-0000-0000-0000A2200000}"/>
    <cellStyle name="Note 2 2 2 2 4 3 2" xfId="14575" xr:uid="{F0FFA908-8486-4400-A7D6-31A1A47111FB}"/>
    <cellStyle name="Note 2 2 2 2 4 4" xfId="10357" xr:uid="{67403BB0-1A56-4D52-B775-0E1004F12A21}"/>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BFD606CA-7B7F-4C24-BA3A-11337C33EA19}"/>
    <cellStyle name="Note 2 2 2 2 5 2 3" xfId="12915" xr:uid="{6BB3892D-77F6-44F9-89BF-FDD82FABC344}"/>
    <cellStyle name="Note 2 2 2 2 5 3" xfId="6559" xr:uid="{00000000-0005-0000-0000-0000A6200000}"/>
    <cellStyle name="Note 2 2 2 2 5 3 2" xfId="14988" xr:uid="{146D11BF-260C-49DD-B223-476EA17D0776}"/>
    <cellStyle name="Note 2 2 2 2 5 4" xfId="10770" xr:uid="{8B622584-E304-47CA-9366-274E1A1A00D1}"/>
    <cellStyle name="Note 2 2 2 2 6" xfId="2687" xr:uid="{00000000-0005-0000-0000-0000A7200000}"/>
    <cellStyle name="Note 2 2 2 2 6 2" xfId="6972" xr:uid="{00000000-0005-0000-0000-0000A8200000}"/>
    <cellStyle name="Note 2 2 2 2 6 2 2" xfId="15401" xr:uid="{BDB3CB90-DB45-49FC-8BB5-D4D0D73E6E37}"/>
    <cellStyle name="Note 2 2 2 2 6 3" xfId="11183" xr:uid="{34921BDD-F23B-4B4D-931E-E785BA4ED0F2}"/>
    <cellStyle name="Note 2 2 2 2 7" xfId="2746" xr:uid="{00000000-0005-0000-0000-0000A9200000}"/>
    <cellStyle name="Note 2 2 2 2 8" xfId="2827" xr:uid="{00000000-0005-0000-0000-0000AA200000}"/>
    <cellStyle name="Note 2 2 2 2 8 2" xfId="7052" xr:uid="{00000000-0005-0000-0000-0000AB200000}"/>
    <cellStyle name="Note 2 2 2 2 8 2 2" xfId="15481" xr:uid="{0AB31736-EF24-4B3A-9723-63455C27B9DE}"/>
    <cellStyle name="Note 2 2 2 2 8 3" xfId="11263" xr:uid="{09FDC107-3FB1-4A0E-A89F-BF182E06FED6}"/>
    <cellStyle name="Note 2 2 2 2 9" xfId="4907" xr:uid="{00000000-0005-0000-0000-0000AC200000}"/>
    <cellStyle name="Note 2 2 2 2 9 2" xfId="13336" xr:uid="{7B97D851-8A10-4270-810B-C36F2AA3B783}"/>
    <cellStyle name="Note 2 2 2 3" xfId="1008" xr:uid="{00000000-0005-0000-0000-0000AD200000}"/>
    <cellStyle name="Note 2 2 2 3 2" xfId="3240" xr:uid="{00000000-0005-0000-0000-0000AE200000}"/>
    <cellStyle name="Note 2 2 2 3 2 2" xfId="7464" xr:uid="{00000000-0005-0000-0000-0000AF200000}"/>
    <cellStyle name="Note 2 2 2 3 2 2 2" xfId="15893" xr:uid="{56692E84-87F4-4D2A-A2A0-8314EF3DF65B}"/>
    <cellStyle name="Note 2 2 2 3 2 3" xfId="11675" xr:uid="{ABDBB331-FD3F-4206-B62A-40F6C5FCEBE0}"/>
    <cellStyle name="Note 2 2 2 3 3" xfId="5319" xr:uid="{00000000-0005-0000-0000-0000B0200000}"/>
    <cellStyle name="Note 2 2 2 3 3 2" xfId="13748" xr:uid="{62DA14DD-DBC2-451F-85A4-AFA1D86BFB4F}"/>
    <cellStyle name="Note 2 2 2 3 4" xfId="9530" xr:uid="{04AD80CD-AD45-47C6-97E0-BAFF1C2036C0}"/>
    <cellStyle name="Note 2 2 2 4" xfId="1423" xr:uid="{00000000-0005-0000-0000-0000B1200000}"/>
    <cellStyle name="Note 2 2 2 4 2" xfId="3653" xr:uid="{00000000-0005-0000-0000-0000B2200000}"/>
    <cellStyle name="Note 2 2 2 4 2 2" xfId="7877" xr:uid="{00000000-0005-0000-0000-0000B3200000}"/>
    <cellStyle name="Note 2 2 2 4 2 2 2" xfId="16306" xr:uid="{2B6DBB2B-CCF5-472A-B6A7-945E1034482E}"/>
    <cellStyle name="Note 2 2 2 4 2 3" xfId="12088" xr:uid="{9834855C-F5CC-4C4B-9FE4-BE0078FFA2A3}"/>
    <cellStyle name="Note 2 2 2 4 3" xfId="5732" xr:uid="{00000000-0005-0000-0000-0000B4200000}"/>
    <cellStyle name="Note 2 2 2 4 3 2" xfId="14161" xr:uid="{C1D68AF1-B193-41D6-88E1-74818ABDC48E}"/>
    <cellStyle name="Note 2 2 2 4 4" xfId="9943" xr:uid="{F8B09C37-4185-471F-8B18-B29DA022C644}"/>
    <cellStyle name="Note 2 2 2 5" xfId="1837" xr:uid="{00000000-0005-0000-0000-0000B5200000}"/>
    <cellStyle name="Note 2 2 2 5 2" xfId="4066" xr:uid="{00000000-0005-0000-0000-0000B6200000}"/>
    <cellStyle name="Note 2 2 2 5 2 2" xfId="8290" xr:uid="{00000000-0005-0000-0000-0000B7200000}"/>
    <cellStyle name="Note 2 2 2 5 2 2 2" xfId="16719" xr:uid="{1FCCDB18-B7E6-49E0-BD6D-A705B203C3CE}"/>
    <cellStyle name="Note 2 2 2 5 2 3" xfId="12501" xr:uid="{2962AC98-D866-46FB-969A-C61E9FB870BC}"/>
    <cellStyle name="Note 2 2 2 5 3" xfId="6145" xr:uid="{00000000-0005-0000-0000-0000B8200000}"/>
    <cellStyle name="Note 2 2 2 5 3 2" xfId="14574" xr:uid="{471A3B20-5F00-48C4-A3BF-AD57D85F3209}"/>
    <cellStyle name="Note 2 2 2 5 4" xfId="10356" xr:uid="{91A2C801-9CCC-4019-B37B-70E2EB3F791B}"/>
    <cellStyle name="Note 2 2 2 6" xfId="2250" xr:uid="{00000000-0005-0000-0000-0000B9200000}"/>
    <cellStyle name="Note 2 2 2 6 2" xfId="4479" xr:uid="{00000000-0005-0000-0000-0000BA200000}"/>
    <cellStyle name="Note 2 2 2 6 2 2" xfId="8703" xr:uid="{00000000-0005-0000-0000-0000BB200000}"/>
    <cellStyle name="Note 2 2 2 6 2 2 2" xfId="17132" xr:uid="{ACD48F66-2593-4D9F-8140-33EB8C9AEDE5}"/>
    <cellStyle name="Note 2 2 2 6 2 3" xfId="12914" xr:uid="{B4E919CB-B819-4F3E-9E0D-E28D234C37EE}"/>
    <cellStyle name="Note 2 2 2 6 3" xfId="6558" xr:uid="{00000000-0005-0000-0000-0000BC200000}"/>
    <cellStyle name="Note 2 2 2 6 3 2" xfId="14987" xr:uid="{1F162EDF-056D-4A57-BCEA-F655CDF62B59}"/>
    <cellStyle name="Note 2 2 2 6 4" xfId="10769" xr:uid="{2493056E-797A-4F44-B306-5EA62B1E4880}"/>
    <cellStyle name="Note 2 2 2 7" xfId="2686" xr:uid="{00000000-0005-0000-0000-0000BD200000}"/>
    <cellStyle name="Note 2 2 2 7 2" xfId="6971" xr:uid="{00000000-0005-0000-0000-0000BE200000}"/>
    <cellStyle name="Note 2 2 2 7 2 2" xfId="15400" xr:uid="{71DB89C6-B368-40BD-8733-094D42049D32}"/>
    <cellStyle name="Note 2 2 2 7 3" xfId="11182" xr:uid="{1EC3A1B1-D3C8-414C-ADF6-3044ABB95873}"/>
    <cellStyle name="Note 2 2 2 8" xfId="2745" xr:uid="{00000000-0005-0000-0000-0000BF200000}"/>
    <cellStyle name="Note 2 2 2 9" xfId="2826" xr:uid="{00000000-0005-0000-0000-0000C0200000}"/>
    <cellStyle name="Note 2 2 2 9 2" xfId="7051" xr:uid="{00000000-0005-0000-0000-0000C1200000}"/>
    <cellStyle name="Note 2 2 2 9 2 2" xfId="15480" xr:uid="{02160FA3-1F96-4D4E-8273-D827D6103567}"/>
    <cellStyle name="Note 2 2 2 9 3" xfId="11262" xr:uid="{7271153E-D7AB-41A2-B89A-994DEB30A59E}"/>
    <cellStyle name="Note 2 2 3" xfId="549" xr:uid="{00000000-0005-0000-0000-0000C2200000}"/>
    <cellStyle name="Note 2 2 3 10" xfId="9119" xr:uid="{E1228FCC-F557-46F5-BAA3-30E3575B6A69}"/>
    <cellStyle name="Note 2 2 3 2" xfId="1010" xr:uid="{00000000-0005-0000-0000-0000C3200000}"/>
    <cellStyle name="Note 2 2 3 2 2" xfId="3242" xr:uid="{00000000-0005-0000-0000-0000C4200000}"/>
    <cellStyle name="Note 2 2 3 2 2 2" xfId="7466" xr:uid="{00000000-0005-0000-0000-0000C5200000}"/>
    <cellStyle name="Note 2 2 3 2 2 2 2" xfId="15895" xr:uid="{A312A68D-294C-45DA-A30F-7FB90AAF7AD9}"/>
    <cellStyle name="Note 2 2 3 2 2 3" xfId="11677" xr:uid="{388D6864-86B7-46B2-A8D9-B9D52DCB4D3C}"/>
    <cellStyle name="Note 2 2 3 2 3" xfId="5321" xr:uid="{00000000-0005-0000-0000-0000C6200000}"/>
    <cellStyle name="Note 2 2 3 2 3 2" xfId="13750" xr:uid="{86DC1B9C-41AE-4AEB-A518-E20F0234CD0D}"/>
    <cellStyle name="Note 2 2 3 2 4" xfId="9532" xr:uid="{BD46D4DE-EA11-4317-817A-AE6C9F7AF690}"/>
    <cellStyle name="Note 2 2 3 3" xfId="1425" xr:uid="{00000000-0005-0000-0000-0000C7200000}"/>
    <cellStyle name="Note 2 2 3 3 2" xfId="3655" xr:uid="{00000000-0005-0000-0000-0000C8200000}"/>
    <cellStyle name="Note 2 2 3 3 2 2" xfId="7879" xr:uid="{00000000-0005-0000-0000-0000C9200000}"/>
    <cellStyle name="Note 2 2 3 3 2 2 2" xfId="16308" xr:uid="{E7624105-9C08-46AB-A712-60B9001D4E1A}"/>
    <cellStyle name="Note 2 2 3 3 2 3" xfId="12090" xr:uid="{1B5C896E-60C0-49AC-AFA2-1F23A5A7470F}"/>
    <cellStyle name="Note 2 2 3 3 3" xfId="5734" xr:uid="{00000000-0005-0000-0000-0000CA200000}"/>
    <cellStyle name="Note 2 2 3 3 3 2" xfId="14163" xr:uid="{E86C9043-2B29-4F1D-9353-A98E01FB4DEC}"/>
    <cellStyle name="Note 2 2 3 3 4" xfId="9945" xr:uid="{F80373D8-4D85-4E06-997A-EBE4426DD5C7}"/>
    <cellStyle name="Note 2 2 3 4" xfId="1839" xr:uid="{00000000-0005-0000-0000-0000CB200000}"/>
    <cellStyle name="Note 2 2 3 4 2" xfId="4068" xr:uid="{00000000-0005-0000-0000-0000CC200000}"/>
    <cellStyle name="Note 2 2 3 4 2 2" xfId="8292" xr:uid="{00000000-0005-0000-0000-0000CD200000}"/>
    <cellStyle name="Note 2 2 3 4 2 2 2" xfId="16721" xr:uid="{58A56335-8CB6-4A6A-9E70-B5787D28B7B5}"/>
    <cellStyle name="Note 2 2 3 4 2 3" xfId="12503" xr:uid="{4EA5537A-2136-4F29-9414-489E892CD56C}"/>
    <cellStyle name="Note 2 2 3 4 3" xfId="6147" xr:uid="{00000000-0005-0000-0000-0000CE200000}"/>
    <cellStyle name="Note 2 2 3 4 3 2" xfId="14576" xr:uid="{78A406D2-69F8-49C9-A82B-DCDE2FC76C78}"/>
    <cellStyle name="Note 2 2 3 4 4" xfId="10358" xr:uid="{483252AC-3AA1-427B-8E80-37DE5F3DDE95}"/>
    <cellStyle name="Note 2 2 3 5" xfId="2252" xr:uid="{00000000-0005-0000-0000-0000CF200000}"/>
    <cellStyle name="Note 2 2 3 5 2" xfId="4481" xr:uid="{00000000-0005-0000-0000-0000D0200000}"/>
    <cellStyle name="Note 2 2 3 5 2 2" xfId="8705" xr:uid="{00000000-0005-0000-0000-0000D1200000}"/>
    <cellStyle name="Note 2 2 3 5 2 2 2" xfId="17134" xr:uid="{2FC90E2C-74D2-4187-A223-3041131DA5F0}"/>
    <cellStyle name="Note 2 2 3 5 2 3" xfId="12916" xr:uid="{FF22D0E2-7FC6-4547-9FAC-C3E1570A6EB3}"/>
    <cellStyle name="Note 2 2 3 5 3" xfId="6560" xr:uid="{00000000-0005-0000-0000-0000D2200000}"/>
    <cellStyle name="Note 2 2 3 5 3 2" xfId="14989" xr:uid="{3BD3FB60-506F-4C84-980D-BFE30BD704D1}"/>
    <cellStyle name="Note 2 2 3 5 4" xfId="10771" xr:uid="{A341191B-9404-446B-B5AD-DEDF581D6706}"/>
    <cellStyle name="Note 2 2 3 6" xfId="2688" xr:uid="{00000000-0005-0000-0000-0000D3200000}"/>
    <cellStyle name="Note 2 2 3 6 2" xfId="6973" xr:uid="{00000000-0005-0000-0000-0000D4200000}"/>
    <cellStyle name="Note 2 2 3 6 2 2" xfId="15402" xr:uid="{A13AF593-A347-4AFE-B48D-FE4B6599A6E2}"/>
    <cellStyle name="Note 2 2 3 6 3" xfId="11184" xr:uid="{01C8B759-E1CE-4780-8C4F-82DBD6C76D63}"/>
    <cellStyle name="Note 2 2 3 7" xfId="2747" xr:uid="{00000000-0005-0000-0000-0000D5200000}"/>
    <cellStyle name="Note 2 2 3 8" xfId="2828" xr:uid="{00000000-0005-0000-0000-0000D6200000}"/>
    <cellStyle name="Note 2 2 3 8 2" xfId="7053" xr:uid="{00000000-0005-0000-0000-0000D7200000}"/>
    <cellStyle name="Note 2 2 3 8 2 2" xfId="15482" xr:uid="{0672E523-08A2-47A0-AAA8-1065EEA4F7B6}"/>
    <cellStyle name="Note 2 2 3 8 3" xfId="11264" xr:uid="{FEA667F2-6CFF-4518-9719-8552E2FBA0CA}"/>
    <cellStyle name="Note 2 2 3 9" xfId="4908" xr:uid="{00000000-0005-0000-0000-0000D8200000}"/>
    <cellStyle name="Note 2 2 3 9 2" xfId="13337" xr:uid="{DA84443C-7C09-4751-87CA-8716CB2BAD05}"/>
    <cellStyle name="Note 2 2 4" xfId="1007" xr:uid="{00000000-0005-0000-0000-0000D9200000}"/>
    <cellStyle name="Note 2 2 4 2" xfId="3239" xr:uid="{00000000-0005-0000-0000-0000DA200000}"/>
    <cellStyle name="Note 2 2 4 2 2" xfId="7463" xr:uid="{00000000-0005-0000-0000-0000DB200000}"/>
    <cellStyle name="Note 2 2 4 2 2 2" xfId="15892" xr:uid="{CB4D41F2-7695-4188-BE1E-56207847A00B}"/>
    <cellStyle name="Note 2 2 4 2 3" xfId="11674" xr:uid="{09D5DABE-3A07-4B94-BED2-CEEC973305DA}"/>
    <cellStyle name="Note 2 2 4 3" xfId="5318" xr:uid="{00000000-0005-0000-0000-0000DC200000}"/>
    <cellStyle name="Note 2 2 4 3 2" xfId="13747" xr:uid="{D46BBF24-7BE3-4607-838F-A34EEE9DE3D7}"/>
    <cellStyle name="Note 2 2 4 4" xfId="9529" xr:uid="{6F5C402B-E577-414F-8672-DD6DEEBE9298}"/>
    <cellStyle name="Note 2 2 5" xfId="1422" xr:uid="{00000000-0005-0000-0000-0000DD200000}"/>
    <cellStyle name="Note 2 2 5 2" xfId="3652" xr:uid="{00000000-0005-0000-0000-0000DE200000}"/>
    <cellStyle name="Note 2 2 5 2 2" xfId="7876" xr:uid="{00000000-0005-0000-0000-0000DF200000}"/>
    <cellStyle name="Note 2 2 5 2 2 2" xfId="16305" xr:uid="{80BEF4F2-CDEC-46DF-B61D-0756519289B9}"/>
    <cellStyle name="Note 2 2 5 2 3" xfId="12087" xr:uid="{86EAE5C9-8277-425E-A173-EC0740E5E140}"/>
    <cellStyle name="Note 2 2 5 3" xfId="5731" xr:uid="{00000000-0005-0000-0000-0000E0200000}"/>
    <cellStyle name="Note 2 2 5 3 2" xfId="14160" xr:uid="{A6A08186-A33C-4649-A7C7-6C95CF907D93}"/>
    <cellStyle name="Note 2 2 5 4" xfId="9942" xr:uid="{D4A684EA-21F9-4330-A799-728B1B4376B6}"/>
    <cellStyle name="Note 2 2 6" xfId="1836" xr:uid="{00000000-0005-0000-0000-0000E1200000}"/>
    <cellStyle name="Note 2 2 6 2" xfId="4065" xr:uid="{00000000-0005-0000-0000-0000E2200000}"/>
    <cellStyle name="Note 2 2 6 2 2" xfId="8289" xr:uid="{00000000-0005-0000-0000-0000E3200000}"/>
    <cellStyle name="Note 2 2 6 2 2 2" xfId="16718" xr:uid="{D4D131C8-6ACE-48F1-BE62-18B2C6B8AF65}"/>
    <cellStyle name="Note 2 2 6 2 3" xfId="12500" xr:uid="{40AFFA71-E42A-4954-B202-C5CD3B74BF55}"/>
    <cellStyle name="Note 2 2 6 3" xfId="6144" xr:uid="{00000000-0005-0000-0000-0000E4200000}"/>
    <cellStyle name="Note 2 2 6 3 2" xfId="14573" xr:uid="{F31B39E8-B12E-4941-8D5F-ECA9186F5349}"/>
    <cellStyle name="Note 2 2 6 4" xfId="10355" xr:uid="{AE63A573-DEBD-4C2A-B01A-943D02535E99}"/>
    <cellStyle name="Note 2 2 7" xfId="2249" xr:uid="{00000000-0005-0000-0000-0000E5200000}"/>
    <cellStyle name="Note 2 2 7 2" xfId="4478" xr:uid="{00000000-0005-0000-0000-0000E6200000}"/>
    <cellStyle name="Note 2 2 7 2 2" xfId="8702" xr:uid="{00000000-0005-0000-0000-0000E7200000}"/>
    <cellStyle name="Note 2 2 7 2 2 2" xfId="17131" xr:uid="{AD0F2B06-62B2-41D7-A411-F380D8684202}"/>
    <cellStyle name="Note 2 2 7 2 3" xfId="12913" xr:uid="{AC2FEF72-AF44-4937-B507-9FC4AD608AA8}"/>
    <cellStyle name="Note 2 2 7 3" xfId="6557" xr:uid="{00000000-0005-0000-0000-0000E8200000}"/>
    <cellStyle name="Note 2 2 7 3 2" xfId="14986" xr:uid="{CCB06B9C-A24A-4D38-876D-4662A78279C4}"/>
    <cellStyle name="Note 2 2 7 4" xfId="10768" xr:uid="{88DA085A-333F-435A-8F83-FFD887E8AD12}"/>
    <cellStyle name="Note 2 2 8" xfId="2685" xr:uid="{00000000-0005-0000-0000-0000E9200000}"/>
    <cellStyle name="Note 2 2 8 2" xfId="6970" xr:uid="{00000000-0005-0000-0000-0000EA200000}"/>
    <cellStyle name="Note 2 2 8 2 2" xfId="15399" xr:uid="{5234619A-102F-4C32-BD15-415406063A61}"/>
    <cellStyle name="Note 2 2 8 3" xfId="11181" xr:uid="{45AC2A38-1D63-4F2E-8744-5D66D8238C15}"/>
    <cellStyle name="Note 2 2 9" xfId="2744" xr:uid="{00000000-0005-0000-0000-0000EB200000}"/>
    <cellStyle name="Note 2 3" xfId="550" xr:uid="{00000000-0005-0000-0000-0000EC200000}"/>
    <cellStyle name="Note 2 3 10" xfId="4909" xr:uid="{00000000-0005-0000-0000-0000ED200000}"/>
    <cellStyle name="Note 2 3 10 2" xfId="13338" xr:uid="{15EA5B97-3D08-401F-9DB7-09CDD44830D7}"/>
    <cellStyle name="Note 2 3 11" xfId="9120" xr:uid="{A68FA88B-3B12-420E-B2E2-05B3632D970C}"/>
    <cellStyle name="Note 2 3 2" xfId="551" xr:uid="{00000000-0005-0000-0000-0000EE200000}"/>
    <cellStyle name="Note 2 3 2 10" xfId="9121" xr:uid="{CDEF65AD-6A33-4C99-AA49-0AFBF87FB0FE}"/>
    <cellStyle name="Note 2 3 2 2" xfId="1012" xr:uid="{00000000-0005-0000-0000-0000EF200000}"/>
    <cellStyle name="Note 2 3 2 2 2" xfId="3244" xr:uid="{00000000-0005-0000-0000-0000F0200000}"/>
    <cellStyle name="Note 2 3 2 2 2 2" xfId="7468" xr:uid="{00000000-0005-0000-0000-0000F1200000}"/>
    <cellStyle name="Note 2 3 2 2 2 2 2" xfId="15897" xr:uid="{2D0401C4-AB61-4DFD-A1CF-A75C61B470C0}"/>
    <cellStyle name="Note 2 3 2 2 2 3" xfId="11679" xr:uid="{F5149FCB-08A6-42C2-9A83-086FE400B943}"/>
    <cellStyle name="Note 2 3 2 2 3" xfId="5323" xr:uid="{00000000-0005-0000-0000-0000F2200000}"/>
    <cellStyle name="Note 2 3 2 2 3 2" xfId="13752" xr:uid="{DF29D39C-C086-40E4-A775-242735E38737}"/>
    <cellStyle name="Note 2 3 2 2 4" xfId="9534" xr:uid="{79C0EBFF-AB7B-43F6-8B34-116603B1CE15}"/>
    <cellStyle name="Note 2 3 2 3" xfId="1427" xr:uid="{00000000-0005-0000-0000-0000F3200000}"/>
    <cellStyle name="Note 2 3 2 3 2" xfId="3657" xr:uid="{00000000-0005-0000-0000-0000F4200000}"/>
    <cellStyle name="Note 2 3 2 3 2 2" xfId="7881" xr:uid="{00000000-0005-0000-0000-0000F5200000}"/>
    <cellStyle name="Note 2 3 2 3 2 2 2" xfId="16310" xr:uid="{2E2F7FBF-4CFE-42ED-A410-2BF3A9E24383}"/>
    <cellStyle name="Note 2 3 2 3 2 3" xfId="12092" xr:uid="{ADB0DBC7-9B03-4E32-A3FC-BE2F9A36D4D5}"/>
    <cellStyle name="Note 2 3 2 3 3" xfId="5736" xr:uid="{00000000-0005-0000-0000-0000F6200000}"/>
    <cellStyle name="Note 2 3 2 3 3 2" xfId="14165" xr:uid="{4D28C223-FD79-4EC8-9068-08197F44DADA}"/>
    <cellStyle name="Note 2 3 2 3 4" xfId="9947" xr:uid="{0E67C95F-C447-421B-B18A-DCD496323049}"/>
    <cellStyle name="Note 2 3 2 4" xfId="1841" xr:uid="{00000000-0005-0000-0000-0000F7200000}"/>
    <cellStyle name="Note 2 3 2 4 2" xfId="4070" xr:uid="{00000000-0005-0000-0000-0000F8200000}"/>
    <cellStyle name="Note 2 3 2 4 2 2" xfId="8294" xr:uid="{00000000-0005-0000-0000-0000F9200000}"/>
    <cellStyle name="Note 2 3 2 4 2 2 2" xfId="16723" xr:uid="{D9CFAE4F-5808-4CC0-BEDC-B34C770D933F}"/>
    <cellStyle name="Note 2 3 2 4 2 3" xfId="12505" xr:uid="{40D3F33C-850D-4F1E-9F30-ED3A85559563}"/>
    <cellStyle name="Note 2 3 2 4 3" xfId="6149" xr:uid="{00000000-0005-0000-0000-0000FA200000}"/>
    <cellStyle name="Note 2 3 2 4 3 2" xfId="14578" xr:uid="{7EF8EED2-6B06-49C8-A844-19A37162205F}"/>
    <cellStyle name="Note 2 3 2 4 4" xfId="10360" xr:uid="{8EF9B88F-7C6C-4572-8767-882DEB296728}"/>
    <cellStyle name="Note 2 3 2 5" xfId="2254" xr:uid="{00000000-0005-0000-0000-0000FB200000}"/>
    <cellStyle name="Note 2 3 2 5 2" xfId="4483" xr:uid="{00000000-0005-0000-0000-0000FC200000}"/>
    <cellStyle name="Note 2 3 2 5 2 2" xfId="8707" xr:uid="{00000000-0005-0000-0000-0000FD200000}"/>
    <cellStyle name="Note 2 3 2 5 2 2 2" xfId="17136" xr:uid="{C92B3CA3-5CBA-4B36-922D-45F2D57E939A}"/>
    <cellStyle name="Note 2 3 2 5 2 3" xfId="12918" xr:uid="{7AE6BAB7-C44B-449A-B5EC-E4D8279C0AE8}"/>
    <cellStyle name="Note 2 3 2 5 3" xfId="6562" xr:uid="{00000000-0005-0000-0000-0000FE200000}"/>
    <cellStyle name="Note 2 3 2 5 3 2" xfId="14991" xr:uid="{F03058D7-1D1F-4F1A-8452-6B1DD8226BF6}"/>
    <cellStyle name="Note 2 3 2 5 4" xfId="10773" xr:uid="{B95E273D-F1F6-4B16-9716-07D07A34AB50}"/>
    <cellStyle name="Note 2 3 2 6" xfId="2690" xr:uid="{00000000-0005-0000-0000-0000FF200000}"/>
    <cellStyle name="Note 2 3 2 6 2" xfId="6975" xr:uid="{00000000-0005-0000-0000-000000210000}"/>
    <cellStyle name="Note 2 3 2 6 2 2" xfId="15404" xr:uid="{17D0D44E-8E78-436F-8681-6ACF9609FECB}"/>
    <cellStyle name="Note 2 3 2 6 3" xfId="11186" xr:uid="{C7E0BAF3-64AA-4B0B-8525-5B3BB4DB7A54}"/>
    <cellStyle name="Note 2 3 2 7" xfId="2749" xr:uid="{00000000-0005-0000-0000-000001210000}"/>
    <cellStyle name="Note 2 3 2 8" xfId="2830" xr:uid="{00000000-0005-0000-0000-000002210000}"/>
    <cellStyle name="Note 2 3 2 8 2" xfId="7055" xr:uid="{00000000-0005-0000-0000-000003210000}"/>
    <cellStyle name="Note 2 3 2 8 2 2" xfId="15484" xr:uid="{57CDEA80-B444-4039-ACE7-D445310E8ADA}"/>
    <cellStyle name="Note 2 3 2 8 3" xfId="11266" xr:uid="{511F0696-D876-4CF4-BC9E-22546AC95CE0}"/>
    <cellStyle name="Note 2 3 2 9" xfId="4910" xr:uid="{00000000-0005-0000-0000-000004210000}"/>
    <cellStyle name="Note 2 3 2 9 2" xfId="13339" xr:uid="{30EDE1C4-6F1A-46C8-9826-6B2538312F5F}"/>
    <cellStyle name="Note 2 3 3" xfId="1011" xr:uid="{00000000-0005-0000-0000-000005210000}"/>
    <cellStyle name="Note 2 3 3 2" xfId="3243" xr:uid="{00000000-0005-0000-0000-000006210000}"/>
    <cellStyle name="Note 2 3 3 2 2" xfId="7467" xr:uid="{00000000-0005-0000-0000-000007210000}"/>
    <cellStyle name="Note 2 3 3 2 2 2" xfId="15896" xr:uid="{220EECC2-9940-40DD-8E53-85CD8131CB4F}"/>
    <cellStyle name="Note 2 3 3 2 3" xfId="11678" xr:uid="{B138BD88-248F-4444-B5E1-15026ECF34B1}"/>
    <cellStyle name="Note 2 3 3 3" xfId="5322" xr:uid="{00000000-0005-0000-0000-000008210000}"/>
    <cellStyle name="Note 2 3 3 3 2" xfId="13751" xr:uid="{956BAED5-AAAE-4757-9779-B51D1C2A5864}"/>
    <cellStyle name="Note 2 3 3 4" xfId="9533" xr:uid="{6A5B9907-A742-496A-919F-975547ABAF57}"/>
    <cellStyle name="Note 2 3 4" xfId="1426" xr:uid="{00000000-0005-0000-0000-000009210000}"/>
    <cellStyle name="Note 2 3 4 2" xfId="3656" xr:uid="{00000000-0005-0000-0000-00000A210000}"/>
    <cellStyle name="Note 2 3 4 2 2" xfId="7880" xr:uid="{00000000-0005-0000-0000-00000B210000}"/>
    <cellStyle name="Note 2 3 4 2 2 2" xfId="16309" xr:uid="{723CCE67-FA44-483E-8716-2113D24E0DE7}"/>
    <cellStyle name="Note 2 3 4 2 3" xfId="12091" xr:uid="{1A77298D-75AB-43CC-80BA-D98FAE5E579B}"/>
    <cellStyle name="Note 2 3 4 3" xfId="5735" xr:uid="{00000000-0005-0000-0000-00000C210000}"/>
    <cellStyle name="Note 2 3 4 3 2" xfId="14164" xr:uid="{D1BAEF26-F958-4B10-8B40-6907295AC0D9}"/>
    <cellStyle name="Note 2 3 4 4" xfId="9946" xr:uid="{96C73EE7-B3B4-4F29-A93D-114C5DEA0B86}"/>
    <cellStyle name="Note 2 3 5" xfId="1840" xr:uid="{00000000-0005-0000-0000-00000D210000}"/>
    <cellStyle name="Note 2 3 5 2" xfId="4069" xr:uid="{00000000-0005-0000-0000-00000E210000}"/>
    <cellStyle name="Note 2 3 5 2 2" xfId="8293" xr:uid="{00000000-0005-0000-0000-00000F210000}"/>
    <cellStyle name="Note 2 3 5 2 2 2" xfId="16722" xr:uid="{4956F485-3602-430E-9364-EACB440E2DD6}"/>
    <cellStyle name="Note 2 3 5 2 3" xfId="12504" xr:uid="{5B74A559-8844-45C9-B578-B37220D54B87}"/>
    <cellStyle name="Note 2 3 5 3" xfId="6148" xr:uid="{00000000-0005-0000-0000-000010210000}"/>
    <cellStyle name="Note 2 3 5 3 2" xfId="14577" xr:uid="{0DF49EB9-2070-43D7-B7ED-611468B51070}"/>
    <cellStyle name="Note 2 3 5 4" xfId="10359" xr:uid="{19DCA89D-0F03-42BF-88C8-BBA53953BCB2}"/>
    <cellStyle name="Note 2 3 6" xfId="2253" xr:uid="{00000000-0005-0000-0000-000011210000}"/>
    <cellStyle name="Note 2 3 6 2" xfId="4482" xr:uid="{00000000-0005-0000-0000-000012210000}"/>
    <cellStyle name="Note 2 3 6 2 2" xfId="8706" xr:uid="{00000000-0005-0000-0000-000013210000}"/>
    <cellStyle name="Note 2 3 6 2 2 2" xfId="17135" xr:uid="{BBBEF957-20DE-4143-8F26-3EF0B4E4B00D}"/>
    <cellStyle name="Note 2 3 6 2 3" xfId="12917" xr:uid="{E74F6D64-A19C-470A-9740-40BF8085DFF9}"/>
    <cellStyle name="Note 2 3 6 3" xfId="6561" xr:uid="{00000000-0005-0000-0000-000014210000}"/>
    <cellStyle name="Note 2 3 6 3 2" xfId="14990" xr:uid="{59BF5409-8585-4457-80EA-33F12EC62C43}"/>
    <cellStyle name="Note 2 3 6 4" xfId="10772" xr:uid="{28900657-BB34-4755-88A8-AB53EE28CAD2}"/>
    <cellStyle name="Note 2 3 7" xfId="2689" xr:uid="{00000000-0005-0000-0000-000015210000}"/>
    <cellStyle name="Note 2 3 7 2" xfId="6974" xr:uid="{00000000-0005-0000-0000-000016210000}"/>
    <cellStyle name="Note 2 3 7 2 2" xfId="15403" xr:uid="{80147FA4-30C7-40C4-BAA5-B07660057C30}"/>
    <cellStyle name="Note 2 3 7 3" xfId="11185" xr:uid="{EC5DFB4D-19AB-4B73-B5D2-FCB64D679EFD}"/>
    <cellStyle name="Note 2 3 8" xfId="2748" xr:uid="{00000000-0005-0000-0000-000017210000}"/>
    <cellStyle name="Note 2 3 9" xfId="2829" xr:uid="{00000000-0005-0000-0000-000018210000}"/>
    <cellStyle name="Note 2 3 9 2" xfId="7054" xr:uid="{00000000-0005-0000-0000-000019210000}"/>
    <cellStyle name="Note 2 3 9 2 2" xfId="15483" xr:uid="{B1725187-855A-44B4-8A46-61DF8EDD270A}"/>
    <cellStyle name="Note 2 3 9 3" xfId="11265" xr:uid="{F7C7BAC1-9D9C-4720-B7D9-C824C0EB5A4A}"/>
    <cellStyle name="Note 2 4" xfId="552" xr:uid="{00000000-0005-0000-0000-00001A210000}"/>
    <cellStyle name="Note 2 4 10" xfId="9122" xr:uid="{37ED1C1E-160F-4CB4-9B12-DBD7E83E52CA}"/>
    <cellStyle name="Note 2 4 2" xfId="1013" xr:uid="{00000000-0005-0000-0000-00001B210000}"/>
    <cellStyle name="Note 2 4 2 2" xfId="3245" xr:uid="{00000000-0005-0000-0000-00001C210000}"/>
    <cellStyle name="Note 2 4 2 2 2" xfId="7469" xr:uid="{00000000-0005-0000-0000-00001D210000}"/>
    <cellStyle name="Note 2 4 2 2 2 2" xfId="15898" xr:uid="{B875FB56-83AC-42E1-A6E4-D51C90E7616D}"/>
    <cellStyle name="Note 2 4 2 2 3" xfId="11680" xr:uid="{375F566B-10C8-4CC2-9B90-5D4D39C6262D}"/>
    <cellStyle name="Note 2 4 2 3" xfId="5324" xr:uid="{00000000-0005-0000-0000-00001E210000}"/>
    <cellStyle name="Note 2 4 2 3 2" xfId="13753" xr:uid="{9E01C4F2-7E63-4AD7-87EE-E6A0F1485C5C}"/>
    <cellStyle name="Note 2 4 2 4" xfId="9535" xr:uid="{0B2B1A09-D05D-4E98-A30B-065F40E9204F}"/>
    <cellStyle name="Note 2 4 3" xfId="1428" xr:uid="{00000000-0005-0000-0000-00001F210000}"/>
    <cellStyle name="Note 2 4 3 2" xfId="3658" xr:uid="{00000000-0005-0000-0000-000020210000}"/>
    <cellStyle name="Note 2 4 3 2 2" xfId="7882" xr:uid="{00000000-0005-0000-0000-000021210000}"/>
    <cellStyle name="Note 2 4 3 2 2 2" xfId="16311" xr:uid="{4B7B1CE8-7516-401E-8BF2-D4E19AB0D0B6}"/>
    <cellStyle name="Note 2 4 3 2 3" xfId="12093" xr:uid="{30A4721D-8DD2-475A-8014-570D89AE8C35}"/>
    <cellStyle name="Note 2 4 3 3" xfId="5737" xr:uid="{00000000-0005-0000-0000-000022210000}"/>
    <cellStyle name="Note 2 4 3 3 2" xfId="14166" xr:uid="{3499FBFD-59CE-44A4-937A-B8930058CF12}"/>
    <cellStyle name="Note 2 4 3 4" xfId="9948" xr:uid="{F02E7EF7-0EBE-41F5-9172-706F706C8477}"/>
    <cellStyle name="Note 2 4 4" xfId="1842" xr:uid="{00000000-0005-0000-0000-000023210000}"/>
    <cellStyle name="Note 2 4 4 2" xfId="4071" xr:uid="{00000000-0005-0000-0000-000024210000}"/>
    <cellStyle name="Note 2 4 4 2 2" xfId="8295" xr:uid="{00000000-0005-0000-0000-000025210000}"/>
    <cellStyle name="Note 2 4 4 2 2 2" xfId="16724" xr:uid="{556FB3D2-29C0-4D05-AE47-6F3D7F61F07A}"/>
    <cellStyle name="Note 2 4 4 2 3" xfId="12506" xr:uid="{9CD53204-147E-47E7-B953-64336F07209D}"/>
    <cellStyle name="Note 2 4 4 3" xfId="6150" xr:uid="{00000000-0005-0000-0000-000026210000}"/>
    <cellStyle name="Note 2 4 4 3 2" xfId="14579" xr:uid="{C563A7C1-62E4-4849-B470-50A13C9F235D}"/>
    <cellStyle name="Note 2 4 4 4" xfId="10361" xr:uid="{49E1F5CE-3B0C-4B57-ABFC-2D57C7CFBA27}"/>
    <cellStyle name="Note 2 4 5" xfId="2255" xr:uid="{00000000-0005-0000-0000-000027210000}"/>
    <cellStyle name="Note 2 4 5 2" xfId="4484" xr:uid="{00000000-0005-0000-0000-000028210000}"/>
    <cellStyle name="Note 2 4 5 2 2" xfId="8708" xr:uid="{00000000-0005-0000-0000-000029210000}"/>
    <cellStyle name="Note 2 4 5 2 2 2" xfId="17137" xr:uid="{E59966EE-4B38-4137-A1A1-58CB55D905F1}"/>
    <cellStyle name="Note 2 4 5 2 3" xfId="12919" xr:uid="{2CD895DC-4419-4A4E-A6E2-B5504B75D29D}"/>
    <cellStyle name="Note 2 4 5 3" xfId="6563" xr:uid="{00000000-0005-0000-0000-00002A210000}"/>
    <cellStyle name="Note 2 4 5 3 2" xfId="14992" xr:uid="{DBE5E41B-EDE7-4D60-BF94-5B2BE9BD8AEA}"/>
    <cellStyle name="Note 2 4 5 4" xfId="10774" xr:uid="{9C16EBE9-3A60-4E36-9C05-2D9F66B55657}"/>
    <cellStyle name="Note 2 4 6" xfId="2691" xr:uid="{00000000-0005-0000-0000-00002B210000}"/>
    <cellStyle name="Note 2 4 6 2" xfId="6976" xr:uid="{00000000-0005-0000-0000-00002C210000}"/>
    <cellStyle name="Note 2 4 6 2 2" xfId="15405" xr:uid="{2176AE2E-2F2F-4066-9014-3714BE12CC88}"/>
    <cellStyle name="Note 2 4 6 3" xfId="11187" xr:uid="{A8C1FA62-5AB1-48F5-9912-BA6D47992F72}"/>
    <cellStyle name="Note 2 4 7" xfId="2750" xr:uid="{00000000-0005-0000-0000-00002D210000}"/>
    <cellStyle name="Note 2 4 8" xfId="2831" xr:uid="{00000000-0005-0000-0000-00002E210000}"/>
    <cellStyle name="Note 2 4 8 2" xfId="7056" xr:uid="{00000000-0005-0000-0000-00002F210000}"/>
    <cellStyle name="Note 2 4 8 2 2" xfId="15485" xr:uid="{618FB4B9-B906-4551-A387-87ADACC9B163}"/>
    <cellStyle name="Note 2 4 8 3" xfId="11267" xr:uid="{44BC746C-CE14-40F5-92A2-5178D5137B51}"/>
    <cellStyle name="Note 2 4 9" xfId="4911" xr:uid="{00000000-0005-0000-0000-000030210000}"/>
    <cellStyle name="Note 2 4 9 2" xfId="13340" xr:uid="{A14ECABB-912D-48B3-984D-29E817C46BA1}"/>
    <cellStyle name="Note 2 5" xfId="553" xr:uid="{00000000-0005-0000-0000-000031210000}"/>
    <cellStyle name="Note 2 5 10" xfId="9123" xr:uid="{5F60612B-A202-42B0-9A72-148A0A1A2860}"/>
    <cellStyle name="Note 2 5 2" xfId="1014" xr:uid="{00000000-0005-0000-0000-000032210000}"/>
    <cellStyle name="Note 2 5 2 2" xfId="3246" xr:uid="{00000000-0005-0000-0000-000033210000}"/>
    <cellStyle name="Note 2 5 2 2 2" xfId="7470" xr:uid="{00000000-0005-0000-0000-000034210000}"/>
    <cellStyle name="Note 2 5 2 2 2 2" xfId="15899" xr:uid="{3B9AB8DC-1978-40BD-BEB9-7A99DBC87455}"/>
    <cellStyle name="Note 2 5 2 2 3" xfId="11681" xr:uid="{2711633B-8369-4202-9BCC-A0E51F9E583F}"/>
    <cellStyle name="Note 2 5 2 3" xfId="5325" xr:uid="{00000000-0005-0000-0000-000035210000}"/>
    <cellStyle name="Note 2 5 2 3 2" xfId="13754" xr:uid="{F3A1ED35-CEC0-4335-A4BF-2450EBF09E8B}"/>
    <cellStyle name="Note 2 5 2 4" xfId="9536" xr:uid="{C6DFC6F1-C4CD-40FB-90CC-9EF0F57C7A66}"/>
    <cellStyle name="Note 2 5 3" xfId="1429" xr:uid="{00000000-0005-0000-0000-000036210000}"/>
    <cellStyle name="Note 2 5 3 2" xfId="3659" xr:uid="{00000000-0005-0000-0000-000037210000}"/>
    <cellStyle name="Note 2 5 3 2 2" xfId="7883" xr:uid="{00000000-0005-0000-0000-000038210000}"/>
    <cellStyle name="Note 2 5 3 2 2 2" xfId="16312" xr:uid="{8B28C935-4C28-4F21-AB75-CED8853990DC}"/>
    <cellStyle name="Note 2 5 3 2 3" xfId="12094" xr:uid="{410158A0-1BE1-467B-92B9-1DE69A4CC0C7}"/>
    <cellStyle name="Note 2 5 3 3" xfId="5738" xr:uid="{00000000-0005-0000-0000-000039210000}"/>
    <cellStyle name="Note 2 5 3 3 2" xfId="14167" xr:uid="{4D9672BF-60EB-46C0-A802-8AFDEFFC2802}"/>
    <cellStyle name="Note 2 5 3 4" xfId="9949" xr:uid="{C8955B02-0088-4221-8A15-10333609C9FB}"/>
    <cellStyle name="Note 2 5 4" xfId="1843" xr:uid="{00000000-0005-0000-0000-00003A210000}"/>
    <cellStyle name="Note 2 5 4 2" xfId="4072" xr:uid="{00000000-0005-0000-0000-00003B210000}"/>
    <cellStyle name="Note 2 5 4 2 2" xfId="8296" xr:uid="{00000000-0005-0000-0000-00003C210000}"/>
    <cellStyle name="Note 2 5 4 2 2 2" xfId="16725" xr:uid="{D94C54FD-6C73-4846-B33E-EE9CE9699009}"/>
    <cellStyle name="Note 2 5 4 2 3" xfId="12507" xr:uid="{FF397587-B771-4291-B5F9-A822463659A7}"/>
    <cellStyle name="Note 2 5 4 3" xfId="6151" xr:uid="{00000000-0005-0000-0000-00003D210000}"/>
    <cellStyle name="Note 2 5 4 3 2" xfId="14580" xr:uid="{BB172A2B-0D25-4CC3-8F55-05968BB6A30F}"/>
    <cellStyle name="Note 2 5 4 4" xfId="10362" xr:uid="{EB3A6111-C088-4C75-BA86-6F205E66E63B}"/>
    <cellStyle name="Note 2 5 5" xfId="2256" xr:uid="{00000000-0005-0000-0000-00003E210000}"/>
    <cellStyle name="Note 2 5 5 2" xfId="4485" xr:uid="{00000000-0005-0000-0000-00003F210000}"/>
    <cellStyle name="Note 2 5 5 2 2" xfId="8709" xr:uid="{00000000-0005-0000-0000-000040210000}"/>
    <cellStyle name="Note 2 5 5 2 2 2" xfId="17138" xr:uid="{2C2F6812-CE5A-4454-8D39-4DFA883E2604}"/>
    <cellStyle name="Note 2 5 5 2 3" xfId="12920" xr:uid="{7485FA78-7D33-43FF-A933-95DB572BE489}"/>
    <cellStyle name="Note 2 5 5 3" xfId="6564" xr:uid="{00000000-0005-0000-0000-000041210000}"/>
    <cellStyle name="Note 2 5 5 3 2" xfId="14993" xr:uid="{D4F90057-E9A0-44EB-B726-BFF4AD0091D6}"/>
    <cellStyle name="Note 2 5 5 4" xfId="10775" xr:uid="{D6979C7F-A8B1-46D5-AFC0-CFBFDB2300F0}"/>
    <cellStyle name="Note 2 5 6" xfId="2692" xr:uid="{00000000-0005-0000-0000-000042210000}"/>
    <cellStyle name="Note 2 5 6 2" xfId="6977" xr:uid="{00000000-0005-0000-0000-000043210000}"/>
    <cellStyle name="Note 2 5 6 2 2" xfId="15406" xr:uid="{C1133A2B-327F-47A5-A105-7BCE5D59D60E}"/>
    <cellStyle name="Note 2 5 6 3" xfId="11188" xr:uid="{E99A6671-7095-4C7A-852A-6B00499E238A}"/>
    <cellStyle name="Note 2 5 7" xfId="2751" xr:uid="{00000000-0005-0000-0000-000044210000}"/>
    <cellStyle name="Note 2 5 8" xfId="2832" xr:uid="{00000000-0005-0000-0000-000045210000}"/>
    <cellStyle name="Note 2 5 8 2" xfId="7057" xr:uid="{00000000-0005-0000-0000-000046210000}"/>
    <cellStyle name="Note 2 5 8 2 2" xfId="15486" xr:uid="{D386DF32-DDB6-4584-A46A-128A39115094}"/>
    <cellStyle name="Note 2 5 8 3" xfId="11268" xr:uid="{1041A832-5E46-458D-8E45-EE5E479D866D}"/>
    <cellStyle name="Note 2 5 9" xfId="4912" xr:uid="{00000000-0005-0000-0000-000047210000}"/>
    <cellStyle name="Note 2 5 9 2" xfId="13341" xr:uid="{60AF431E-7779-4323-9A8F-6A8B2C533753}"/>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D83B9142-2391-411F-BF04-461496624920}"/>
    <cellStyle name="Note 3 2 10 3" xfId="11269" xr:uid="{2AF3182E-907F-452F-8785-FF7BA1B48012}"/>
    <cellStyle name="Note 3 2 11" xfId="4913" xr:uid="{00000000-0005-0000-0000-00004C210000}"/>
    <cellStyle name="Note 3 2 11 2" xfId="13342" xr:uid="{33108E43-579A-4DE9-BEED-48A33978EFD5}"/>
    <cellStyle name="Note 3 2 12" xfId="9124" xr:uid="{487C851E-090E-4811-8C3B-295EFA9F90C4}"/>
    <cellStyle name="Note 3 2 2" xfId="556" xr:uid="{00000000-0005-0000-0000-00004D210000}"/>
    <cellStyle name="Note 3 2 2 10" xfId="4914" xr:uid="{00000000-0005-0000-0000-00004E210000}"/>
    <cellStyle name="Note 3 2 2 10 2" xfId="13343" xr:uid="{F61ED8A3-9CC5-4B53-A041-2AD7D8ABFD3D}"/>
    <cellStyle name="Note 3 2 2 11" xfId="9125" xr:uid="{82C07B1B-7BD6-451D-B41D-A3A643A33798}"/>
    <cellStyle name="Note 3 2 2 2" xfId="557" xr:uid="{00000000-0005-0000-0000-00004F210000}"/>
    <cellStyle name="Note 3 2 2 2 10" xfId="9126" xr:uid="{57B9E53D-BF3F-474A-A1CD-F491EA9AC83C}"/>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4150E075-4A31-474B-A3A7-8BE60023CD36}"/>
    <cellStyle name="Note 3 2 2 2 2 2 3" xfId="11684" xr:uid="{5A0AB7FB-6976-4BCA-B34D-03DF6DBEBF3C}"/>
    <cellStyle name="Note 3 2 2 2 2 3" xfId="5328" xr:uid="{00000000-0005-0000-0000-000053210000}"/>
    <cellStyle name="Note 3 2 2 2 2 3 2" xfId="13757" xr:uid="{219DF79B-7A9E-4943-AAE5-CBE7E23D37A0}"/>
    <cellStyle name="Note 3 2 2 2 2 4" xfId="9539" xr:uid="{D996AB4B-F3B5-4C7E-996C-68849C6AC60C}"/>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0152CB7E-A191-4F55-8A93-C2D4C054F5FD}"/>
    <cellStyle name="Note 3 2 2 2 3 2 3" xfId="12097" xr:uid="{76926D1A-706D-4AC4-ABB2-F8D3C810AFDA}"/>
    <cellStyle name="Note 3 2 2 2 3 3" xfId="5741" xr:uid="{00000000-0005-0000-0000-000057210000}"/>
    <cellStyle name="Note 3 2 2 2 3 3 2" xfId="14170" xr:uid="{0F2C263C-94BF-4E9F-BC10-FC9E293DCF5D}"/>
    <cellStyle name="Note 3 2 2 2 3 4" xfId="9952" xr:uid="{5224862E-CA34-4439-BEFC-E1FB44F62C88}"/>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4E65FEF8-55E6-464E-BA4F-C3B731F1EEAE}"/>
    <cellStyle name="Note 3 2 2 2 4 2 3" xfId="12510" xr:uid="{12000669-25FE-4F9C-97A9-BD3221E3B11B}"/>
    <cellStyle name="Note 3 2 2 2 4 3" xfId="6154" xr:uid="{00000000-0005-0000-0000-00005B210000}"/>
    <cellStyle name="Note 3 2 2 2 4 3 2" xfId="14583" xr:uid="{F28F5662-282A-47CD-9E51-9199FEEA71B0}"/>
    <cellStyle name="Note 3 2 2 2 4 4" xfId="10365" xr:uid="{8F7155F9-CC76-4A6E-B44F-A8C0E908FBAC}"/>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5F3D39E6-94F0-4A56-968D-044975F3B575}"/>
    <cellStyle name="Note 3 2 2 2 5 2 3" xfId="12923" xr:uid="{D2B09286-1BE2-41A2-9272-4F85E03A4D5F}"/>
    <cellStyle name="Note 3 2 2 2 5 3" xfId="6567" xr:uid="{00000000-0005-0000-0000-00005F210000}"/>
    <cellStyle name="Note 3 2 2 2 5 3 2" xfId="14996" xr:uid="{4594F41A-EC56-454C-91F5-46738352B70B}"/>
    <cellStyle name="Note 3 2 2 2 5 4" xfId="10778" xr:uid="{C7E609A9-289F-40A8-BEF9-97368661E6C3}"/>
    <cellStyle name="Note 3 2 2 2 6" xfId="2695" xr:uid="{00000000-0005-0000-0000-000060210000}"/>
    <cellStyle name="Note 3 2 2 2 6 2" xfId="6980" xr:uid="{00000000-0005-0000-0000-000061210000}"/>
    <cellStyle name="Note 3 2 2 2 6 2 2" xfId="15409" xr:uid="{18674291-84E7-4263-8B34-705C7E3B8011}"/>
    <cellStyle name="Note 3 2 2 2 6 3" xfId="11191" xr:uid="{062D54E9-21D6-4C46-A2C3-33283546C4E7}"/>
    <cellStyle name="Note 3 2 2 2 7" xfId="2754" xr:uid="{00000000-0005-0000-0000-000062210000}"/>
    <cellStyle name="Note 3 2 2 2 8" xfId="2835" xr:uid="{00000000-0005-0000-0000-000063210000}"/>
    <cellStyle name="Note 3 2 2 2 8 2" xfId="7060" xr:uid="{00000000-0005-0000-0000-000064210000}"/>
    <cellStyle name="Note 3 2 2 2 8 2 2" xfId="15489" xr:uid="{CC054B19-5050-46B8-BB56-AE6F36A40547}"/>
    <cellStyle name="Note 3 2 2 2 8 3" xfId="11271" xr:uid="{5ADEB3A6-E8E1-4DEC-8972-DE427940C0E0}"/>
    <cellStyle name="Note 3 2 2 2 9" xfId="4915" xr:uid="{00000000-0005-0000-0000-000065210000}"/>
    <cellStyle name="Note 3 2 2 2 9 2" xfId="13344" xr:uid="{8C291FFE-298C-429A-A41D-08C69081AD2B}"/>
    <cellStyle name="Note 3 2 2 3" xfId="1016" xr:uid="{00000000-0005-0000-0000-000066210000}"/>
    <cellStyle name="Note 3 2 2 3 2" xfId="3248" xr:uid="{00000000-0005-0000-0000-000067210000}"/>
    <cellStyle name="Note 3 2 2 3 2 2" xfId="7472" xr:uid="{00000000-0005-0000-0000-000068210000}"/>
    <cellStyle name="Note 3 2 2 3 2 2 2" xfId="15901" xr:uid="{BEEE83B5-2485-4131-9DEB-E65AEEAC48BD}"/>
    <cellStyle name="Note 3 2 2 3 2 3" xfId="11683" xr:uid="{F48E105E-3378-4769-A57A-A5D67B804E01}"/>
    <cellStyle name="Note 3 2 2 3 3" xfId="5327" xr:uid="{00000000-0005-0000-0000-000069210000}"/>
    <cellStyle name="Note 3 2 2 3 3 2" xfId="13756" xr:uid="{0258AFF7-F42B-49FE-B277-DB99BFA67372}"/>
    <cellStyle name="Note 3 2 2 3 4" xfId="9538" xr:uid="{8C37B1A0-A359-43F9-9A46-4A1B6136BEDF}"/>
    <cellStyle name="Note 3 2 2 4" xfId="1431" xr:uid="{00000000-0005-0000-0000-00006A210000}"/>
    <cellStyle name="Note 3 2 2 4 2" xfId="3661" xr:uid="{00000000-0005-0000-0000-00006B210000}"/>
    <cellStyle name="Note 3 2 2 4 2 2" xfId="7885" xr:uid="{00000000-0005-0000-0000-00006C210000}"/>
    <cellStyle name="Note 3 2 2 4 2 2 2" xfId="16314" xr:uid="{41957F71-246D-419D-8E80-FC049E6D2609}"/>
    <cellStyle name="Note 3 2 2 4 2 3" xfId="12096" xr:uid="{658A487D-757F-415A-A208-6409915B936D}"/>
    <cellStyle name="Note 3 2 2 4 3" xfId="5740" xr:uid="{00000000-0005-0000-0000-00006D210000}"/>
    <cellStyle name="Note 3 2 2 4 3 2" xfId="14169" xr:uid="{077CB32B-2E14-4462-9C7F-F297B37CFB8C}"/>
    <cellStyle name="Note 3 2 2 4 4" xfId="9951" xr:uid="{105FD9BE-813E-4B4B-9366-94E371B0D8CC}"/>
    <cellStyle name="Note 3 2 2 5" xfId="1845" xr:uid="{00000000-0005-0000-0000-00006E210000}"/>
    <cellStyle name="Note 3 2 2 5 2" xfId="4074" xr:uid="{00000000-0005-0000-0000-00006F210000}"/>
    <cellStyle name="Note 3 2 2 5 2 2" xfId="8298" xr:uid="{00000000-0005-0000-0000-000070210000}"/>
    <cellStyle name="Note 3 2 2 5 2 2 2" xfId="16727" xr:uid="{B29948EA-40D9-4DFE-A183-42AD0A16129F}"/>
    <cellStyle name="Note 3 2 2 5 2 3" xfId="12509" xr:uid="{FFD719CF-B7D6-4EFD-8EA3-A45C951527A6}"/>
    <cellStyle name="Note 3 2 2 5 3" xfId="6153" xr:uid="{00000000-0005-0000-0000-000071210000}"/>
    <cellStyle name="Note 3 2 2 5 3 2" xfId="14582" xr:uid="{C9B36BA6-2764-49B3-B8E6-0EB77616D20B}"/>
    <cellStyle name="Note 3 2 2 5 4" xfId="10364" xr:uid="{800A3BBA-B1BC-4778-821D-5B84FBFECB6A}"/>
    <cellStyle name="Note 3 2 2 6" xfId="2258" xr:uid="{00000000-0005-0000-0000-000072210000}"/>
    <cellStyle name="Note 3 2 2 6 2" xfId="4487" xr:uid="{00000000-0005-0000-0000-000073210000}"/>
    <cellStyle name="Note 3 2 2 6 2 2" xfId="8711" xr:uid="{00000000-0005-0000-0000-000074210000}"/>
    <cellStyle name="Note 3 2 2 6 2 2 2" xfId="17140" xr:uid="{DDAB4DBA-B628-494D-BEAE-ED32F4CAB75D}"/>
    <cellStyle name="Note 3 2 2 6 2 3" xfId="12922" xr:uid="{F2858ADA-1241-41FF-8E16-B3E4AC72D83C}"/>
    <cellStyle name="Note 3 2 2 6 3" xfId="6566" xr:uid="{00000000-0005-0000-0000-000075210000}"/>
    <cellStyle name="Note 3 2 2 6 3 2" xfId="14995" xr:uid="{B571FB17-4BF0-48C7-B041-F1C1C55BC6E2}"/>
    <cellStyle name="Note 3 2 2 6 4" xfId="10777" xr:uid="{0FDBA91B-0E90-48C0-8180-18A0E0B3D9C8}"/>
    <cellStyle name="Note 3 2 2 7" xfId="2694" xr:uid="{00000000-0005-0000-0000-000076210000}"/>
    <cellStyle name="Note 3 2 2 7 2" xfId="6979" xr:uid="{00000000-0005-0000-0000-000077210000}"/>
    <cellStyle name="Note 3 2 2 7 2 2" xfId="15408" xr:uid="{47D654C0-84BE-4D69-930C-F2B3DF47B8E7}"/>
    <cellStyle name="Note 3 2 2 7 3" xfId="11190" xr:uid="{166BF2F3-9722-4ED5-A7E5-A466C317692D}"/>
    <cellStyle name="Note 3 2 2 8" xfId="2753" xr:uid="{00000000-0005-0000-0000-000078210000}"/>
    <cellStyle name="Note 3 2 2 9" xfId="2834" xr:uid="{00000000-0005-0000-0000-000079210000}"/>
    <cellStyle name="Note 3 2 2 9 2" xfId="7059" xr:uid="{00000000-0005-0000-0000-00007A210000}"/>
    <cellStyle name="Note 3 2 2 9 2 2" xfId="15488" xr:uid="{F99B2995-683D-4E33-A154-136F51A8DA91}"/>
    <cellStyle name="Note 3 2 2 9 3" xfId="11270" xr:uid="{42D494C1-E657-4921-9B49-B975089D8139}"/>
    <cellStyle name="Note 3 2 3" xfId="558" xr:uid="{00000000-0005-0000-0000-00007B210000}"/>
    <cellStyle name="Note 3 2 3 10" xfId="9127" xr:uid="{2A8A9E53-BA38-47DA-9C5E-3CC5AB7B8590}"/>
    <cellStyle name="Note 3 2 3 2" xfId="1018" xr:uid="{00000000-0005-0000-0000-00007C210000}"/>
    <cellStyle name="Note 3 2 3 2 2" xfId="3250" xr:uid="{00000000-0005-0000-0000-00007D210000}"/>
    <cellStyle name="Note 3 2 3 2 2 2" xfId="7474" xr:uid="{00000000-0005-0000-0000-00007E210000}"/>
    <cellStyle name="Note 3 2 3 2 2 2 2" xfId="15903" xr:uid="{6E225058-1782-4C3E-86CE-AE4348A47E5E}"/>
    <cellStyle name="Note 3 2 3 2 2 3" xfId="11685" xr:uid="{9DF847EC-6B52-42F8-A066-BD508D08B4C2}"/>
    <cellStyle name="Note 3 2 3 2 3" xfId="5329" xr:uid="{00000000-0005-0000-0000-00007F210000}"/>
    <cellStyle name="Note 3 2 3 2 3 2" xfId="13758" xr:uid="{8F044A71-B5EE-4081-A1E6-90BD68055C32}"/>
    <cellStyle name="Note 3 2 3 2 4" xfId="9540" xr:uid="{4AC7FFBD-2595-4126-95A5-BAFBB879367D}"/>
    <cellStyle name="Note 3 2 3 3" xfId="1433" xr:uid="{00000000-0005-0000-0000-000080210000}"/>
    <cellStyle name="Note 3 2 3 3 2" xfId="3663" xr:uid="{00000000-0005-0000-0000-000081210000}"/>
    <cellStyle name="Note 3 2 3 3 2 2" xfId="7887" xr:uid="{00000000-0005-0000-0000-000082210000}"/>
    <cellStyle name="Note 3 2 3 3 2 2 2" xfId="16316" xr:uid="{1B7428DD-C0AA-478F-8039-84410D2F1012}"/>
    <cellStyle name="Note 3 2 3 3 2 3" xfId="12098" xr:uid="{246D1CD8-122B-445B-A5DB-03AFE2884306}"/>
    <cellStyle name="Note 3 2 3 3 3" xfId="5742" xr:uid="{00000000-0005-0000-0000-000083210000}"/>
    <cellStyle name="Note 3 2 3 3 3 2" xfId="14171" xr:uid="{F73D2E53-8E98-4238-81E2-C911CAB52B3C}"/>
    <cellStyle name="Note 3 2 3 3 4" xfId="9953" xr:uid="{F487361F-6DA6-41A8-B653-BB14215267D0}"/>
    <cellStyle name="Note 3 2 3 4" xfId="1847" xr:uid="{00000000-0005-0000-0000-000084210000}"/>
    <cellStyle name="Note 3 2 3 4 2" xfId="4076" xr:uid="{00000000-0005-0000-0000-000085210000}"/>
    <cellStyle name="Note 3 2 3 4 2 2" xfId="8300" xr:uid="{00000000-0005-0000-0000-000086210000}"/>
    <cellStyle name="Note 3 2 3 4 2 2 2" xfId="16729" xr:uid="{8C17907D-328B-4710-81C2-D408952943A2}"/>
    <cellStyle name="Note 3 2 3 4 2 3" xfId="12511" xr:uid="{F80F88BE-8458-41D4-A1F4-7A2D46511EA5}"/>
    <cellStyle name="Note 3 2 3 4 3" xfId="6155" xr:uid="{00000000-0005-0000-0000-000087210000}"/>
    <cellStyle name="Note 3 2 3 4 3 2" xfId="14584" xr:uid="{43001551-9B88-4BAD-80B2-E21BFB05FC3E}"/>
    <cellStyle name="Note 3 2 3 4 4" xfId="10366" xr:uid="{DFC45BBD-58A9-4CC5-91DC-E28E7EA02635}"/>
    <cellStyle name="Note 3 2 3 5" xfId="2260" xr:uid="{00000000-0005-0000-0000-000088210000}"/>
    <cellStyle name="Note 3 2 3 5 2" xfId="4489" xr:uid="{00000000-0005-0000-0000-000089210000}"/>
    <cellStyle name="Note 3 2 3 5 2 2" xfId="8713" xr:uid="{00000000-0005-0000-0000-00008A210000}"/>
    <cellStyle name="Note 3 2 3 5 2 2 2" xfId="17142" xr:uid="{63CDFAB8-C797-4903-9362-B7C1D5DBA544}"/>
    <cellStyle name="Note 3 2 3 5 2 3" xfId="12924" xr:uid="{ADBDD16E-1231-424A-A7B8-33BB5A89AF47}"/>
    <cellStyle name="Note 3 2 3 5 3" xfId="6568" xr:uid="{00000000-0005-0000-0000-00008B210000}"/>
    <cellStyle name="Note 3 2 3 5 3 2" xfId="14997" xr:uid="{E15E2DD4-E7E4-4954-8C44-F103A6933EA9}"/>
    <cellStyle name="Note 3 2 3 5 4" xfId="10779" xr:uid="{ABF5384A-AE5C-467A-BA94-9103A62B142F}"/>
    <cellStyle name="Note 3 2 3 6" xfId="2696" xr:uid="{00000000-0005-0000-0000-00008C210000}"/>
    <cellStyle name="Note 3 2 3 6 2" xfId="6981" xr:uid="{00000000-0005-0000-0000-00008D210000}"/>
    <cellStyle name="Note 3 2 3 6 2 2" xfId="15410" xr:uid="{0D3907AD-3A1F-49E2-BCAD-BEE23552A1CB}"/>
    <cellStyle name="Note 3 2 3 6 3" xfId="11192" xr:uid="{34678622-16DE-470D-ABE0-83570F51182C}"/>
    <cellStyle name="Note 3 2 3 7" xfId="2755" xr:uid="{00000000-0005-0000-0000-00008E210000}"/>
    <cellStyle name="Note 3 2 3 8" xfId="2836" xr:uid="{00000000-0005-0000-0000-00008F210000}"/>
    <cellStyle name="Note 3 2 3 8 2" xfId="7061" xr:uid="{00000000-0005-0000-0000-000090210000}"/>
    <cellStyle name="Note 3 2 3 8 2 2" xfId="15490" xr:uid="{4DE8F9D2-00B5-44B8-9FD2-050DE62A5357}"/>
    <cellStyle name="Note 3 2 3 8 3" xfId="11272" xr:uid="{067C5A67-0EC2-42C7-8365-C940FF5DA6C9}"/>
    <cellStyle name="Note 3 2 3 9" xfId="4916" xr:uid="{00000000-0005-0000-0000-000091210000}"/>
    <cellStyle name="Note 3 2 3 9 2" xfId="13345" xr:uid="{0698CAA6-FDE4-4E2D-A165-0854F85553B9}"/>
    <cellStyle name="Note 3 2 4" xfId="1015" xr:uid="{00000000-0005-0000-0000-000092210000}"/>
    <cellStyle name="Note 3 2 4 2" xfId="3247" xr:uid="{00000000-0005-0000-0000-000093210000}"/>
    <cellStyle name="Note 3 2 4 2 2" xfId="7471" xr:uid="{00000000-0005-0000-0000-000094210000}"/>
    <cellStyle name="Note 3 2 4 2 2 2" xfId="15900" xr:uid="{66C7CA84-E0F7-4777-B0CF-382552B1E947}"/>
    <cellStyle name="Note 3 2 4 2 3" xfId="11682" xr:uid="{D0A0A967-3FDE-4B5F-9B79-F561DF139542}"/>
    <cellStyle name="Note 3 2 4 3" xfId="5326" xr:uid="{00000000-0005-0000-0000-000095210000}"/>
    <cellStyle name="Note 3 2 4 3 2" xfId="13755" xr:uid="{A7B19F53-658E-452E-ABA0-903A5BC389D8}"/>
    <cellStyle name="Note 3 2 4 4" xfId="9537" xr:uid="{2BBE74FA-B1FF-42D4-952B-10C2C17CB97A}"/>
    <cellStyle name="Note 3 2 5" xfId="1430" xr:uid="{00000000-0005-0000-0000-000096210000}"/>
    <cellStyle name="Note 3 2 5 2" xfId="3660" xr:uid="{00000000-0005-0000-0000-000097210000}"/>
    <cellStyle name="Note 3 2 5 2 2" xfId="7884" xr:uid="{00000000-0005-0000-0000-000098210000}"/>
    <cellStyle name="Note 3 2 5 2 2 2" xfId="16313" xr:uid="{EAE615A1-7FED-42F1-ACFE-C80800674218}"/>
    <cellStyle name="Note 3 2 5 2 3" xfId="12095" xr:uid="{3F4E3D8C-7F07-480B-BCF9-449EFD632DD8}"/>
    <cellStyle name="Note 3 2 5 3" xfId="5739" xr:uid="{00000000-0005-0000-0000-000099210000}"/>
    <cellStyle name="Note 3 2 5 3 2" xfId="14168" xr:uid="{9EBD163F-619D-4AA3-9693-A818B713118E}"/>
    <cellStyle name="Note 3 2 5 4" xfId="9950" xr:uid="{A328D1D3-B740-498C-B7E0-1D277B31325C}"/>
    <cellStyle name="Note 3 2 6" xfId="1844" xr:uid="{00000000-0005-0000-0000-00009A210000}"/>
    <cellStyle name="Note 3 2 6 2" xfId="4073" xr:uid="{00000000-0005-0000-0000-00009B210000}"/>
    <cellStyle name="Note 3 2 6 2 2" xfId="8297" xr:uid="{00000000-0005-0000-0000-00009C210000}"/>
    <cellStyle name="Note 3 2 6 2 2 2" xfId="16726" xr:uid="{301C4DE0-CCA3-4031-8BCD-A7AEB7594681}"/>
    <cellStyle name="Note 3 2 6 2 3" xfId="12508" xr:uid="{5A5391DE-D5AA-4EA8-BA84-BF61C50EA56D}"/>
    <cellStyle name="Note 3 2 6 3" xfId="6152" xr:uid="{00000000-0005-0000-0000-00009D210000}"/>
    <cellStyle name="Note 3 2 6 3 2" xfId="14581" xr:uid="{647F1E66-037D-4F4A-B0B5-B2D1BB5A4512}"/>
    <cellStyle name="Note 3 2 6 4" xfId="10363" xr:uid="{01DFAE16-E4FB-45FF-A310-011E18B2B743}"/>
    <cellStyle name="Note 3 2 7" xfId="2257" xr:uid="{00000000-0005-0000-0000-00009E210000}"/>
    <cellStyle name="Note 3 2 7 2" xfId="4486" xr:uid="{00000000-0005-0000-0000-00009F210000}"/>
    <cellStyle name="Note 3 2 7 2 2" xfId="8710" xr:uid="{00000000-0005-0000-0000-0000A0210000}"/>
    <cellStyle name="Note 3 2 7 2 2 2" xfId="17139" xr:uid="{3319C87A-30BE-4848-B9AC-151075B3F689}"/>
    <cellStyle name="Note 3 2 7 2 3" xfId="12921" xr:uid="{53E5BEAC-A202-4DFF-ADFF-5385D0E9ACE2}"/>
    <cellStyle name="Note 3 2 7 3" xfId="6565" xr:uid="{00000000-0005-0000-0000-0000A1210000}"/>
    <cellStyle name="Note 3 2 7 3 2" xfId="14994" xr:uid="{1B2893D1-5E49-4335-8497-D03D7AA03EE6}"/>
    <cellStyle name="Note 3 2 7 4" xfId="10776" xr:uid="{16E97416-8140-4309-BE31-D02A00E6EC34}"/>
    <cellStyle name="Note 3 2 8" xfId="2693" xr:uid="{00000000-0005-0000-0000-0000A2210000}"/>
    <cellStyle name="Note 3 2 8 2" xfId="6978" xr:uid="{00000000-0005-0000-0000-0000A3210000}"/>
    <cellStyle name="Note 3 2 8 2 2" xfId="15407" xr:uid="{8B7C43EF-B61C-4302-9795-D1BBDC017F9C}"/>
    <cellStyle name="Note 3 2 8 3" xfId="11189" xr:uid="{1C947541-8CF7-4495-BDC3-638C5C46C55D}"/>
    <cellStyle name="Note 3 2 9" xfId="2752" xr:uid="{00000000-0005-0000-0000-0000A4210000}"/>
    <cellStyle name="Note 3 3" xfId="559" xr:uid="{00000000-0005-0000-0000-0000A5210000}"/>
    <cellStyle name="Note 3 3 10" xfId="4917" xr:uid="{00000000-0005-0000-0000-0000A6210000}"/>
    <cellStyle name="Note 3 3 10 2" xfId="13346" xr:uid="{63884923-0AE5-46F1-8618-BF2C49E52D82}"/>
    <cellStyle name="Note 3 3 11" xfId="9128" xr:uid="{8F2DC899-DA19-4B6D-8A08-C32075881FCF}"/>
    <cellStyle name="Note 3 3 2" xfId="560" xr:uid="{00000000-0005-0000-0000-0000A7210000}"/>
    <cellStyle name="Note 3 3 2 10" xfId="9129" xr:uid="{7FF6E4CE-F0E3-4303-81D9-756A375EEF1F}"/>
    <cellStyle name="Note 3 3 2 2" xfId="1020" xr:uid="{00000000-0005-0000-0000-0000A8210000}"/>
    <cellStyle name="Note 3 3 2 2 2" xfId="3252" xr:uid="{00000000-0005-0000-0000-0000A9210000}"/>
    <cellStyle name="Note 3 3 2 2 2 2" xfId="7476" xr:uid="{00000000-0005-0000-0000-0000AA210000}"/>
    <cellStyle name="Note 3 3 2 2 2 2 2" xfId="15905" xr:uid="{CF683AC5-F14D-4FE3-83D9-368127CD4640}"/>
    <cellStyle name="Note 3 3 2 2 2 3" xfId="11687" xr:uid="{74C779D4-79E2-4D1C-82F8-59657E8A2B1D}"/>
    <cellStyle name="Note 3 3 2 2 3" xfId="5331" xr:uid="{00000000-0005-0000-0000-0000AB210000}"/>
    <cellStyle name="Note 3 3 2 2 3 2" xfId="13760" xr:uid="{6BBB4680-2047-4EE5-9B33-2244919BB86D}"/>
    <cellStyle name="Note 3 3 2 2 4" xfId="9542" xr:uid="{2239C483-E929-42B0-A6DA-11C1CCBF1D92}"/>
    <cellStyle name="Note 3 3 2 3" xfId="1435" xr:uid="{00000000-0005-0000-0000-0000AC210000}"/>
    <cellStyle name="Note 3 3 2 3 2" xfId="3665" xr:uid="{00000000-0005-0000-0000-0000AD210000}"/>
    <cellStyle name="Note 3 3 2 3 2 2" xfId="7889" xr:uid="{00000000-0005-0000-0000-0000AE210000}"/>
    <cellStyle name="Note 3 3 2 3 2 2 2" xfId="16318" xr:uid="{DFF47FC1-E358-493D-8315-9DFABCAB9FD6}"/>
    <cellStyle name="Note 3 3 2 3 2 3" xfId="12100" xr:uid="{503A8563-AFF6-4FFB-8616-CABD1BA77D4D}"/>
    <cellStyle name="Note 3 3 2 3 3" xfId="5744" xr:uid="{00000000-0005-0000-0000-0000AF210000}"/>
    <cellStyle name="Note 3 3 2 3 3 2" xfId="14173" xr:uid="{48283542-CF90-4986-86D2-C329F4AEEE66}"/>
    <cellStyle name="Note 3 3 2 3 4" xfId="9955" xr:uid="{6A14BC06-EED2-4CA6-B5AE-DE813FD29B7D}"/>
    <cellStyle name="Note 3 3 2 4" xfId="1849" xr:uid="{00000000-0005-0000-0000-0000B0210000}"/>
    <cellStyle name="Note 3 3 2 4 2" xfId="4078" xr:uid="{00000000-0005-0000-0000-0000B1210000}"/>
    <cellStyle name="Note 3 3 2 4 2 2" xfId="8302" xr:uid="{00000000-0005-0000-0000-0000B2210000}"/>
    <cellStyle name="Note 3 3 2 4 2 2 2" xfId="16731" xr:uid="{A35A1ACA-E594-4CEF-90C3-918DFF7CA041}"/>
    <cellStyle name="Note 3 3 2 4 2 3" xfId="12513" xr:uid="{999BEE00-2A99-4330-83B0-83AB30FE44CF}"/>
    <cellStyle name="Note 3 3 2 4 3" xfId="6157" xr:uid="{00000000-0005-0000-0000-0000B3210000}"/>
    <cellStyle name="Note 3 3 2 4 3 2" xfId="14586" xr:uid="{E9D2CB58-BA06-4AAD-BB1D-A1343A7221F4}"/>
    <cellStyle name="Note 3 3 2 4 4" xfId="10368" xr:uid="{8015F284-DF6F-4635-BEF4-E26EE0094609}"/>
    <cellStyle name="Note 3 3 2 5" xfId="2262" xr:uid="{00000000-0005-0000-0000-0000B4210000}"/>
    <cellStyle name="Note 3 3 2 5 2" xfId="4491" xr:uid="{00000000-0005-0000-0000-0000B5210000}"/>
    <cellStyle name="Note 3 3 2 5 2 2" xfId="8715" xr:uid="{00000000-0005-0000-0000-0000B6210000}"/>
    <cellStyle name="Note 3 3 2 5 2 2 2" xfId="17144" xr:uid="{9CE542DC-A488-4DA4-B415-0E623AC99D36}"/>
    <cellStyle name="Note 3 3 2 5 2 3" xfId="12926" xr:uid="{03DCCD67-02F3-4532-85CD-8F74BF97FB9F}"/>
    <cellStyle name="Note 3 3 2 5 3" xfId="6570" xr:uid="{00000000-0005-0000-0000-0000B7210000}"/>
    <cellStyle name="Note 3 3 2 5 3 2" xfId="14999" xr:uid="{7D2B13CD-B8B7-4321-BFE3-8BE8282C86A8}"/>
    <cellStyle name="Note 3 3 2 5 4" xfId="10781" xr:uid="{DCC67908-CD2F-4609-8271-F0CB9BAB2D40}"/>
    <cellStyle name="Note 3 3 2 6" xfId="2698" xr:uid="{00000000-0005-0000-0000-0000B8210000}"/>
    <cellStyle name="Note 3 3 2 6 2" xfId="6983" xr:uid="{00000000-0005-0000-0000-0000B9210000}"/>
    <cellStyle name="Note 3 3 2 6 2 2" xfId="15412" xr:uid="{F9AA1086-A6C2-4E3C-84E7-F004CFD32F64}"/>
    <cellStyle name="Note 3 3 2 6 3" xfId="11194" xr:uid="{ADAE2209-1846-4DFE-9277-A3D4846FF609}"/>
    <cellStyle name="Note 3 3 2 7" xfId="2757" xr:uid="{00000000-0005-0000-0000-0000BA210000}"/>
    <cellStyle name="Note 3 3 2 8" xfId="2838" xr:uid="{00000000-0005-0000-0000-0000BB210000}"/>
    <cellStyle name="Note 3 3 2 8 2" xfId="7063" xr:uid="{00000000-0005-0000-0000-0000BC210000}"/>
    <cellStyle name="Note 3 3 2 8 2 2" xfId="15492" xr:uid="{7C62F4DF-F52D-4627-9ED1-50E0ABA20E5D}"/>
    <cellStyle name="Note 3 3 2 8 3" xfId="11274" xr:uid="{4D152FB3-269D-458F-A1A0-CD64CA35EC55}"/>
    <cellStyle name="Note 3 3 2 9" xfId="4918" xr:uid="{00000000-0005-0000-0000-0000BD210000}"/>
    <cellStyle name="Note 3 3 2 9 2" xfId="13347" xr:uid="{785A5D40-D309-46AB-B57D-CEB5616223CF}"/>
    <cellStyle name="Note 3 3 3" xfId="1019" xr:uid="{00000000-0005-0000-0000-0000BE210000}"/>
    <cellStyle name="Note 3 3 3 2" xfId="3251" xr:uid="{00000000-0005-0000-0000-0000BF210000}"/>
    <cellStyle name="Note 3 3 3 2 2" xfId="7475" xr:uid="{00000000-0005-0000-0000-0000C0210000}"/>
    <cellStyle name="Note 3 3 3 2 2 2" xfId="15904" xr:uid="{09ECF40F-526A-4E7E-AFDA-AC1F4F6EFDB9}"/>
    <cellStyle name="Note 3 3 3 2 3" xfId="11686" xr:uid="{94468707-B0C7-49C4-A701-670D87BC5106}"/>
    <cellStyle name="Note 3 3 3 3" xfId="5330" xr:uid="{00000000-0005-0000-0000-0000C1210000}"/>
    <cellStyle name="Note 3 3 3 3 2" xfId="13759" xr:uid="{30F202A9-8C29-4321-8351-C8CFE4A44DEF}"/>
    <cellStyle name="Note 3 3 3 4" xfId="9541" xr:uid="{290E4DEA-752C-462D-80E2-E088D16CAE85}"/>
    <cellStyle name="Note 3 3 4" xfId="1434" xr:uid="{00000000-0005-0000-0000-0000C2210000}"/>
    <cellStyle name="Note 3 3 4 2" xfId="3664" xr:uid="{00000000-0005-0000-0000-0000C3210000}"/>
    <cellStyle name="Note 3 3 4 2 2" xfId="7888" xr:uid="{00000000-0005-0000-0000-0000C4210000}"/>
    <cellStyle name="Note 3 3 4 2 2 2" xfId="16317" xr:uid="{78711FA2-F97A-41E6-B95E-5390D12042EA}"/>
    <cellStyle name="Note 3 3 4 2 3" xfId="12099" xr:uid="{C236F14F-F19F-42A0-AAB7-DF159D8675EF}"/>
    <cellStyle name="Note 3 3 4 3" xfId="5743" xr:uid="{00000000-0005-0000-0000-0000C5210000}"/>
    <cellStyle name="Note 3 3 4 3 2" xfId="14172" xr:uid="{9EAEB926-04BB-460C-8776-79BA1C1B0B6A}"/>
    <cellStyle name="Note 3 3 4 4" xfId="9954" xr:uid="{033BCA45-0AAA-4E00-A8DC-17C2464F4E8C}"/>
    <cellStyle name="Note 3 3 5" xfId="1848" xr:uid="{00000000-0005-0000-0000-0000C6210000}"/>
    <cellStyle name="Note 3 3 5 2" xfId="4077" xr:uid="{00000000-0005-0000-0000-0000C7210000}"/>
    <cellStyle name="Note 3 3 5 2 2" xfId="8301" xr:uid="{00000000-0005-0000-0000-0000C8210000}"/>
    <cellStyle name="Note 3 3 5 2 2 2" xfId="16730" xr:uid="{2609AC40-071B-4CB4-97D3-9AF7483F5D21}"/>
    <cellStyle name="Note 3 3 5 2 3" xfId="12512" xr:uid="{ECE7BAF4-578C-4531-AC7A-56AA24D6C1D2}"/>
    <cellStyle name="Note 3 3 5 3" xfId="6156" xr:uid="{00000000-0005-0000-0000-0000C9210000}"/>
    <cellStyle name="Note 3 3 5 3 2" xfId="14585" xr:uid="{B8364824-1685-45F2-B7FA-9BE7FE2F986E}"/>
    <cellStyle name="Note 3 3 5 4" xfId="10367" xr:uid="{7CD8C658-0D21-49F3-AFDB-1F8AD7EA1A58}"/>
    <cellStyle name="Note 3 3 6" xfId="2261" xr:uid="{00000000-0005-0000-0000-0000CA210000}"/>
    <cellStyle name="Note 3 3 6 2" xfId="4490" xr:uid="{00000000-0005-0000-0000-0000CB210000}"/>
    <cellStyle name="Note 3 3 6 2 2" xfId="8714" xr:uid="{00000000-0005-0000-0000-0000CC210000}"/>
    <cellStyle name="Note 3 3 6 2 2 2" xfId="17143" xr:uid="{118CF28A-1B35-4740-96D1-591536622E7F}"/>
    <cellStyle name="Note 3 3 6 2 3" xfId="12925" xr:uid="{C986EFFD-A4B8-43E6-A40D-A939D9C37310}"/>
    <cellStyle name="Note 3 3 6 3" xfId="6569" xr:uid="{00000000-0005-0000-0000-0000CD210000}"/>
    <cellStyle name="Note 3 3 6 3 2" xfId="14998" xr:uid="{9CB435D1-C347-4423-9C6C-F92240927898}"/>
    <cellStyle name="Note 3 3 6 4" xfId="10780" xr:uid="{83FF6CE0-698B-4EFA-A6E2-6FC64DE20B0B}"/>
    <cellStyle name="Note 3 3 7" xfId="2697" xr:uid="{00000000-0005-0000-0000-0000CE210000}"/>
    <cellStyle name="Note 3 3 7 2" xfId="6982" xr:uid="{00000000-0005-0000-0000-0000CF210000}"/>
    <cellStyle name="Note 3 3 7 2 2" xfId="15411" xr:uid="{BADABC36-DFB1-495E-A6AE-ADE8371CB753}"/>
    <cellStyle name="Note 3 3 7 3" xfId="11193" xr:uid="{7200DA1D-FF80-43B4-8508-0AE644A8D090}"/>
    <cellStyle name="Note 3 3 8" xfId="2756" xr:uid="{00000000-0005-0000-0000-0000D0210000}"/>
    <cellStyle name="Note 3 3 9" xfId="2837" xr:uid="{00000000-0005-0000-0000-0000D1210000}"/>
    <cellStyle name="Note 3 3 9 2" xfId="7062" xr:uid="{00000000-0005-0000-0000-0000D2210000}"/>
    <cellStyle name="Note 3 3 9 2 2" xfId="15491" xr:uid="{E3E7CDBF-5669-4311-8698-C9CC0666575F}"/>
    <cellStyle name="Note 3 3 9 3" xfId="11273" xr:uid="{2E57D621-D1B7-41D9-9B4D-674ABAE3438F}"/>
    <cellStyle name="Note 3 4" xfId="561" xr:uid="{00000000-0005-0000-0000-0000D3210000}"/>
    <cellStyle name="Note 3 4 10" xfId="9130" xr:uid="{3DD96C61-029D-499E-BDE8-860C479703F4}"/>
    <cellStyle name="Note 3 4 2" xfId="1021" xr:uid="{00000000-0005-0000-0000-0000D4210000}"/>
    <cellStyle name="Note 3 4 2 2" xfId="3253" xr:uid="{00000000-0005-0000-0000-0000D5210000}"/>
    <cellStyle name="Note 3 4 2 2 2" xfId="7477" xr:uid="{00000000-0005-0000-0000-0000D6210000}"/>
    <cellStyle name="Note 3 4 2 2 2 2" xfId="15906" xr:uid="{5C76031A-4B8E-4302-9C46-894D185637C6}"/>
    <cellStyle name="Note 3 4 2 2 3" xfId="11688" xr:uid="{E70B0A0D-46F9-4078-8D11-3D1D2AD69542}"/>
    <cellStyle name="Note 3 4 2 3" xfId="5332" xr:uid="{00000000-0005-0000-0000-0000D7210000}"/>
    <cellStyle name="Note 3 4 2 3 2" xfId="13761" xr:uid="{CC8D501C-3522-43FB-A6C0-08EA3C57A21E}"/>
    <cellStyle name="Note 3 4 2 4" xfId="9543" xr:uid="{BE263647-2F24-4F3A-B5EC-C04983925FDD}"/>
    <cellStyle name="Note 3 4 3" xfId="1436" xr:uid="{00000000-0005-0000-0000-0000D8210000}"/>
    <cellStyle name="Note 3 4 3 2" xfId="3666" xr:uid="{00000000-0005-0000-0000-0000D9210000}"/>
    <cellStyle name="Note 3 4 3 2 2" xfId="7890" xr:uid="{00000000-0005-0000-0000-0000DA210000}"/>
    <cellStyle name="Note 3 4 3 2 2 2" xfId="16319" xr:uid="{D3DEE450-3255-41A8-9FA3-9163C5A8601A}"/>
    <cellStyle name="Note 3 4 3 2 3" xfId="12101" xr:uid="{FF39156D-6B24-435E-869C-9750B8356AA6}"/>
    <cellStyle name="Note 3 4 3 3" xfId="5745" xr:uid="{00000000-0005-0000-0000-0000DB210000}"/>
    <cellStyle name="Note 3 4 3 3 2" xfId="14174" xr:uid="{021AFBD9-AC9F-476A-86E9-4DA2092986FF}"/>
    <cellStyle name="Note 3 4 3 4" xfId="9956" xr:uid="{29ECD106-B48B-49BF-8642-1DEF6224F055}"/>
    <cellStyle name="Note 3 4 4" xfId="1850" xr:uid="{00000000-0005-0000-0000-0000DC210000}"/>
    <cellStyle name="Note 3 4 4 2" xfId="4079" xr:uid="{00000000-0005-0000-0000-0000DD210000}"/>
    <cellStyle name="Note 3 4 4 2 2" xfId="8303" xr:uid="{00000000-0005-0000-0000-0000DE210000}"/>
    <cellStyle name="Note 3 4 4 2 2 2" xfId="16732" xr:uid="{AD33EBE2-FFC9-4E5D-B928-9DC2C307945E}"/>
    <cellStyle name="Note 3 4 4 2 3" xfId="12514" xr:uid="{681453CA-8BFD-4C8C-B1F7-8194B0BEABFD}"/>
    <cellStyle name="Note 3 4 4 3" xfId="6158" xr:uid="{00000000-0005-0000-0000-0000DF210000}"/>
    <cellStyle name="Note 3 4 4 3 2" xfId="14587" xr:uid="{4DE6CA10-4408-4ED6-AA07-D5C78FC58F7B}"/>
    <cellStyle name="Note 3 4 4 4" xfId="10369" xr:uid="{88AFE0E2-FECC-4CFB-AF62-19E85ABDC13A}"/>
    <cellStyle name="Note 3 4 5" xfId="2263" xr:uid="{00000000-0005-0000-0000-0000E0210000}"/>
    <cellStyle name="Note 3 4 5 2" xfId="4492" xr:uid="{00000000-0005-0000-0000-0000E1210000}"/>
    <cellStyle name="Note 3 4 5 2 2" xfId="8716" xr:uid="{00000000-0005-0000-0000-0000E2210000}"/>
    <cellStyle name="Note 3 4 5 2 2 2" xfId="17145" xr:uid="{68833DA1-386B-430C-8B0F-F14FF51D83A0}"/>
    <cellStyle name="Note 3 4 5 2 3" xfId="12927" xr:uid="{3AD4E2A1-4EB3-449D-A20A-291FFAFECF67}"/>
    <cellStyle name="Note 3 4 5 3" xfId="6571" xr:uid="{00000000-0005-0000-0000-0000E3210000}"/>
    <cellStyle name="Note 3 4 5 3 2" xfId="15000" xr:uid="{D618EC05-0D4D-4545-A3DE-A85A318E83FB}"/>
    <cellStyle name="Note 3 4 5 4" xfId="10782" xr:uid="{F354028B-8A1B-4751-982D-0C9E74F032C2}"/>
    <cellStyle name="Note 3 4 6" xfId="2699" xr:uid="{00000000-0005-0000-0000-0000E4210000}"/>
    <cellStyle name="Note 3 4 6 2" xfId="6984" xr:uid="{00000000-0005-0000-0000-0000E5210000}"/>
    <cellStyle name="Note 3 4 6 2 2" xfId="15413" xr:uid="{454B1753-E4E7-4903-AC22-9D8EE112E1C0}"/>
    <cellStyle name="Note 3 4 6 3" xfId="11195" xr:uid="{E1769BDD-5101-4A35-862E-8F484FA98F3B}"/>
    <cellStyle name="Note 3 4 7" xfId="2758" xr:uid="{00000000-0005-0000-0000-0000E6210000}"/>
    <cellStyle name="Note 3 4 8" xfId="2839" xr:uid="{00000000-0005-0000-0000-0000E7210000}"/>
    <cellStyle name="Note 3 4 8 2" xfId="7064" xr:uid="{00000000-0005-0000-0000-0000E8210000}"/>
    <cellStyle name="Note 3 4 8 2 2" xfId="15493" xr:uid="{F6AF59C4-939F-4D12-A27E-AFB34320ED04}"/>
    <cellStyle name="Note 3 4 8 3" xfId="11275" xr:uid="{46568D82-D50E-49EA-BA8F-DE52F7195287}"/>
    <cellStyle name="Note 3 4 9" xfId="4919" xr:uid="{00000000-0005-0000-0000-0000E9210000}"/>
    <cellStyle name="Note 3 4 9 2" xfId="13348" xr:uid="{1A17A0D3-2ED6-4B72-9EC0-042E6370C475}"/>
    <cellStyle name="Note 3 5" xfId="562" xr:uid="{00000000-0005-0000-0000-0000EA210000}"/>
    <cellStyle name="Note 3 5 10" xfId="9131" xr:uid="{87E4B2F8-39C4-4F05-A907-61619FA95F8B}"/>
    <cellStyle name="Note 3 5 2" xfId="1022" xr:uid="{00000000-0005-0000-0000-0000EB210000}"/>
    <cellStyle name="Note 3 5 2 2" xfId="3254" xr:uid="{00000000-0005-0000-0000-0000EC210000}"/>
    <cellStyle name="Note 3 5 2 2 2" xfId="7478" xr:uid="{00000000-0005-0000-0000-0000ED210000}"/>
    <cellStyle name="Note 3 5 2 2 2 2" xfId="15907" xr:uid="{C8F29859-35ED-4D95-AF07-094CC2FDD7EC}"/>
    <cellStyle name="Note 3 5 2 2 3" xfId="11689" xr:uid="{369FBE58-59C1-461F-8819-8759FF2FDDD7}"/>
    <cellStyle name="Note 3 5 2 3" xfId="5333" xr:uid="{00000000-0005-0000-0000-0000EE210000}"/>
    <cellStyle name="Note 3 5 2 3 2" xfId="13762" xr:uid="{135E64B6-B093-4997-85F5-2DB2B4EF43B2}"/>
    <cellStyle name="Note 3 5 2 4" xfId="9544" xr:uid="{AF4F1D38-486D-43ED-9FEE-48F23B83CEDA}"/>
    <cellStyle name="Note 3 5 3" xfId="1437" xr:uid="{00000000-0005-0000-0000-0000EF210000}"/>
    <cellStyle name="Note 3 5 3 2" xfId="3667" xr:uid="{00000000-0005-0000-0000-0000F0210000}"/>
    <cellStyle name="Note 3 5 3 2 2" xfId="7891" xr:uid="{00000000-0005-0000-0000-0000F1210000}"/>
    <cellStyle name="Note 3 5 3 2 2 2" xfId="16320" xr:uid="{624ADC63-F84C-48D9-8512-2F6998D28D90}"/>
    <cellStyle name="Note 3 5 3 2 3" xfId="12102" xr:uid="{8843F579-08C4-441F-92D2-749ADF2575D2}"/>
    <cellStyle name="Note 3 5 3 3" xfId="5746" xr:uid="{00000000-0005-0000-0000-0000F2210000}"/>
    <cellStyle name="Note 3 5 3 3 2" xfId="14175" xr:uid="{6EC6EF1D-A27B-40C1-A85C-4A5BBCF17289}"/>
    <cellStyle name="Note 3 5 3 4" xfId="9957" xr:uid="{604B68EF-173C-469A-998E-A3EED1CE5BC9}"/>
    <cellStyle name="Note 3 5 4" xfId="1851" xr:uid="{00000000-0005-0000-0000-0000F3210000}"/>
    <cellStyle name="Note 3 5 4 2" xfId="4080" xr:uid="{00000000-0005-0000-0000-0000F4210000}"/>
    <cellStyle name="Note 3 5 4 2 2" xfId="8304" xr:uid="{00000000-0005-0000-0000-0000F5210000}"/>
    <cellStyle name="Note 3 5 4 2 2 2" xfId="16733" xr:uid="{4828B1D2-239B-4A4D-B0AA-0DF7AC0618D3}"/>
    <cellStyle name="Note 3 5 4 2 3" xfId="12515" xr:uid="{CB36DE88-34CD-48F3-95CF-C5A10C615019}"/>
    <cellStyle name="Note 3 5 4 3" xfId="6159" xr:uid="{00000000-0005-0000-0000-0000F6210000}"/>
    <cellStyle name="Note 3 5 4 3 2" xfId="14588" xr:uid="{87FAD9C1-1F79-48BE-9696-8F6C597AD23C}"/>
    <cellStyle name="Note 3 5 4 4" xfId="10370" xr:uid="{A356F68D-797A-452B-901E-09ABAB3E9E7A}"/>
    <cellStyle name="Note 3 5 5" xfId="2264" xr:uid="{00000000-0005-0000-0000-0000F7210000}"/>
    <cellStyle name="Note 3 5 5 2" xfId="4493" xr:uid="{00000000-0005-0000-0000-0000F8210000}"/>
    <cellStyle name="Note 3 5 5 2 2" xfId="8717" xr:uid="{00000000-0005-0000-0000-0000F9210000}"/>
    <cellStyle name="Note 3 5 5 2 2 2" xfId="17146" xr:uid="{6BF00F32-17D7-4C7B-8837-2E82B41320AF}"/>
    <cellStyle name="Note 3 5 5 2 3" xfId="12928" xr:uid="{30616BFC-393D-434E-9DA9-9FFEF4A595A0}"/>
    <cellStyle name="Note 3 5 5 3" xfId="6572" xr:uid="{00000000-0005-0000-0000-0000FA210000}"/>
    <cellStyle name="Note 3 5 5 3 2" xfId="15001" xr:uid="{8AC8D693-233A-4334-B4C2-156282289608}"/>
    <cellStyle name="Note 3 5 5 4" xfId="10783" xr:uid="{7A92AFE0-1F6D-480A-A7D8-036862C7FFAC}"/>
    <cellStyle name="Note 3 5 6" xfId="2700" xr:uid="{00000000-0005-0000-0000-0000FB210000}"/>
    <cellStyle name="Note 3 5 6 2" xfId="6985" xr:uid="{00000000-0005-0000-0000-0000FC210000}"/>
    <cellStyle name="Note 3 5 6 2 2" xfId="15414" xr:uid="{80598BD4-4341-445A-97CA-DF48EFAF9694}"/>
    <cellStyle name="Note 3 5 6 3" xfId="11196" xr:uid="{4DDEA03F-D521-46C8-8592-77D80BEDB32C}"/>
    <cellStyle name="Note 3 5 7" xfId="2759" xr:uid="{00000000-0005-0000-0000-0000FD210000}"/>
    <cellStyle name="Note 3 5 8" xfId="2840" xr:uid="{00000000-0005-0000-0000-0000FE210000}"/>
    <cellStyle name="Note 3 5 8 2" xfId="7065" xr:uid="{00000000-0005-0000-0000-0000FF210000}"/>
    <cellStyle name="Note 3 5 8 2 2" xfId="15494" xr:uid="{268CE91B-3B9C-4785-9306-6DA42BDC7710}"/>
    <cellStyle name="Note 3 5 8 3" xfId="11276" xr:uid="{AA1DC61B-C330-4767-8885-38F2E6350F36}"/>
    <cellStyle name="Note 3 5 9" xfId="4920" xr:uid="{00000000-0005-0000-0000-000000220000}"/>
    <cellStyle name="Note 3 5 9 2" xfId="13349" xr:uid="{A6CBBA3F-0480-426F-AD28-94C197405789}"/>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ADD6526F-FCB2-432B-83C0-A407BE68C5A1}"/>
    <cellStyle name="Percent 4" xfId="4503" xr:uid="{00000000-0005-0000-0000-000006220000}"/>
    <cellStyle name="Percent 4 2" xfId="12935" xr:uid="{FCC8978A-3223-4800-9E6B-EF4F80B7DF79}"/>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cdaps-my.sharepoint.com/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cdaps-my.sharepoint.com/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daps-my.sharepoint.com/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daps-my.sharepoint.com/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server-0001\development\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cdaps-my.sharepoint.com/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ht="13">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ht="13">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ht="13">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ht="13">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76" t="s">
        <v>2169</v>
      </c>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6"/>
      <c r="AL14" s="746"/>
    </row>
    <row r="15" spans="1:38" s="717" customFormat="1" ht="13.15" customHeight="1">
      <c r="A15" s="327"/>
      <c r="B15" s="325"/>
      <c r="C15" s="326"/>
      <c r="E15" s="1876"/>
      <c r="F15" s="1876"/>
      <c r="G15" s="1876"/>
      <c r="H15" s="1876"/>
      <c r="I15" s="1876"/>
      <c r="J15" s="1876"/>
      <c r="K15" s="1876"/>
      <c r="L15" s="1876"/>
      <c r="M15" s="1876"/>
      <c r="N15" s="1876"/>
      <c r="O15" s="1876"/>
      <c r="P15" s="1876"/>
      <c r="Q15" s="1876"/>
      <c r="R15" s="1876"/>
      <c r="S15" s="1876"/>
      <c r="T15" s="1876"/>
      <c r="U15" s="1876"/>
      <c r="V15" s="1876"/>
      <c r="W15" s="1876"/>
      <c r="X15" s="1876"/>
      <c r="Y15" s="1876"/>
      <c r="Z15" s="1876"/>
      <c r="AA15" s="1876"/>
      <c r="AB15" s="1876"/>
      <c r="AC15" s="1876"/>
      <c r="AD15" s="1876"/>
      <c r="AE15" s="1876"/>
      <c r="AF15" s="1876"/>
      <c r="AG15" s="1876"/>
      <c r="AH15" s="1876"/>
      <c r="AI15" s="1876"/>
      <c r="AJ15" s="1876"/>
      <c r="AK15" s="1876"/>
      <c r="AL15" s="746"/>
    </row>
    <row r="16" spans="1:38" s="717" customFormat="1" ht="13">
      <c r="A16" s="327"/>
      <c r="B16" s="325"/>
      <c r="C16" s="326"/>
      <c r="D16" s="746"/>
      <c r="E16" s="1876"/>
      <c r="F16" s="1876"/>
      <c r="G16" s="1876"/>
      <c r="H16" s="1876"/>
      <c r="I16" s="1876"/>
      <c r="J16" s="1876"/>
      <c r="K16" s="1876"/>
      <c r="L16" s="1876"/>
      <c r="M16" s="1876"/>
      <c r="N16" s="1876"/>
      <c r="O16" s="1876"/>
      <c r="P16" s="1876"/>
      <c r="Q16" s="1876"/>
      <c r="R16" s="1876"/>
      <c r="S16" s="1876"/>
      <c r="T16" s="1876"/>
      <c r="U16" s="1876"/>
      <c r="V16" s="1876"/>
      <c r="W16" s="1876"/>
      <c r="X16" s="1876"/>
      <c r="Y16" s="1876"/>
      <c r="Z16" s="1876"/>
      <c r="AA16" s="1876"/>
      <c r="AB16" s="1876"/>
      <c r="AC16" s="1876"/>
      <c r="AD16" s="1876"/>
      <c r="AE16" s="1876"/>
      <c r="AF16" s="1876"/>
      <c r="AG16" s="1876"/>
      <c r="AH16" s="1876"/>
      <c r="AI16" s="1876"/>
      <c r="AJ16" s="1876"/>
      <c r="AK16" s="1876"/>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76" t="s">
        <v>1521</v>
      </c>
      <c r="E18" s="1876"/>
      <c r="F18" s="1876"/>
      <c r="G18" s="1876"/>
      <c r="H18" s="1876"/>
      <c r="I18" s="1876"/>
      <c r="J18" s="1876"/>
      <c r="K18" s="1876"/>
      <c r="L18" s="1876"/>
      <c r="M18" s="1876"/>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c r="AL18" s="325"/>
    </row>
    <row r="19" spans="1:38" ht="13">
      <c r="A19" s="327"/>
      <c r="B19" s="325"/>
      <c r="C19" s="326"/>
      <c r="D19" s="1876"/>
      <c r="E19" s="1876"/>
      <c r="F19" s="1876"/>
      <c r="G19" s="1876"/>
      <c r="H19" s="1876"/>
      <c r="I19" s="1876"/>
      <c r="J19" s="1876"/>
      <c r="K19" s="1876"/>
      <c r="L19" s="1876"/>
      <c r="M19" s="1876"/>
      <c r="N19" s="1876"/>
      <c r="O19" s="1876"/>
      <c r="P19" s="1876"/>
      <c r="Q19" s="1876"/>
      <c r="R19" s="1876"/>
      <c r="S19" s="1876"/>
      <c r="T19" s="1876"/>
      <c r="U19" s="1876"/>
      <c r="V19" s="1876"/>
      <c r="W19" s="1876"/>
      <c r="X19" s="1876"/>
      <c r="Y19" s="1876"/>
      <c r="Z19" s="1876"/>
      <c r="AA19" s="1876"/>
      <c r="AB19" s="1876"/>
      <c r="AC19" s="1876"/>
      <c r="AD19" s="1876"/>
      <c r="AE19" s="1876"/>
      <c r="AF19" s="1876"/>
      <c r="AG19" s="1876"/>
      <c r="AH19" s="1876"/>
      <c r="AI19" s="1876"/>
      <c r="AJ19" s="1876"/>
      <c r="AK19" s="1876"/>
      <c r="AL19" s="325"/>
    </row>
    <row r="20" spans="1:38" s="717" customFormat="1" ht="13">
      <c r="A20" s="327"/>
      <c r="B20" s="325"/>
      <c r="C20" s="326"/>
      <c r="D20" s="1876"/>
      <c r="E20" s="1876"/>
      <c r="F20" s="1876"/>
      <c r="G20" s="1876"/>
      <c r="H20" s="1876"/>
      <c r="I20" s="1876"/>
      <c r="J20" s="1876"/>
      <c r="K20" s="1876"/>
      <c r="L20" s="1876"/>
      <c r="M20" s="1876"/>
      <c r="N20" s="1876"/>
      <c r="O20" s="1876"/>
      <c r="P20" s="1876"/>
      <c r="Q20" s="1876"/>
      <c r="R20" s="1876"/>
      <c r="S20" s="1876"/>
      <c r="T20" s="1876"/>
      <c r="U20" s="1876"/>
      <c r="V20" s="1876"/>
      <c r="W20" s="1876"/>
      <c r="X20" s="1876"/>
      <c r="Y20" s="1876"/>
      <c r="Z20" s="1876"/>
      <c r="AA20" s="1876"/>
      <c r="AB20" s="1876"/>
      <c r="AC20" s="1876"/>
      <c r="AD20" s="1876"/>
      <c r="AE20" s="1876"/>
      <c r="AF20" s="1876"/>
      <c r="AG20" s="1876"/>
      <c r="AH20" s="1876"/>
      <c r="AI20" s="1876"/>
      <c r="AJ20" s="1876"/>
      <c r="AK20" s="1876"/>
      <c r="AL20" s="325"/>
    </row>
    <row r="21" spans="1:38" s="717" customFormat="1" ht="13.15" customHeight="1">
      <c r="A21" s="327"/>
      <c r="B21" s="325"/>
      <c r="C21" s="326"/>
      <c r="D21" s="1876"/>
      <c r="E21" s="1876"/>
      <c r="F21" s="1876"/>
      <c r="G21" s="1876"/>
      <c r="H21" s="1876"/>
      <c r="I21" s="1876"/>
      <c r="J21" s="1876"/>
      <c r="K21" s="1876"/>
      <c r="L21" s="1876"/>
      <c r="M21" s="1876"/>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c r="AL21" s="325"/>
    </row>
    <row r="22" spans="1:38" s="717" customFormat="1" ht="13">
      <c r="A22" s="327"/>
      <c r="B22" s="325"/>
      <c r="C22" s="326"/>
      <c r="D22" s="1876"/>
      <c r="E22" s="1876"/>
      <c r="F22" s="1876"/>
      <c r="G22" s="1876"/>
      <c r="H22" s="1876"/>
      <c r="I22" s="1876"/>
      <c r="J22" s="1876"/>
      <c r="K22" s="1876"/>
      <c r="L22" s="1876"/>
      <c r="M22" s="1876"/>
      <c r="N22" s="1876"/>
      <c r="O22" s="1876"/>
      <c r="P22" s="1876"/>
      <c r="Q22" s="1876"/>
      <c r="R22" s="1876"/>
      <c r="S22" s="1876"/>
      <c r="T22" s="1876"/>
      <c r="U22" s="1876"/>
      <c r="V22" s="1876"/>
      <c r="W22" s="1876"/>
      <c r="X22" s="1876"/>
      <c r="Y22" s="1876"/>
      <c r="Z22" s="1876"/>
      <c r="AA22" s="1876"/>
      <c r="AB22" s="1876"/>
      <c r="AC22" s="1876"/>
      <c r="AD22" s="1876"/>
      <c r="AE22" s="1876"/>
      <c r="AF22" s="1876"/>
      <c r="AG22" s="1876"/>
      <c r="AH22" s="1876"/>
      <c r="AI22" s="1876"/>
      <c r="AJ22" s="1876"/>
      <c r="AK22" s="1876"/>
      <c r="AL22" s="325"/>
    </row>
    <row r="23" spans="1:38" s="717" customFormat="1" ht="13">
      <c r="A23" s="327"/>
      <c r="B23" s="325"/>
      <c r="C23" s="326"/>
      <c r="D23" s="1876"/>
      <c r="E23" s="1876"/>
      <c r="F23" s="1876"/>
      <c r="G23" s="1876"/>
      <c r="H23" s="1876"/>
      <c r="I23" s="1876"/>
      <c r="J23" s="1876"/>
      <c r="K23" s="1876"/>
      <c r="L23" s="1876"/>
      <c r="M23" s="1876"/>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c r="AL23" s="325"/>
    </row>
    <row r="24" spans="1:38" ht="13">
      <c r="A24" s="327"/>
      <c r="B24" s="325"/>
      <c r="C24" s="326"/>
      <c r="D24" s="1876"/>
      <c r="E24" s="1876"/>
      <c r="F24" s="1876"/>
      <c r="G24" s="1876"/>
      <c r="H24" s="1876"/>
      <c r="I24" s="1876"/>
      <c r="J24" s="1876"/>
      <c r="K24" s="1876"/>
      <c r="L24" s="1876"/>
      <c r="M24" s="1876"/>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c r="AL24" s="325"/>
    </row>
    <row r="25" spans="1:38" s="717" customFormat="1" ht="13">
      <c r="A25" s="327"/>
      <c r="B25" s="325"/>
      <c r="C25" s="326"/>
      <c r="D25" s="1876"/>
      <c r="E25" s="1876"/>
      <c r="F25" s="1876"/>
      <c r="G25" s="1876"/>
      <c r="H25" s="1876"/>
      <c r="I25" s="1876"/>
      <c r="J25" s="1876"/>
      <c r="K25" s="1876"/>
      <c r="L25" s="1876"/>
      <c r="M25" s="1876"/>
      <c r="N25" s="1876"/>
      <c r="O25" s="1876"/>
      <c r="P25" s="1876"/>
      <c r="Q25" s="1876"/>
      <c r="R25" s="1876"/>
      <c r="S25" s="1876"/>
      <c r="T25" s="1876"/>
      <c r="U25" s="1876"/>
      <c r="V25" s="1876"/>
      <c r="W25" s="1876"/>
      <c r="X25" s="1876"/>
      <c r="Y25" s="1876"/>
      <c r="Z25" s="1876"/>
      <c r="AA25" s="1876"/>
      <c r="AB25" s="1876"/>
      <c r="AC25" s="1876"/>
      <c r="AD25" s="1876"/>
      <c r="AE25" s="1876"/>
      <c r="AF25" s="1876"/>
      <c r="AG25" s="1876"/>
      <c r="AH25" s="1876"/>
      <c r="AI25" s="1876"/>
      <c r="AJ25" s="1876"/>
      <c r="AK25" s="1876"/>
      <c r="AL25" s="325"/>
    </row>
    <row r="26" spans="1:38" s="717" customFormat="1" ht="13">
      <c r="A26" s="327"/>
      <c r="B26" s="325"/>
      <c r="C26" s="326"/>
      <c r="D26" s="1876"/>
      <c r="E26" s="1876"/>
      <c r="F26" s="1876"/>
      <c r="G26" s="1876"/>
      <c r="H26" s="1876"/>
      <c r="I26" s="1876"/>
      <c r="J26" s="1876"/>
      <c r="K26" s="1876"/>
      <c r="L26" s="1876"/>
      <c r="M26" s="1876"/>
      <c r="N26" s="1876"/>
      <c r="O26" s="1876"/>
      <c r="P26" s="1876"/>
      <c r="Q26" s="1876"/>
      <c r="R26" s="1876"/>
      <c r="S26" s="1876"/>
      <c r="T26" s="1876"/>
      <c r="U26" s="1876"/>
      <c r="V26" s="1876"/>
      <c r="W26" s="1876"/>
      <c r="X26" s="1876"/>
      <c r="Y26" s="1876"/>
      <c r="Z26" s="1876"/>
      <c r="AA26" s="1876"/>
      <c r="AB26" s="1876"/>
      <c r="AC26" s="1876"/>
      <c r="AD26" s="1876"/>
      <c r="AE26" s="1876"/>
      <c r="AF26" s="1876"/>
      <c r="AG26" s="1876"/>
      <c r="AH26" s="1876"/>
      <c r="AI26" s="1876"/>
      <c r="AJ26" s="1876"/>
      <c r="AK26" s="1876"/>
      <c r="AL26" s="325"/>
    </row>
    <row r="27" spans="1:38" s="717" customFormat="1" ht="11.9" customHeight="1">
      <c r="A27" s="327"/>
      <c r="B27" s="325"/>
      <c r="C27" s="326"/>
      <c r="D27" s="1876"/>
      <c r="E27" s="1876"/>
      <c r="F27" s="1876"/>
      <c r="G27" s="1876"/>
      <c r="H27" s="1876"/>
      <c r="I27" s="1876"/>
      <c r="J27" s="1876"/>
      <c r="K27" s="1876"/>
      <c r="L27" s="1876"/>
      <c r="M27" s="1876"/>
      <c r="N27" s="1876"/>
      <c r="O27" s="1876"/>
      <c r="P27" s="1876"/>
      <c r="Q27" s="1876"/>
      <c r="R27" s="1876"/>
      <c r="S27" s="1876"/>
      <c r="T27" s="1876"/>
      <c r="U27" s="1876"/>
      <c r="V27" s="1876"/>
      <c r="W27" s="1876"/>
      <c r="X27" s="1876"/>
      <c r="Y27" s="1876"/>
      <c r="Z27" s="1876"/>
      <c r="AA27" s="1876"/>
      <c r="AB27" s="1876"/>
      <c r="AC27" s="1876"/>
      <c r="AD27" s="1876"/>
      <c r="AE27" s="1876"/>
      <c r="AF27" s="1876"/>
      <c r="AG27" s="1876"/>
      <c r="AH27" s="1876"/>
      <c r="AI27" s="1876"/>
      <c r="AJ27" s="1876"/>
      <c r="AK27" s="1876"/>
      <c r="AL27" s="325"/>
    </row>
    <row r="28" spans="1:38" s="717" customFormat="1" ht="13.15" customHeight="1">
      <c r="A28" s="327"/>
      <c r="B28" s="325"/>
      <c r="C28" s="326"/>
      <c r="E28" s="1876" t="s">
        <v>2170</v>
      </c>
      <c r="F28" s="1876"/>
      <c r="G28" s="1876"/>
      <c r="H28" s="1876"/>
      <c r="I28" s="1876"/>
      <c r="J28" s="1876"/>
      <c r="K28" s="1876"/>
      <c r="L28" s="1876"/>
      <c r="M28" s="1876"/>
      <c r="N28" s="1876"/>
      <c r="O28" s="1876"/>
      <c r="P28" s="1876"/>
      <c r="Q28" s="1876"/>
      <c r="R28" s="1876"/>
      <c r="S28" s="1876"/>
      <c r="T28" s="1876"/>
      <c r="U28" s="1876"/>
      <c r="V28" s="1876"/>
      <c r="W28" s="1876"/>
      <c r="X28" s="1876"/>
      <c r="Y28" s="1876"/>
      <c r="Z28" s="1876"/>
      <c r="AA28" s="1876"/>
      <c r="AB28" s="1876"/>
      <c r="AC28" s="1876"/>
      <c r="AD28" s="1876"/>
      <c r="AE28" s="1876"/>
      <c r="AF28" s="1876"/>
      <c r="AG28" s="1876"/>
      <c r="AH28" s="1876"/>
      <c r="AI28" s="1876"/>
      <c r="AJ28" s="1876"/>
      <c r="AK28" s="1876"/>
      <c r="AL28" s="325"/>
    </row>
    <row r="29" spans="1:38" s="717" customFormat="1" ht="13.15" customHeight="1">
      <c r="A29" s="327"/>
      <c r="B29" s="325"/>
      <c r="C29" s="326"/>
      <c r="E29" s="1876"/>
      <c r="F29" s="1876"/>
      <c r="G29" s="1876"/>
      <c r="H29" s="1876"/>
      <c r="I29" s="1876"/>
      <c r="J29" s="1876"/>
      <c r="K29" s="1876"/>
      <c r="L29" s="1876"/>
      <c r="M29" s="1876"/>
      <c r="N29" s="1876"/>
      <c r="O29" s="1876"/>
      <c r="P29" s="1876"/>
      <c r="Q29" s="1876"/>
      <c r="R29" s="1876"/>
      <c r="S29" s="1876"/>
      <c r="T29" s="1876"/>
      <c r="U29" s="1876"/>
      <c r="V29" s="1876"/>
      <c r="W29" s="1876"/>
      <c r="X29" s="1876"/>
      <c r="Y29" s="1876"/>
      <c r="Z29" s="1876"/>
      <c r="AA29" s="1876"/>
      <c r="AB29" s="1876"/>
      <c r="AC29" s="1876"/>
      <c r="AD29" s="1876"/>
      <c r="AE29" s="1876"/>
      <c r="AF29" s="1876"/>
      <c r="AG29" s="1876"/>
      <c r="AH29" s="1876"/>
      <c r="AI29" s="1876"/>
      <c r="AJ29" s="1876"/>
      <c r="AK29" s="1876"/>
      <c r="AL29" s="325"/>
    </row>
    <row r="30" spans="1:38" s="717" customFormat="1" ht="13">
      <c r="A30" s="327"/>
      <c r="B30" s="325"/>
      <c r="C30" s="326"/>
      <c r="D30" s="746"/>
      <c r="E30" s="1876"/>
      <c r="F30" s="1876"/>
      <c r="G30" s="1876"/>
      <c r="H30" s="1876"/>
      <c r="I30" s="1876"/>
      <c r="J30" s="1876"/>
      <c r="K30" s="1876"/>
      <c r="L30" s="1876"/>
      <c r="M30" s="1876"/>
      <c r="N30" s="1876"/>
      <c r="O30" s="1876"/>
      <c r="P30" s="1876"/>
      <c r="Q30" s="1876"/>
      <c r="R30" s="1876"/>
      <c r="S30" s="1876"/>
      <c r="T30" s="1876"/>
      <c r="U30" s="1876"/>
      <c r="V30" s="1876"/>
      <c r="W30" s="1876"/>
      <c r="X30" s="1876"/>
      <c r="Y30" s="1876"/>
      <c r="Z30" s="1876"/>
      <c r="AA30" s="1876"/>
      <c r="AB30" s="1876"/>
      <c r="AC30" s="1876"/>
      <c r="AD30" s="1876"/>
      <c r="AE30" s="1876"/>
      <c r="AF30" s="1876"/>
      <c r="AG30" s="1876"/>
      <c r="AH30" s="1876"/>
      <c r="AI30" s="1876"/>
      <c r="AJ30" s="1876"/>
      <c r="AK30" s="1876"/>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77" t="s">
        <v>1394</v>
      </c>
      <c r="E32" s="1877"/>
      <c r="F32" s="1877"/>
      <c r="G32" s="1877"/>
      <c r="H32" s="1877"/>
      <c r="I32" s="1877"/>
      <c r="J32" s="1877"/>
      <c r="K32" s="1877"/>
      <c r="L32" s="1877"/>
      <c r="M32" s="1877"/>
      <c r="N32" s="1877"/>
      <c r="O32" s="1877"/>
      <c r="P32" s="1877"/>
      <c r="Q32" s="1877"/>
      <c r="R32" s="1877"/>
      <c r="S32" s="1877"/>
      <c r="T32" s="1877"/>
      <c r="U32" s="1877"/>
      <c r="V32" s="1877"/>
      <c r="W32" s="1877"/>
      <c r="X32" s="1877"/>
      <c r="Y32" s="1877"/>
      <c r="Z32" s="1877"/>
      <c r="AA32" s="1877"/>
      <c r="AB32" s="1877"/>
      <c r="AC32" s="1877"/>
      <c r="AD32" s="1877"/>
      <c r="AE32" s="1877"/>
      <c r="AF32" s="1877"/>
      <c r="AG32" s="1877"/>
      <c r="AH32" s="1877"/>
      <c r="AI32" s="1877"/>
      <c r="AJ32" s="1877"/>
      <c r="AK32" s="1877"/>
      <c r="AL32" s="325"/>
    </row>
    <row r="33" spans="1:38" s="717" customFormat="1" ht="13">
      <c r="A33" s="327"/>
      <c r="B33" s="325"/>
      <c r="C33" s="326"/>
      <c r="D33" s="746"/>
      <c r="E33" s="1883" t="s">
        <v>2409</v>
      </c>
      <c r="F33" s="1883"/>
      <c r="G33" s="1883"/>
      <c r="H33" s="1883"/>
      <c r="I33" s="1883"/>
      <c r="J33" s="1883"/>
      <c r="K33" s="1883"/>
      <c r="L33" s="1883"/>
      <c r="M33" s="1883"/>
      <c r="N33" s="1883"/>
      <c r="O33" s="1883"/>
      <c r="P33" s="1883"/>
      <c r="Q33" s="1883"/>
      <c r="R33" s="1883"/>
      <c r="S33" s="1883"/>
      <c r="T33" s="1883"/>
      <c r="U33" s="1883"/>
      <c r="V33" s="1883"/>
      <c r="W33" s="1883"/>
      <c r="X33" s="1883"/>
      <c r="Y33" s="1883"/>
      <c r="Z33" s="1883"/>
      <c r="AA33" s="1883"/>
      <c r="AB33" s="1883"/>
      <c r="AC33" s="1883"/>
      <c r="AD33" s="1883"/>
      <c r="AE33" s="1883"/>
      <c r="AF33" s="1883"/>
      <c r="AG33" s="1883"/>
      <c r="AH33" s="1883"/>
      <c r="AI33" s="1883"/>
      <c r="AJ33" s="1883"/>
      <c r="AK33" s="1883"/>
      <c r="AL33" s="325"/>
    </row>
    <row r="34" spans="1:38" ht="13">
      <c r="A34" s="149"/>
      <c r="C34" s="5"/>
    </row>
    <row r="35" spans="1:38">
      <c r="A35" s="149"/>
      <c r="D35" s="1875" t="s">
        <v>2410</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
      <c r="A37" s="149"/>
      <c r="D37" s="250"/>
      <c r="E37" s="1882" t="s">
        <v>1093</v>
      </c>
      <c r="F37" s="1882"/>
      <c r="G37" s="1882"/>
      <c r="H37" s="1882"/>
      <c r="I37" s="1882"/>
      <c r="J37" s="1882"/>
      <c r="K37" s="1882"/>
      <c r="L37" s="1882"/>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row>
    <row r="38" spans="1:38" ht="13">
      <c r="A38" s="149"/>
      <c r="D38" s="250"/>
      <c r="E38" s="1882" t="s">
        <v>1392</v>
      </c>
      <c r="F38" s="1882"/>
      <c r="G38" s="1882"/>
      <c r="H38" s="1882"/>
      <c r="I38" s="1882"/>
      <c r="J38" s="1882"/>
      <c r="K38" s="1882"/>
      <c r="L38" s="1882"/>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76" customFormat="1" ht="13.15" customHeight="1">
      <c r="A42" s="149"/>
      <c r="B42"/>
      <c r="C42" s="5"/>
      <c r="D42" s="149"/>
      <c r="E42" s="149" t="s">
        <v>690</v>
      </c>
      <c r="F42" s="1876" t="s">
        <v>1359</v>
      </c>
    </row>
    <row r="43" spans="1:38" s="1876"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87" t="s">
        <v>1473</v>
      </c>
      <c r="G45" s="1887"/>
      <c r="H45" s="1887"/>
      <c r="I45" s="1887"/>
      <c r="J45" s="1887"/>
      <c r="K45" s="1887"/>
      <c r="L45" s="1887"/>
      <c r="M45" s="1887"/>
      <c r="N45" s="1887"/>
      <c r="O45" s="1887"/>
      <c r="P45" s="1887"/>
      <c r="Q45" s="1887"/>
      <c r="R45" s="1887"/>
      <c r="S45" s="1887"/>
      <c r="T45" s="1887"/>
      <c r="U45" s="1887"/>
      <c r="V45" s="1887"/>
      <c r="W45" s="1887"/>
      <c r="X45" s="1887"/>
      <c r="Y45" s="1887"/>
      <c r="Z45" s="1887"/>
      <c r="AA45" s="1887"/>
      <c r="AB45" s="1887"/>
      <c r="AC45" s="1887"/>
      <c r="AD45" s="1887"/>
      <c r="AE45" s="1887"/>
      <c r="AF45" s="1887"/>
      <c r="AG45" s="1887"/>
      <c r="AH45" s="1887"/>
      <c r="AI45" s="1887"/>
      <c r="AJ45" s="1887"/>
      <c r="AK45" s="1887"/>
      <c r="AL45" s="1887"/>
    </row>
    <row r="46" spans="1:38" s="770" customFormat="1" ht="13">
      <c r="A46" s="149"/>
      <c r="B46" s="717"/>
      <c r="C46" s="5"/>
      <c r="D46" s="149"/>
      <c r="E46" s="149"/>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7"/>
      <c r="AK46" s="1887"/>
      <c r="AL46" s="1887"/>
    </row>
    <row r="47" spans="1:38" s="770" customFormat="1" ht="13.15" customHeight="1">
      <c r="A47" s="149"/>
      <c r="B47" s="717"/>
      <c r="C47" s="5"/>
      <c r="D47" s="149"/>
      <c r="E47" s="149"/>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7"/>
      <c r="AK47" s="1887"/>
      <c r="AL47" s="1887"/>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76" t="s">
        <v>1474</v>
      </c>
      <c r="G50" s="1876"/>
      <c r="H50" s="1876"/>
      <c r="I50" s="1876"/>
      <c r="J50" s="1876"/>
      <c r="K50" s="1876"/>
      <c r="L50" s="1876"/>
      <c r="M50" s="1876"/>
      <c r="N50" s="1876"/>
      <c r="O50" s="1876"/>
      <c r="P50" s="1876"/>
      <c r="Q50" s="1876"/>
      <c r="R50" s="1876"/>
      <c r="S50" s="1876"/>
      <c r="T50" s="1876"/>
      <c r="U50" s="1876"/>
      <c r="V50" s="1876"/>
      <c r="W50" s="1876"/>
      <c r="X50" s="1876"/>
      <c r="Y50" s="1876"/>
      <c r="Z50" s="1876"/>
      <c r="AA50" s="1876"/>
      <c r="AB50" s="1876"/>
      <c r="AC50" s="1876"/>
      <c r="AD50" s="1876"/>
      <c r="AE50" s="1876"/>
      <c r="AF50" s="1876"/>
      <c r="AG50" s="1876"/>
      <c r="AH50" s="1876"/>
      <c r="AI50" s="1876"/>
      <c r="AJ50" s="1876"/>
      <c r="AK50" s="1876"/>
    </row>
    <row r="51" spans="1:38" ht="13">
      <c r="A51" s="149"/>
      <c r="C51" s="5"/>
      <c r="D51" s="149"/>
      <c r="E51" s="149"/>
      <c r="F51" s="1876"/>
      <c r="G51" s="1876"/>
      <c r="H51" s="1876"/>
      <c r="I51" s="1876"/>
      <c r="J51" s="1876"/>
      <c r="K51" s="1876"/>
      <c r="L51" s="1876"/>
      <c r="M51" s="1876"/>
      <c r="N51" s="1876"/>
      <c r="O51" s="1876"/>
      <c r="P51" s="1876"/>
      <c r="Q51" s="1876"/>
      <c r="R51" s="1876"/>
      <c r="S51" s="1876"/>
      <c r="T51" s="1876"/>
      <c r="U51" s="1876"/>
      <c r="V51" s="1876"/>
      <c r="W51" s="1876"/>
      <c r="X51" s="1876"/>
      <c r="Y51" s="1876"/>
      <c r="Z51" s="1876"/>
      <c r="AA51" s="1876"/>
      <c r="AB51" s="1876"/>
      <c r="AC51" s="1876"/>
      <c r="AD51" s="1876"/>
      <c r="AE51" s="1876"/>
      <c r="AF51" s="1876"/>
      <c r="AG51" s="1876"/>
      <c r="AH51" s="1876"/>
      <c r="AI51" s="1876"/>
      <c r="AJ51" s="1876"/>
      <c r="AK51" s="1876"/>
    </row>
    <row r="52" spans="1:38" ht="13">
      <c r="A52" s="149"/>
      <c r="C52" s="5"/>
      <c r="D52" s="149"/>
      <c r="F52" s="1876"/>
      <c r="G52" s="1876"/>
      <c r="H52" s="1876"/>
      <c r="I52" s="1876"/>
      <c r="J52" s="1876"/>
      <c r="K52" s="1876"/>
      <c r="L52" s="1876"/>
      <c r="M52" s="1876"/>
      <c r="N52" s="1876"/>
      <c r="O52" s="1876"/>
      <c r="P52" s="1876"/>
      <c r="Q52" s="1876"/>
      <c r="R52" s="1876"/>
      <c r="S52" s="1876"/>
      <c r="T52" s="1876"/>
      <c r="U52" s="1876"/>
      <c r="V52" s="1876"/>
      <c r="W52" s="1876"/>
      <c r="X52" s="1876"/>
      <c r="Y52" s="1876"/>
      <c r="Z52" s="1876"/>
      <c r="AA52" s="1876"/>
      <c r="AB52" s="1876"/>
      <c r="AC52" s="1876"/>
      <c r="AD52" s="1876"/>
      <c r="AE52" s="1876"/>
      <c r="AF52" s="1876"/>
      <c r="AG52" s="1876"/>
      <c r="AH52" s="1876"/>
      <c r="AI52" s="1876"/>
      <c r="AJ52" s="1876"/>
      <c r="AK52" s="1876"/>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78" t="s">
        <v>1395</v>
      </c>
      <c r="H56" s="1878"/>
      <c r="I56" s="1878"/>
      <c r="J56" s="1878"/>
      <c r="K56" s="1878"/>
      <c r="L56" s="1878"/>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78" t="s">
        <v>610</v>
      </c>
      <c r="H58" s="1878"/>
      <c r="I58" s="187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86" t="s">
        <v>1475</v>
      </c>
      <c r="H59" s="1886"/>
      <c r="I59" s="1886"/>
      <c r="J59" s="1886"/>
      <c r="K59" s="1886"/>
      <c r="L59" s="188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row>
    <row r="60" spans="1:38" s="2" customFormat="1" ht="13">
      <c r="A60" s="327"/>
      <c r="B60" s="325"/>
      <c r="C60" s="326"/>
      <c r="D60" s="326"/>
      <c r="E60" s="327"/>
      <c r="F60" s="331"/>
      <c r="G60" s="1886"/>
      <c r="H60" s="1886"/>
      <c r="I60" s="1886"/>
      <c r="J60" s="1886"/>
      <c r="K60" s="1886"/>
      <c r="L60" s="1886"/>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row>
    <row r="61" spans="1:38" ht="13">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76" t="s">
        <v>1361</v>
      </c>
      <c r="H66" s="1876"/>
      <c r="I66" s="1876"/>
      <c r="J66" s="1876"/>
      <c r="K66" s="1876"/>
      <c r="L66" s="1876"/>
      <c r="M66" s="1876"/>
      <c r="N66" s="1876"/>
      <c r="O66" s="1876"/>
      <c r="P66" s="1876"/>
      <c r="Q66" s="1876"/>
      <c r="R66" s="1876"/>
      <c r="S66" s="1876"/>
      <c r="T66" s="1876"/>
      <c r="U66" s="1876"/>
      <c r="V66" s="1876"/>
      <c r="W66" s="1876"/>
      <c r="X66" s="1876"/>
      <c r="Y66" s="1876"/>
      <c r="Z66" s="1876"/>
      <c r="AA66" s="1876"/>
      <c r="AB66" s="1876"/>
      <c r="AC66" s="1876"/>
      <c r="AD66" s="1876"/>
      <c r="AE66" s="1876"/>
      <c r="AF66" s="1876"/>
      <c r="AG66" s="1876"/>
      <c r="AH66" s="1876"/>
      <c r="AI66" s="1876"/>
      <c r="AJ66" s="1876"/>
      <c r="AK66" s="1876"/>
    </row>
    <row r="67" spans="1:37" ht="13">
      <c r="A67" s="149"/>
      <c r="C67" s="5"/>
      <c r="D67" s="149"/>
      <c r="E67" s="149"/>
      <c r="F67" s="9"/>
      <c r="G67" s="1876"/>
      <c r="H67" s="1876"/>
      <c r="I67" s="1876"/>
      <c r="J67" s="1876"/>
      <c r="K67" s="1876"/>
      <c r="L67" s="1876"/>
      <c r="M67" s="1876"/>
      <c r="N67" s="1876"/>
      <c r="O67" s="1876"/>
      <c r="P67" s="1876"/>
      <c r="Q67" s="1876"/>
      <c r="R67" s="1876"/>
      <c r="S67" s="1876"/>
      <c r="T67" s="1876"/>
      <c r="U67" s="1876"/>
      <c r="V67" s="1876"/>
      <c r="W67" s="1876"/>
      <c r="X67" s="1876"/>
      <c r="Y67" s="1876"/>
      <c r="Z67" s="1876"/>
      <c r="AA67" s="1876"/>
      <c r="AB67" s="1876"/>
      <c r="AC67" s="1876"/>
      <c r="AD67" s="1876"/>
      <c r="AE67" s="1876"/>
      <c r="AF67" s="1876"/>
      <c r="AG67" s="1876"/>
      <c r="AH67" s="1876"/>
      <c r="AI67" s="1876"/>
      <c r="AJ67" s="1876"/>
      <c r="AK67" s="1876"/>
    </row>
    <row r="68" spans="1:37" ht="13">
      <c r="A68" s="149"/>
      <c r="C68" s="5"/>
      <c r="D68" s="149"/>
      <c r="E68" s="149"/>
      <c r="F68" s="9"/>
      <c r="G68" s="1876"/>
      <c r="H68" s="1876"/>
      <c r="I68" s="1876"/>
      <c r="J68" s="1876"/>
      <c r="K68" s="1876"/>
      <c r="L68" s="1876"/>
      <c r="M68" s="1876"/>
      <c r="N68" s="1876"/>
      <c r="O68" s="1876"/>
      <c r="P68" s="1876"/>
      <c r="Q68" s="1876"/>
      <c r="R68" s="1876"/>
      <c r="S68" s="1876"/>
      <c r="T68" s="1876"/>
      <c r="U68" s="1876"/>
      <c r="V68" s="1876"/>
      <c r="W68" s="1876"/>
      <c r="X68" s="1876"/>
      <c r="Y68" s="1876"/>
      <c r="Z68" s="1876"/>
      <c r="AA68" s="1876"/>
      <c r="AB68" s="1876"/>
      <c r="AC68" s="1876"/>
      <c r="AD68" s="1876"/>
      <c r="AE68" s="1876"/>
      <c r="AF68" s="1876"/>
      <c r="AG68" s="1876"/>
      <c r="AH68" s="1876"/>
      <c r="AI68" s="1876"/>
      <c r="AJ68" s="1876"/>
      <c r="AK68" s="1876"/>
    </row>
    <row r="69" spans="1:37" ht="13.15" customHeight="1">
      <c r="A69" s="149"/>
      <c r="C69" s="5"/>
      <c r="D69" s="149"/>
      <c r="E69" s="149"/>
      <c r="F69" s="9" t="s">
        <v>542</v>
      </c>
      <c r="G69" s="1876" t="s">
        <v>1362</v>
      </c>
      <c r="H69" s="1876"/>
      <c r="I69" s="1876"/>
      <c r="J69" s="1876"/>
      <c r="K69" s="1876"/>
      <c r="L69" s="1876"/>
      <c r="M69" s="1876"/>
      <c r="N69" s="1876"/>
      <c r="O69" s="1876"/>
      <c r="P69" s="1876"/>
      <c r="Q69" s="1876"/>
      <c r="R69" s="1876"/>
      <c r="S69" s="1876"/>
      <c r="T69" s="1876"/>
      <c r="U69" s="1876"/>
      <c r="V69" s="1876"/>
      <c r="W69" s="1876"/>
      <c r="X69" s="1876"/>
      <c r="Y69" s="1876"/>
      <c r="Z69" s="1876"/>
      <c r="AA69" s="1876"/>
      <c r="AB69" s="1876"/>
      <c r="AC69" s="1876"/>
      <c r="AD69" s="1876"/>
      <c r="AE69" s="1876"/>
      <c r="AF69" s="1876"/>
      <c r="AG69" s="1876"/>
      <c r="AH69" s="1876"/>
      <c r="AI69" s="1876"/>
      <c r="AJ69" s="1876"/>
      <c r="AK69" s="1876"/>
    </row>
    <row r="70" spans="1:37" ht="13">
      <c r="A70" s="149"/>
      <c r="C70" s="5"/>
      <c r="D70" s="149"/>
      <c r="E70" s="149"/>
      <c r="F70" s="379"/>
      <c r="G70" s="1876"/>
      <c r="H70" s="1876"/>
      <c r="I70" s="1876"/>
      <c r="J70" s="1876"/>
      <c r="K70" s="1876"/>
      <c r="L70" s="1876"/>
      <c r="M70" s="1876"/>
      <c r="N70" s="1876"/>
      <c r="O70" s="1876"/>
      <c r="P70" s="1876"/>
      <c r="Q70" s="1876"/>
      <c r="R70" s="1876"/>
      <c r="S70" s="1876"/>
      <c r="T70" s="1876"/>
      <c r="U70" s="1876"/>
      <c r="V70" s="1876"/>
      <c r="W70" s="1876"/>
      <c r="X70" s="1876"/>
      <c r="Y70" s="1876"/>
      <c r="Z70" s="1876"/>
      <c r="AA70" s="1876"/>
      <c r="AB70" s="1876"/>
      <c r="AC70" s="1876"/>
      <c r="AD70" s="1876"/>
      <c r="AE70" s="1876"/>
      <c r="AF70" s="1876"/>
      <c r="AG70" s="1876"/>
      <c r="AH70" s="1876"/>
      <c r="AI70" s="1876"/>
      <c r="AJ70" s="1876"/>
      <c r="AK70" s="1876"/>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76" t="s">
        <v>1363</v>
      </c>
      <c r="H72" s="1876"/>
      <c r="I72" s="1876"/>
      <c r="J72" s="1876"/>
      <c r="K72" s="1876"/>
      <c r="L72" s="1876"/>
      <c r="M72" s="1876"/>
      <c r="N72" s="1876"/>
      <c r="O72" s="1876"/>
      <c r="P72" s="1876"/>
      <c r="Q72" s="1876"/>
      <c r="R72" s="1876"/>
      <c r="S72" s="1876"/>
      <c r="T72" s="1876"/>
      <c r="U72" s="1876"/>
      <c r="V72" s="1876"/>
      <c r="W72" s="1876"/>
      <c r="X72" s="1876"/>
      <c r="Y72" s="1876"/>
      <c r="Z72" s="1876"/>
      <c r="AA72" s="1876"/>
      <c r="AB72" s="1876"/>
      <c r="AC72" s="1876"/>
      <c r="AD72" s="1876"/>
      <c r="AE72" s="1876"/>
      <c r="AF72" s="1876"/>
      <c r="AG72" s="1876"/>
      <c r="AH72" s="1876"/>
      <c r="AI72" s="1876"/>
      <c r="AJ72" s="1876"/>
      <c r="AK72" s="1876"/>
    </row>
    <row r="73" spans="1:37" ht="13">
      <c r="A73" s="149"/>
      <c r="C73" s="5"/>
      <c r="D73" s="149"/>
      <c r="E73" s="149"/>
      <c r="F73" s="249"/>
      <c r="G73" s="1876"/>
      <c r="H73" s="1876"/>
      <c r="I73" s="1876"/>
      <c r="J73" s="1876"/>
      <c r="K73" s="1876"/>
      <c r="L73" s="1876"/>
      <c r="M73" s="1876"/>
      <c r="N73" s="1876"/>
      <c r="O73" s="1876"/>
      <c r="P73" s="1876"/>
      <c r="Q73" s="1876"/>
      <c r="R73" s="1876"/>
      <c r="S73" s="1876"/>
      <c r="T73" s="1876"/>
      <c r="U73" s="1876"/>
      <c r="V73" s="1876"/>
      <c r="W73" s="1876"/>
      <c r="X73" s="1876"/>
      <c r="Y73" s="1876"/>
      <c r="Z73" s="1876"/>
      <c r="AA73" s="1876"/>
      <c r="AB73" s="1876"/>
      <c r="AC73" s="1876"/>
      <c r="AD73" s="1876"/>
      <c r="AE73" s="1876"/>
      <c r="AF73" s="1876"/>
      <c r="AG73" s="1876"/>
      <c r="AH73" s="1876"/>
      <c r="AI73" s="1876"/>
      <c r="AJ73" s="1876"/>
      <c r="AK73" s="1876"/>
    </row>
    <row r="74" spans="1:37" ht="13">
      <c r="A74" s="149"/>
      <c r="C74" s="5"/>
      <c r="D74" s="149"/>
      <c r="E74" s="149"/>
      <c r="F74" s="249" t="s">
        <v>542</v>
      </c>
      <c r="G74" s="1876" t="s">
        <v>1364</v>
      </c>
      <c r="H74" s="1876"/>
      <c r="I74" s="1876"/>
      <c r="J74" s="1876"/>
      <c r="K74" s="1876"/>
      <c r="L74" s="1876"/>
      <c r="M74" s="1876"/>
      <c r="N74" s="1876"/>
      <c r="O74" s="1876"/>
      <c r="P74" s="1876"/>
      <c r="Q74" s="1876"/>
      <c r="R74" s="1876"/>
      <c r="S74" s="1876"/>
      <c r="T74" s="1876"/>
      <c r="U74" s="1876"/>
      <c r="V74" s="1876"/>
      <c r="W74" s="1876"/>
      <c r="X74" s="1876"/>
      <c r="Y74" s="1876"/>
      <c r="Z74" s="1876"/>
      <c r="AA74" s="1876"/>
      <c r="AB74" s="1876"/>
      <c r="AC74" s="1876"/>
      <c r="AD74" s="1876"/>
      <c r="AE74" s="1876"/>
      <c r="AF74" s="1876"/>
      <c r="AG74" s="1876"/>
      <c r="AH74" s="1876"/>
      <c r="AI74" s="1876"/>
      <c r="AJ74" s="1876"/>
      <c r="AK74" s="1876"/>
    </row>
    <row r="75" spans="1:37" ht="13">
      <c r="A75" s="149"/>
      <c r="C75" s="5"/>
      <c r="D75" s="149"/>
      <c r="E75" s="149"/>
      <c r="F75" s="249"/>
      <c r="G75" s="1876"/>
      <c r="H75" s="1876"/>
      <c r="I75" s="1876"/>
      <c r="J75" s="1876"/>
      <c r="K75" s="1876"/>
      <c r="L75" s="1876"/>
      <c r="M75" s="1876"/>
      <c r="N75" s="1876"/>
      <c r="O75" s="1876"/>
      <c r="P75" s="1876"/>
      <c r="Q75" s="1876"/>
      <c r="R75" s="1876"/>
      <c r="S75" s="1876"/>
      <c r="T75" s="1876"/>
      <c r="U75" s="1876"/>
      <c r="V75" s="1876"/>
      <c r="W75" s="1876"/>
      <c r="X75" s="1876"/>
      <c r="Y75" s="1876"/>
      <c r="Z75" s="1876"/>
      <c r="AA75" s="1876"/>
      <c r="AB75" s="1876"/>
      <c r="AC75" s="1876"/>
      <c r="AD75" s="1876"/>
      <c r="AE75" s="1876"/>
      <c r="AF75" s="1876"/>
      <c r="AG75" s="1876"/>
      <c r="AH75" s="1876"/>
      <c r="AI75" s="1876"/>
      <c r="AJ75" s="1876"/>
      <c r="AK75" s="1876"/>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76" t="s">
        <v>1365</v>
      </c>
      <c r="H82" s="1876"/>
      <c r="I82" s="1876"/>
      <c r="J82" s="1876"/>
      <c r="K82" s="1876"/>
      <c r="L82" s="1876"/>
      <c r="M82" s="1876"/>
      <c r="N82" s="1876"/>
      <c r="O82" s="1876"/>
      <c r="P82" s="1876"/>
      <c r="Q82" s="1876"/>
      <c r="R82" s="1876"/>
      <c r="S82" s="1876"/>
      <c r="T82" s="1876"/>
      <c r="U82" s="1876"/>
      <c r="V82" s="1876"/>
      <c r="W82" s="1876"/>
      <c r="X82" s="1876"/>
      <c r="Y82" s="1876"/>
      <c r="Z82" s="1876"/>
      <c r="AA82" s="1876"/>
      <c r="AB82" s="1876"/>
      <c r="AC82" s="1876"/>
      <c r="AD82" s="1876"/>
      <c r="AE82" s="1876"/>
      <c r="AF82" s="1876"/>
      <c r="AG82" s="1876"/>
      <c r="AH82" s="1876"/>
      <c r="AI82" s="1876"/>
      <c r="AJ82" s="1876"/>
      <c r="AK82" s="1876"/>
    </row>
    <row r="83" spans="1:37" ht="13">
      <c r="A83" s="149"/>
      <c r="C83" s="5"/>
      <c r="D83" s="149"/>
      <c r="E83" s="149"/>
      <c r="F83" s="149"/>
      <c r="G83" s="1876"/>
      <c r="H83" s="1876"/>
      <c r="I83" s="1876"/>
      <c r="J83" s="1876"/>
      <c r="K83" s="1876"/>
      <c r="L83" s="1876"/>
      <c r="M83" s="1876"/>
      <c r="N83" s="1876"/>
      <c r="O83" s="1876"/>
      <c r="P83" s="1876"/>
      <c r="Q83" s="1876"/>
      <c r="R83" s="1876"/>
      <c r="S83" s="1876"/>
      <c r="T83" s="1876"/>
      <c r="U83" s="1876"/>
      <c r="V83" s="1876"/>
      <c r="W83" s="1876"/>
      <c r="X83" s="1876"/>
      <c r="Y83" s="1876"/>
      <c r="Z83" s="1876"/>
      <c r="AA83" s="1876"/>
      <c r="AB83" s="1876"/>
      <c r="AC83" s="1876"/>
      <c r="AD83" s="1876"/>
      <c r="AE83" s="1876"/>
      <c r="AF83" s="1876"/>
      <c r="AG83" s="1876"/>
      <c r="AH83" s="1876"/>
      <c r="AI83" s="1876"/>
      <c r="AJ83" s="1876"/>
      <c r="AK83" s="1876"/>
    </row>
    <row r="84" spans="1:37" s="717" customFormat="1" ht="13">
      <c r="A84" s="149"/>
      <c r="C84" s="5"/>
      <c r="D84" s="149"/>
      <c r="E84" s="149"/>
      <c r="F84" s="149"/>
      <c r="G84" s="1876"/>
      <c r="H84" s="1876"/>
      <c r="I84" s="1876"/>
      <c r="J84" s="1876"/>
      <c r="K84" s="1876"/>
      <c r="L84" s="1876"/>
      <c r="M84" s="1876"/>
      <c r="N84" s="1876"/>
      <c r="O84" s="1876"/>
      <c r="P84" s="1876"/>
      <c r="Q84" s="1876"/>
      <c r="R84" s="1876"/>
      <c r="S84" s="1876"/>
      <c r="T84" s="1876"/>
      <c r="U84" s="1876"/>
      <c r="V84" s="1876"/>
      <c r="W84" s="1876"/>
      <c r="X84" s="1876"/>
      <c r="Y84" s="1876"/>
      <c r="Z84" s="1876"/>
      <c r="AA84" s="1876"/>
      <c r="AB84" s="1876"/>
      <c r="AC84" s="1876"/>
      <c r="AD84" s="1876"/>
      <c r="AE84" s="1876"/>
      <c r="AF84" s="1876"/>
      <c r="AG84" s="1876"/>
      <c r="AH84" s="1876"/>
      <c r="AI84" s="1876"/>
      <c r="AJ84" s="1876"/>
      <c r="AK84" s="1876"/>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76" t="s">
        <v>1366</v>
      </c>
      <c r="H86" s="1876"/>
      <c r="I86" s="1876"/>
      <c r="J86" s="1876"/>
      <c r="K86" s="1876"/>
      <c r="L86" s="1876"/>
      <c r="M86" s="1876"/>
      <c r="N86" s="1876"/>
      <c r="O86" s="1876"/>
      <c r="P86" s="1876"/>
      <c r="Q86" s="1876"/>
      <c r="R86" s="1876"/>
      <c r="S86" s="1876"/>
      <c r="T86" s="1876"/>
      <c r="U86" s="1876"/>
      <c r="V86" s="1876"/>
      <c r="W86" s="1876"/>
      <c r="X86" s="1876"/>
      <c r="Y86" s="1876"/>
      <c r="Z86" s="1876"/>
      <c r="AA86" s="1876"/>
      <c r="AB86" s="1876"/>
      <c r="AC86" s="1876"/>
      <c r="AD86" s="1876"/>
      <c r="AE86" s="1876"/>
      <c r="AF86" s="1876"/>
      <c r="AG86" s="1876"/>
      <c r="AH86" s="1876"/>
      <c r="AI86" s="1876"/>
      <c r="AJ86" s="1876"/>
      <c r="AK86" s="1876"/>
    </row>
    <row r="87" spans="1:37" ht="13">
      <c r="A87" s="149"/>
      <c r="C87" s="5"/>
      <c r="D87" s="149"/>
      <c r="E87" s="149"/>
      <c r="F87" s="149"/>
      <c r="G87" s="1876"/>
      <c r="H87" s="1876"/>
      <c r="I87" s="1876"/>
      <c r="J87" s="1876"/>
      <c r="K87" s="1876"/>
      <c r="L87" s="1876"/>
      <c r="M87" s="1876"/>
      <c r="N87" s="1876"/>
      <c r="O87" s="1876"/>
      <c r="P87" s="1876"/>
      <c r="Q87" s="1876"/>
      <c r="R87" s="1876"/>
      <c r="S87" s="1876"/>
      <c r="T87" s="1876"/>
      <c r="U87" s="1876"/>
      <c r="V87" s="1876"/>
      <c r="W87" s="1876"/>
      <c r="X87" s="1876"/>
      <c r="Y87" s="1876"/>
      <c r="Z87" s="1876"/>
      <c r="AA87" s="1876"/>
      <c r="AB87" s="1876"/>
      <c r="AC87" s="1876"/>
      <c r="AD87" s="1876"/>
      <c r="AE87" s="1876"/>
      <c r="AF87" s="1876"/>
      <c r="AG87" s="1876"/>
      <c r="AH87" s="1876"/>
      <c r="AI87" s="1876"/>
      <c r="AJ87" s="1876"/>
      <c r="AK87" s="1876"/>
    </row>
    <row r="88" spans="1:37" ht="13">
      <c r="A88" s="149"/>
      <c r="C88" s="5"/>
      <c r="D88" s="149"/>
      <c r="E88" s="149"/>
      <c r="G88" s="1876"/>
      <c r="H88" s="1876"/>
      <c r="I88" s="1876"/>
      <c r="J88" s="1876"/>
      <c r="K88" s="1876"/>
      <c r="L88" s="1876"/>
      <c r="M88" s="1876"/>
      <c r="N88" s="1876"/>
      <c r="O88" s="1876"/>
      <c r="P88" s="1876"/>
      <c r="Q88" s="1876"/>
      <c r="R88" s="1876"/>
      <c r="S88" s="1876"/>
      <c r="T88" s="1876"/>
      <c r="U88" s="1876"/>
      <c r="V88" s="1876"/>
      <c r="W88" s="1876"/>
      <c r="X88" s="1876"/>
      <c r="Y88" s="1876"/>
      <c r="Z88" s="1876"/>
      <c r="AA88" s="1876"/>
      <c r="AB88" s="1876"/>
      <c r="AC88" s="1876"/>
      <c r="AD88" s="1876"/>
      <c r="AE88" s="1876"/>
      <c r="AF88" s="1876"/>
      <c r="AG88" s="1876"/>
      <c r="AH88" s="1876"/>
      <c r="AI88" s="1876"/>
      <c r="AJ88" s="1876"/>
      <c r="AK88" s="1876"/>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84" t="s">
        <v>1367</v>
      </c>
      <c r="H90" s="1884"/>
      <c r="I90" s="1884"/>
      <c r="J90" s="1884"/>
      <c r="K90" s="1884"/>
      <c r="L90" s="1884"/>
      <c r="M90" s="1884"/>
      <c r="N90" s="1884"/>
      <c r="O90" s="1884"/>
      <c r="P90" s="1884"/>
      <c r="Q90" s="1884"/>
      <c r="R90" s="1884"/>
      <c r="S90" s="1884"/>
      <c r="T90" s="1884"/>
      <c r="U90" s="1884"/>
      <c r="V90" s="1884"/>
      <c r="W90" s="1884"/>
      <c r="X90" s="1884"/>
      <c r="Y90" s="1884"/>
      <c r="Z90" s="1884"/>
      <c r="AA90" s="1884"/>
      <c r="AB90" s="1884"/>
      <c r="AC90" s="1884"/>
      <c r="AD90" s="1884"/>
      <c r="AE90" s="1884"/>
      <c r="AF90" s="1884"/>
      <c r="AG90" s="1884"/>
      <c r="AH90" s="1884"/>
      <c r="AI90" s="1884"/>
      <c r="AJ90" s="1884"/>
      <c r="AK90" s="1884"/>
    </row>
    <row r="91" spans="1:37" s="717" customFormat="1" ht="13">
      <c r="A91" s="149"/>
      <c r="C91" s="5"/>
      <c r="D91" s="149"/>
      <c r="E91" s="149"/>
      <c r="G91" s="1884"/>
      <c r="H91" s="1884"/>
      <c r="I91" s="1884"/>
      <c r="J91" s="1884"/>
      <c r="K91" s="1884"/>
      <c r="L91" s="1884"/>
      <c r="M91" s="1884"/>
      <c r="N91" s="1884"/>
      <c r="O91" s="1884"/>
      <c r="P91" s="1884"/>
      <c r="Q91" s="1884"/>
      <c r="R91" s="1884"/>
      <c r="S91" s="1884"/>
      <c r="T91" s="1884"/>
      <c r="U91" s="1884"/>
      <c r="V91" s="1884"/>
      <c r="W91" s="1884"/>
      <c r="X91" s="1884"/>
      <c r="Y91" s="1884"/>
      <c r="Z91" s="1884"/>
      <c r="AA91" s="1884"/>
      <c r="AB91" s="1884"/>
      <c r="AC91" s="1884"/>
      <c r="AD91" s="1884"/>
      <c r="AE91" s="1884"/>
      <c r="AF91" s="1884"/>
      <c r="AG91" s="1884"/>
      <c r="AH91" s="1884"/>
      <c r="AI91" s="1884"/>
      <c r="AJ91" s="1884"/>
      <c r="AK91" s="1884"/>
    </row>
    <row r="92" spans="1:37" ht="13">
      <c r="A92" s="149"/>
      <c r="C92" s="5"/>
      <c r="D92" s="149"/>
      <c r="E92" s="149"/>
      <c r="G92" s="1884"/>
      <c r="H92" s="1884"/>
      <c r="I92" s="1884"/>
      <c r="J92" s="1884"/>
      <c r="K92" s="1884"/>
      <c r="L92" s="1884"/>
      <c r="M92" s="1884"/>
      <c r="N92" s="1884"/>
      <c r="O92" s="1884"/>
      <c r="P92" s="1884"/>
      <c r="Q92" s="1884"/>
      <c r="R92" s="1884"/>
      <c r="S92" s="1884"/>
      <c r="T92" s="1884"/>
      <c r="U92" s="1884"/>
      <c r="V92" s="1884"/>
      <c r="W92" s="1884"/>
      <c r="X92" s="1884"/>
      <c r="Y92" s="1884"/>
      <c r="Z92" s="1884"/>
      <c r="AA92" s="1884"/>
      <c r="AB92" s="1884"/>
      <c r="AC92" s="1884"/>
      <c r="AD92" s="1884"/>
      <c r="AE92" s="1884"/>
      <c r="AF92" s="1884"/>
      <c r="AG92" s="1884"/>
      <c r="AH92" s="1884"/>
      <c r="AI92" s="1884"/>
      <c r="AJ92" s="1884"/>
      <c r="AK92" s="1884"/>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76" t="s">
        <v>1368</v>
      </c>
      <c r="H94" s="1876"/>
      <c r="I94" s="1876"/>
      <c r="J94" s="1876"/>
      <c r="K94" s="1876"/>
      <c r="L94" s="1876"/>
      <c r="M94" s="1876"/>
      <c r="N94" s="1876"/>
      <c r="O94" s="1876"/>
      <c r="P94" s="1876"/>
      <c r="Q94" s="1876"/>
      <c r="R94" s="1876"/>
      <c r="S94" s="1876"/>
      <c r="T94" s="1876"/>
      <c r="U94" s="1876"/>
      <c r="V94" s="1876"/>
      <c r="W94" s="1876"/>
      <c r="X94" s="1876"/>
      <c r="Y94" s="1876"/>
      <c r="Z94" s="1876"/>
      <c r="AA94" s="1876"/>
      <c r="AB94" s="1876"/>
      <c r="AC94" s="1876"/>
      <c r="AD94" s="1876"/>
      <c r="AE94" s="1876"/>
      <c r="AF94" s="1876"/>
      <c r="AG94" s="1876"/>
      <c r="AH94" s="1876"/>
      <c r="AI94" s="1876"/>
      <c r="AJ94" s="1876"/>
      <c r="AK94" s="1876"/>
    </row>
    <row r="95" spans="1:37" ht="13">
      <c r="A95" s="149"/>
      <c r="C95" s="5"/>
      <c r="D95" s="149"/>
      <c r="E95" s="149"/>
      <c r="G95" s="1876"/>
      <c r="H95" s="1876"/>
      <c r="I95" s="1876"/>
      <c r="J95" s="1876"/>
      <c r="K95" s="1876"/>
      <c r="L95" s="1876"/>
      <c r="M95" s="1876"/>
      <c r="N95" s="1876"/>
      <c r="O95" s="1876"/>
      <c r="P95" s="1876"/>
      <c r="Q95" s="1876"/>
      <c r="R95" s="1876"/>
      <c r="S95" s="1876"/>
      <c r="T95" s="1876"/>
      <c r="U95" s="1876"/>
      <c r="V95" s="1876"/>
      <c r="W95" s="1876"/>
      <c r="X95" s="1876"/>
      <c r="Y95" s="1876"/>
      <c r="Z95" s="1876"/>
      <c r="AA95" s="1876"/>
      <c r="AB95" s="1876"/>
      <c r="AC95" s="1876"/>
      <c r="AD95" s="1876"/>
      <c r="AE95" s="1876"/>
      <c r="AF95" s="1876"/>
      <c r="AG95" s="1876"/>
      <c r="AH95" s="1876"/>
      <c r="AI95" s="1876"/>
      <c r="AJ95" s="1876"/>
      <c r="AK95" s="1876"/>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76" t="s">
        <v>1369</v>
      </c>
      <c r="H97" s="1876"/>
      <c r="I97" s="1876"/>
      <c r="J97" s="1876"/>
      <c r="K97" s="1876"/>
      <c r="L97" s="1876"/>
      <c r="M97" s="1876"/>
      <c r="N97" s="1876"/>
      <c r="O97" s="1876"/>
      <c r="P97" s="1876"/>
      <c r="Q97" s="1876"/>
      <c r="R97" s="1876"/>
      <c r="S97" s="1876"/>
      <c r="T97" s="1876"/>
      <c r="U97" s="1876"/>
      <c r="V97" s="1876"/>
      <c r="W97" s="1876"/>
      <c r="X97" s="1876"/>
      <c r="Y97" s="1876"/>
      <c r="Z97" s="1876"/>
      <c r="AA97" s="1876"/>
      <c r="AB97" s="1876"/>
      <c r="AC97" s="1876"/>
      <c r="AD97" s="1876"/>
      <c r="AE97" s="1876"/>
      <c r="AF97" s="1876"/>
      <c r="AG97" s="1876"/>
      <c r="AH97" s="1876"/>
      <c r="AI97" s="1876"/>
      <c r="AJ97" s="1876"/>
      <c r="AK97" s="1876"/>
    </row>
    <row r="98" spans="1:38" ht="13">
      <c r="A98" s="149"/>
      <c r="C98" s="183"/>
      <c r="D98" s="182"/>
      <c r="E98" s="182"/>
      <c r="F98" s="2"/>
      <c r="G98" s="1876"/>
      <c r="H98" s="1876"/>
      <c r="I98" s="1876"/>
      <c r="J98" s="1876"/>
      <c r="K98" s="1876"/>
      <c r="L98" s="1876"/>
      <c r="M98" s="1876"/>
      <c r="N98" s="1876"/>
      <c r="O98" s="1876"/>
      <c r="P98" s="1876"/>
      <c r="Q98" s="1876"/>
      <c r="R98" s="1876"/>
      <c r="S98" s="1876"/>
      <c r="T98" s="1876"/>
      <c r="U98" s="1876"/>
      <c r="V98" s="1876"/>
      <c r="W98" s="1876"/>
      <c r="X98" s="1876"/>
      <c r="Y98" s="1876"/>
      <c r="Z98" s="1876"/>
      <c r="AA98" s="1876"/>
      <c r="AB98" s="1876"/>
      <c r="AC98" s="1876"/>
      <c r="AD98" s="1876"/>
      <c r="AE98" s="1876"/>
      <c r="AF98" s="1876"/>
      <c r="AG98" s="1876"/>
      <c r="AH98" s="1876"/>
      <c r="AI98" s="1876"/>
      <c r="AJ98" s="1876"/>
      <c r="AK98" s="1876"/>
      <c r="AL98" s="2"/>
    </row>
    <row r="99" spans="1:38" ht="13">
      <c r="A99" s="149"/>
      <c r="C99" s="183"/>
      <c r="D99" s="182"/>
      <c r="E99" s="182"/>
      <c r="F99" s="2"/>
      <c r="G99" s="1876"/>
      <c r="H99" s="1876"/>
      <c r="I99" s="1876"/>
      <c r="J99" s="1876"/>
      <c r="K99" s="1876"/>
      <c r="L99" s="1876"/>
      <c r="M99" s="1876"/>
      <c r="N99" s="1876"/>
      <c r="O99" s="1876"/>
      <c r="P99" s="1876"/>
      <c r="Q99" s="1876"/>
      <c r="R99" s="1876"/>
      <c r="S99" s="1876"/>
      <c r="T99" s="1876"/>
      <c r="U99" s="1876"/>
      <c r="V99" s="1876"/>
      <c r="W99" s="1876"/>
      <c r="X99" s="1876"/>
      <c r="Y99" s="1876"/>
      <c r="Z99" s="1876"/>
      <c r="AA99" s="1876"/>
      <c r="AB99" s="1876"/>
      <c r="AC99" s="1876"/>
      <c r="AD99" s="1876"/>
      <c r="AE99" s="1876"/>
      <c r="AF99" s="1876"/>
      <c r="AG99" s="1876"/>
      <c r="AH99" s="1876"/>
      <c r="AI99" s="1876"/>
      <c r="AJ99" s="1876"/>
      <c r="AK99" s="1876"/>
      <c r="AL99" s="2"/>
    </row>
    <row r="100" spans="1:38" ht="13">
      <c r="A100" s="149"/>
      <c r="C100" s="2"/>
      <c r="D100" s="491"/>
      <c r="E100" s="1885" t="s">
        <v>1370</v>
      </c>
      <c r="F100" s="1885"/>
      <c r="G100" s="1885"/>
      <c r="H100" s="1885"/>
      <c r="I100" s="1885"/>
      <c r="J100" s="1885"/>
      <c r="K100" s="1885"/>
      <c r="L100" s="1885"/>
      <c r="M100" s="1885"/>
      <c r="N100" s="1885"/>
      <c r="O100" s="1885"/>
      <c r="P100" s="1885"/>
      <c r="Q100" s="1885"/>
      <c r="R100" s="1885"/>
      <c r="S100" s="1885"/>
      <c r="T100" s="1885"/>
      <c r="U100" s="1885"/>
      <c r="V100" s="1885"/>
      <c r="W100" s="1885"/>
      <c r="X100" s="1885"/>
      <c r="Y100" s="1885"/>
      <c r="Z100" s="1885"/>
      <c r="AA100" s="1885"/>
      <c r="AB100" s="1885"/>
      <c r="AC100" s="1885"/>
      <c r="AD100" s="1885"/>
      <c r="AE100" s="1885"/>
      <c r="AF100" s="1885"/>
      <c r="AG100" s="1885"/>
      <c r="AH100" s="1885"/>
      <c r="AI100" s="1885"/>
      <c r="AJ100" s="1885"/>
      <c r="AK100" s="1885"/>
      <c r="AL100" s="2"/>
    </row>
    <row r="101" spans="1:38" ht="13">
      <c r="A101" s="149"/>
      <c r="D101" s="153"/>
      <c r="E101" s="1885"/>
      <c r="F101" s="1885"/>
      <c r="G101" s="1885"/>
      <c r="H101" s="1885"/>
      <c r="I101" s="1885"/>
      <c r="J101" s="1885"/>
      <c r="K101" s="1885"/>
      <c r="L101" s="1885"/>
      <c r="M101" s="1885"/>
      <c r="N101" s="1885"/>
      <c r="O101" s="1885"/>
      <c r="P101" s="1885"/>
      <c r="Q101" s="1885"/>
      <c r="R101" s="1885"/>
      <c r="S101" s="1885"/>
      <c r="T101" s="1885"/>
      <c r="U101" s="1885"/>
      <c r="V101" s="1885"/>
      <c r="W101" s="1885"/>
      <c r="X101" s="1885"/>
      <c r="Y101" s="1885"/>
      <c r="Z101" s="1885"/>
      <c r="AA101" s="1885"/>
      <c r="AB101" s="1885"/>
      <c r="AC101" s="1885"/>
      <c r="AD101" s="1885"/>
      <c r="AE101" s="1885"/>
      <c r="AF101" s="1885"/>
      <c r="AG101" s="1885"/>
      <c r="AH101" s="1885"/>
      <c r="AI101" s="1885"/>
      <c r="AJ101" s="1885"/>
      <c r="AK101" s="1885"/>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1122</v>
      </c>
      <c r="G119" s="149"/>
    </row>
    <row r="120" spans="1:38" ht="13">
      <c r="F120" s="153" t="s">
        <v>1387</v>
      </c>
      <c r="G120" s="153"/>
    </row>
    <row r="121" spans="1:38" ht="13">
      <c r="G121" s="153"/>
    </row>
    <row r="122" spans="1:38">
      <c r="E122" s="149" t="s">
        <v>821</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1422</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1339</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750</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1123</v>
      </c>
      <c r="G193" s="149"/>
      <c r="H193" s="149"/>
      <c r="I193" s="149"/>
    </row>
    <row r="194" spans="2:37" ht="13">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76" t="s">
        <v>1371</v>
      </c>
      <c r="H207" s="1876"/>
      <c r="I207" s="1876"/>
      <c r="J207" s="1876"/>
      <c r="K207" s="1876"/>
      <c r="L207" s="1876"/>
      <c r="M207" s="1876"/>
      <c r="N207" s="1876"/>
      <c r="O207" s="1876"/>
      <c r="P207" s="1876"/>
      <c r="Q207" s="1876"/>
      <c r="R207" s="1876"/>
      <c r="S207" s="1876"/>
      <c r="T207" s="1876"/>
      <c r="U207" s="1876"/>
      <c r="V207" s="1876"/>
      <c r="W207" s="1876"/>
      <c r="X207" s="1876"/>
      <c r="Y207" s="1876"/>
      <c r="Z207" s="1876"/>
      <c r="AA207" s="1876"/>
      <c r="AB207" s="1876"/>
      <c r="AC207" s="1876"/>
      <c r="AD207" s="1876"/>
      <c r="AE207" s="1876"/>
      <c r="AF207" s="1876"/>
      <c r="AG207" s="1876"/>
      <c r="AH207" s="1876"/>
      <c r="AI207" s="1876"/>
      <c r="AJ207" s="1876"/>
      <c r="AK207" s="1876"/>
    </row>
    <row r="208" spans="2:37" ht="13">
      <c r="B208" s="149"/>
      <c r="C208" s="149"/>
      <c r="D208" s="5"/>
      <c r="G208" s="1876"/>
      <c r="H208" s="1876"/>
      <c r="I208" s="1876"/>
      <c r="J208" s="1876"/>
      <c r="K208" s="1876"/>
      <c r="L208" s="1876"/>
      <c r="M208" s="1876"/>
      <c r="N208" s="1876"/>
      <c r="O208" s="1876"/>
      <c r="P208" s="1876"/>
      <c r="Q208" s="1876"/>
      <c r="R208" s="1876"/>
      <c r="S208" s="1876"/>
      <c r="T208" s="1876"/>
      <c r="U208" s="1876"/>
      <c r="V208" s="1876"/>
      <c r="W208" s="1876"/>
      <c r="X208" s="1876"/>
      <c r="Y208" s="1876"/>
      <c r="Z208" s="1876"/>
      <c r="AA208" s="1876"/>
      <c r="AB208" s="1876"/>
      <c r="AC208" s="1876"/>
      <c r="AD208" s="1876"/>
      <c r="AE208" s="1876"/>
      <c r="AF208" s="1876"/>
      <c r="AG208" s="1876"/>
      <c r="AH208" s="1876"/>
      <c r="AI208" s="1876"/>
      <c r="AJ208" s="1876"/>
      <c r="AK208" s="1876"/>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76" t="s">
        <v>1346</v>
      </c>
      <c r="G338" s="1876"/>
      <c r="H338" s="1876"/>
      <c r="I338" s="1876"/>
      <c r="J338" s="1876"/>
      <c r="K338" s="1876"/>
      <c r="L338" s="1876"/>
      <c r="M338" s="1876"/>
      <c r="N338" s="1876"/>
      <c r="O338" s="1876"/>
      <c r="P338" s="1876"/>
      <c r="Q338" s="1876"/>
      <c r="R338" s="1876"/>
      <c r="S338" s="1876"/>
      <c r="T338" s="1876"/>
      <c r="U338" s="1876"/>
      <c r="V338" s="1876"/>
      <c r="W338" s="1876"/>
      <c r="X338" s="1876"/>
      <c r="Y338" s="1876"/>
      <c r="Z338" s="1876"/>
      <c r="AA338" s="1876"/>
      <c r="AB338" s="1876"/>
      <c r="AC338" s="1876"/>
      <c r="AD338" s="1876"/>
      <c r="AE338" s="1876"/>
      <c r="AF338" s="1876"/>
      <c r="AG338" s="1876"/>
      <c r="AH338" s="1876"/>
      <c r="AI338" s="1876"/>
      <c r="AJ338" s="1876"/>
      <c r="AK338" s="1876"/>
    </row>
    <row r="339" spans="2:37" ht="13">
      <c r="B339" s="5"/>
      <c r="E339" s="149"/>
      <c r="F339" s="1876"/>
      <c r="G339" s="1876"/>
      <c r="H339" s="1876"/>
      <c r="I339" s="1876"/>
      <c r="J339" s="1876"/>
      <c r="K339" s="1876"/>
      <c r="L339" s="1876"/>
      <c r="M339" s="1876"/>
      <c r="N339" s="1876"/>
      <c r="O339" s="1876"/>
      <c r="P339" s="1876"/>
      <c r="Q339" s="1876"/>
      <c r="R339" s="1876"/>
      <c r="S339" s="1876"/>
      <c r="T339" s="1876"/>
      <c r="U339" s="1876"/>
      <c r="V339" s="1876"/>
      <c r="W339" s="1876"/>
      <c r="X339" s="1876"/>
      <c r="Y339" s="1876"/>
      <c r="Z339" s="1876"/>
      <c r="AA339" s="1876"/>
      <c r="AB339" s="1876"/>
      <c r="AC339" s="1876"/>
      <c r="AD339" s="1876"/>
      <c r="AE339" s="1876"/>
      <c r="AF339" s="1876"/>
      <c r="AG339" s="1876"/>
      <c r="AH339" s="1876"/>
      <c r="AI339" s="1876"/>
      <c r="AJ339" s="1876"/>
      <c r="AK339" s="1876"/>
    </row>
    <row r="340" spans="2:37" ht="13">
      <c r="B340" s="5"/>
      <c r="E340" s="149"/>
      <c r="F340" s="1876"/>
      <c r="G340" s="1876"/>
      <c r="H340" s="1876"/>
      <c r="I340" s="1876"/>
      <c r="J340" s="1876"/>
      <c r="K340" s="1876"/>
      <c r="L340" s="1876"/>
      <c r="M340" s="1876"/>
      <c r="N340" s="1876"/>
      <c r="O340" s="1876"/>
      <c r="P340" s="1876"/>
      <c r="Q340" s="1876"/>
      <c r="R340" s="1876"/>
      <c r="S340" s="1876"/>
      <c r="T340" s="1876"/>
      <c r="U340" s="1876"/>
      <c r="V340" s="1876"/>
      <c r="W340" s="1876"/>
      <c r="X340" s="1876"/>
      <c r="Y340" s="1876"/>
      <c r="Z340" s="1876"/>
      <c r="AA340" s="1876"/>
      <c r="AB340" s="1876"/>
      <c r="AC340" s="1876"/>
      <c r="AD340" s="1876"/>
      <c r="AE340" s="1876"/>
      <c r="AF340" s="1876"/>
      <c r="AG340" s="1876"/>
      <c r="AH340" s="1876"/>
      <c r="AI340" s="1876"/>
      <c r="AJ340" s="1876"/>
      <c r="AK340" s="1876"/>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78" t="s">
        <v>1449</v>
      </c>
      <c r="F343" s="1878"/>
      <c r="G343" s="1878"/>
      <c r="H343" s="1878"/>
      <c r="I343" s="1878"/>
      <c r="J343" s="1878"/>
      <c r="K343" s="1878"/>
      <c r="L343" s="1878"/>
      <c r="M343" s="1878"/>
      <c r="N343" s="1878"/>
      <c r="O343" s="1878"/>
      <c r="P343" s="1878"/>
      <c r="Q343" s="1878"/>
      <c r="R343" s="1878"/>
      <c r="S343" s="1878"/>
      <c r="T343" s="1878"/>
      <c r="U343" s="1878"/>
      <c r="V343" s="1878"/>
      <c r="W343" s="1878"/>
      <c r="X343" s="1878"/>
      <c r="Y343" s="1878"/>
      <c r="Z343" s="1878"/>
      <c r="AA343" s="1878"/>
      <c r="AB343" s="1878"/>
      <c r="AC343" s="1878"/>
      <c r="AD343" s="1878"/>
      <c r="AE343" s="1878"/>
      <c r="AF343" s="1878"/>
      <c r="AG343" s="1878"/>
      <c r="AH343" s="1878"/>
      <c r="AI343" s="1878"/>
      <c r="AJ343" s="1878"/>
      <c r="AK343" s="1878"/>
    </row>
    <row r="344" spans="2:37" s="717" customFormat="1" ht="13">
      <c r="B344" s="5"/>
      <c r="E344" s="1878"/>
      <c r="F344" s="1878"/>
      <c r="G344" s="1878"/>
      <c r="H344" s="1878"/>
      <c r="I344" s="1878"/>
      <c r="J344" s="1878"/>
      <c r="K344" s="1878"/>
      <c r="L344" s="1878"/>
      <c r="M344" s="1878"/>
      <c r="N344" s="1878"/>
      <c r="O344" s="1878"/>
      <c r="P344" s="1878"/>
      <c r="Q344" s="1878"/>
      <c r="R344" s="1878"/>
      <c r="S344" s="1878"/>
      <c r="T344" s="1878"/>
      <c r="U344" s="1878"/>
      <c r="V344" s="1878"/>
      <c r="W344" s="1878"/>
      <c r="X344" s="1878"/>
      <c r="Y344" s="1878"/>
      <c r="Z344" s="1878"/>
      <c r="AA344" s="1878"/>
      <c r="AB344" s="1878"/>
      <c r="AC344" s="1878"/>
      <c r="AD344" s="1878"/>
      <c r="AE344" s="1878"/>
      <c r="AF344" s="1878"/>
      <c r="AG344" s="1878"/>
      <c r="AH344" s="1878"/>
      <c r="AI344" s="1878"/>
      <c r="AJ344" s="1878"/>
      <c r="AK344" s="1878"/>
    </row>
    <row r="345" spans="2:37" s="717" customFormat="1" ht="13">
      <c r="B345" s="5"/>
      <c r="E345" s="1878"/>
      <c r="F345" s="1878"/>
      <c r="G345" s="1878"/>
      <c r="H345" s="1878"/>
      <c r="I345" s="1878"/>
      <c r="J345" s="1878"/>
      <c r="K345" s="1878"/>
      <c r="L345" s="1878"/>
      <c r="M345" s="1878"/>
      <c r="N345" s="1878"/>
      <c r="O345" s="1878"/>
      <c r="P345" s="1878"/>
      <c r="Q345" s="1878"/>
      <c r="R345" s="1878"/>
      <c r="S345" s="1878"/>
      <c r="T345" s="1878"/>
      <c r="U345" s="1878"/>
      <c r="V345" s="1878"/>
      <c r="W345" s="1878"/>
      <c r="X345" s="1878"/>
      <c r="Y345" s="1878"/>
      <c r="Z345" s="1878"/>
      <c r="AA345" s="1878"/>
      <c r="AB345" s="1878"/>
      <c r="AC345" s="1878"/>
      <c r="AD345" s="1878"/>
      <c r="AE345" s="1878"/>
      <c r="AF345" s="1878"/>
      <c r="AG345" s="1878"/>
      <c r="AH345" s="1878"/>
      <c r="AI345" s="1878"/>
      <c r="AJ345" s="1878"/>
      <c r="AK345" s="1878"/>
    </row>
    <row r="346" spans="2:37" s="717" customFormat="1" ht="13">
      <c r="B346" s="5"/>
      <c r="E346" s="1878"/>
      <c r="F346" s="1878"/>
      <c r="G346" s="1878"/>
      <c r="H346" s="1878"/>
      <c r="I346" s="1878"/>
      <c r="J346" s="1878"/>
      <c r="K346" s="1878"/>
      <c r="L346" s="1878"/>
      <c r="M346" s="1878"/>
      <c r="N346" s="1878"/>
      <c r="O346" s="1878"/>
      <c r="P346" s="1878"/>
      <c r="Q346" s="1878"/>
      <c r="R346" s="1878"/>
      <c r="S346" s="1878"/>
      <c r="T346" s="1878"/>
      <c r="U346" s="1878"/>
      <c r="V346" s="1878"/>
      <c r="W346" s="1878"/>
      <c r="X346" s="1878"/>
      <c r="Y346" s="1878"/>
      <c r="Z346" s="1878"/>
      <c r="AA346" s="1878"/>
      <c r="AB346" s="1878"/>
      <c r="AC346" s="1878"/>
      <c r="AD346" s="1878"/>
      <c r="AE346" s="1878"/>
      <c r="AF346" s="1878"/>
      <c r="AG346" s="1878"/>
      <c r="AH346" s="1878"/>
      <c r="AI346" s="1878"/>
      <c r="AJ346" s="1878"/>
      <c r="AK346" s="1878"/>
    </row>
    <row r="347" spans="2:37" s="717" customFormat="1" ht="13">
      <c r="B347" s="5"/>
      <c r="E347" s="1878"/>
      <c r="F347" s="1878"/>
      <c r="G347" s="1878"/>
      <c r="H347" s="1878"/>
      <c r="I347" s="1878"/>
      <c r="J347" s="1878"/>
      <c r="K347" s="1878"/>
      <c r="L347" s="1878"/>
      <c r="M347" s="1878"/>
      <c r="N347" s="1878"/>
      <c r="O347" s="1878"/>
      <c r="P347" s="1878"/>
      <c r="Q347" s="1878"/>
      <c r="R347" s="1878"/>
      <c r="S347" s="1878"/>
      <c r="T347" s="1878"/>
      <c r="U347" s="1878"/>
      <c r="V347" s="1878"/>
      <c r="W347" s="1878"/>
      <c r="X347" s="1878"/>
      <c r="Y347" s="1878"/>
      <c r="Z347" s="1878"/>
      <c r="AA347" s="1878"/>
      <c r="AB347" s="1878"/>
      <c r="AC347" s="1878"/>
      <c r="AD347" s="1878"/>
      <c r="AE347" s="1878"/>
      <c r="AF347" s="1878"/>
      <c r="AG347" s="1878"/>
      <c r="AH347" s="1878"/>
      <c r="AI347" s="1878"/>
      <c r="AJ347" s="1878"/>
      <c r="AK347" s="1878"/>
    </row>
    <row r="348" spans="2:37" s="717" customFormat="1" ht="13">
      <c r="B348" s="5"/>
      <c r="E348" s="6" t="s">
        <v>117</v>
      </c>
      <c r="F348" s="1876" t="s">
        <v>1451</v>
      </c>
      <c r="G348" s="1876"/>
      <c r="H348" s="1876"/>
      <c r="I348" s="1876"/>
      <c r="J348" s="1876"/>
      <c r="K348" s="1876"/>
      <c r="L348" s="1876"/>
      <c r="M348" s="1876"/>
      <c r="N348" s="1876"/>
      <c r="O348" s="1876"/>
      <c r="P348" s="1876"/>
      <c r="Q348" s="1876"/>
      <c r="R348" s="1876"/>
      <c r="S348" s="1876"/>
      <c r="T348" s="1876"/>
      <c r="U348" s="1876"/>
      <c r="V348" s="1876"/>
      <c r="W348" s="1876"/>
      <c r="X348" s="1876"/>
      <c r="Y348" s="1876"/>
      <c r="Z348" s="1876"/>
      <c r="AA348" s="1876"/>
      <c r="AB348" s="1876"/>
      <c r="AC348" s="1876"/>
      <c r="AD348" s="1876"/>
      <c r="AE348" s="1876"/>
      <c r="AF348" s="1876"/>
      <c r="AG348" s="1876"/>
      <c r="AH348" s="1876"/>
      <c r="AI348" s="1876"/>
      <c r="AJ348" s="1876"/>
      <c r="AK348" s="1876"/>
    </row>
    <row r="349" spans="2:37" s="717" customFormat="1" ht="13">
      <c r="B349" s="5"/>
      <c r="E349" s="6"/>
      <c r="F349" s="1876"/>
      <c r="G349" s="1876"/>
      <c r="H349" s="1876"/>
      <c r="I349" s="1876"/>
      <c r="J349" s="1876"/>
      <c r="K349" s="1876"/>
      <c r="L349" s="1876"/>
      <c r="M349" s="1876"/>
      <c r="N349" s="1876"/>
      <c r="O349" s="1876"/>
      <c r="P349" s="1876"/>
      <c r="Q349" s="1876"/>
      <c r="R349" s="1876"/>
      <c r="S349" s="1876"/>
      <c r="T349" s="1876"/>
      <c r="U349" s="1876"/>
      <c r="V349" s="1876"/>
      <c r="W349" s="1876"/>
      <c r="X349" s="1876"/>
      <c r="Y349" s="1876"/>
      <c r="Z349" s="1876"/>
      <c r="AA349" s="1876"/>
      <c r="AB349" s="1876"/>
      <c r="AC349" s="1876"/>
      <c r="AD349" s="1876"/>
      <c r="AE349" s="1876"/>
      <c r="AF349" s="1876"/>
      <c r="AG349" s="1876"/>
      <c r="AH349" s="1876"/>
      <c r="AI349" s="1876"/>
      <c r="AJ349" s="1876"/>
      <c r="AK349" s="1876"/>
    </row>
    <row r="350" spans="2:37" s="717" customFormat="1" ht="13">
      <c r="B350" s="5"/>
      <c r="E350" s="6"/>
      <c r="F350" s="1876"/>
      <c r="G350" s="1876"/>
      <c r="H350" s="1876"/>
      <c r="I350" s="1876"/>
      <c r="J350" s="1876"/>
      <c r="K350" s="1876"/>
      <c r="L350" s="1876"/>
      <c r="M350" s="1876"/>
      <c r="N350" s="1876"/>
      <c r="O350" s="1876"/>
      <c r="P350" s="1876"/>
      <c r="Q350" s="1876"/>
      <c r="R350" s="1876"/>
      <c r="S350" s="1876"/>
      <c r="T350" s="1876"/>
      <c r="U350" s="1876"/>
      <c r="V350" s="1876"/>
      <c r="W350" s="1876"/>
      <c r="X350" s="1876"/>
      <c r="Y350" s="1876"/>
      <c r="Z350" s="1876"/>
      <c r="AA350" s="1876"/>
      <c r="AB350" s="1876"/>
      <c r="AC350" s="1876"/>
      <c r="AD350" s="1876"/>
      <c r="AE350" s="1876"/>
      <c r="AF350" s="1876"/>
      <c r="AG350" s="1876"/>
      <c r="AH350" s="1876"/>
      <c r="AI350" s="1876"/>
      <c r="AJ350" s="1876"/>
      <c r="AK350" s="1876"/>
    </row>
    <row r="351" spans="2:37" s="717" customFormat="1" ht="13">
      <c r="B351" s="5"/>
      <c r="E351" s="6"/>
      <c r="F351" s="1876"/>
      <c r="G351" s="1876"/>
      <c r="H351" s="1876"/>
      <c r="I351" s="1876"/>
      <c r="J351" s="1876"/>
      <c r="K351" s="1876"/>
      <c r="L351" s="1876"/>
      <c r="M351" s="1876"/>
      <c r="N351" s="1876"/>
      <c r="O351" s="1876"/>
      <c r="P351" s="1876"/>
      <c r="Q351" s="1876"/>
      <c r="R351" s="1876"/>
      <c r="S351" s="1876"/>
      <c r="T351" s="1876"/>
      <c r="U351" s="1876"/>
      <c r="V351" s="1876"/>
      <c r="W351" s="1876"/>
      <c r="X351" s="1876"/>
      <c r="Y351" s="1876"/>
      <c r="Z351" s="1876"/>
      <c r="AA351" s="1876"/>
      <c r="AB351" s="1876"/>
      <c r="AC351" s="1876"/>
      <c r="AD351" s="1876"/>
      <c r="AE351" s="1876"/>
      <c r="AF351" s="1876"/>
      <c r="AG351" s="1876"/>
      <c r="AH351" s="1876"/>
      <c r="AI351" s="1876"/>
      <c r="AJ351" s="1876"/>
      <c r="AK351" s="1876"/>
    </row>
    <row r="352" spans="2:37" s="717" customFormat="1" ht="13">
      <c r="B352" s="5"/>
      <c r="E352" s="6" t="s">
        <v>118</v>
      </c>
      <c r="F352" s="1876" t="s">
        <v>1450</v>
      </c>
      <c r="G352" s="1876"/>
      <c r="H352" s="1876"/>
      <c r="I352" s="1876"/>
      <c r="J352" s="1876"/>
      <c r="K352" s="1876"/>
      <c r="L352" s="1876"/>
      <c r="M352" s="1876"/>
      <c r="N352" s="1876"/>
      <c r="O352" s="1876"/>
      <c r="P352" s="1876"/>
      <c r="Q352" s="1876"/>
      <c r="R352" s="1876"/>
      <c r="S352" s="1876"/>
      <c r="T352" s="1876"/>
      <c r="U352" s="1876"/>
      <c r="V352" s="1876"/>
      <c r="W352" s="1876"/>
      <c r="X352" s="1876"/>
      <c r="Y352" s="1876"/>
      <c r="Z352" s="1876"/>
      <c r="AA352" s="1876"/>
      <c r="AB352" s="1876"/>
      <c r="AC352" s="1876"/>
      <c r="AD352" s="1876"/>
      <c r="AE352" s="1876"/>
      <c r="AF352" s="1876"/>
      <c r="AG352" s="1876"/>
      <c r="AH352" s="1876"/>
      <c r="AI352" s="1876"/>
      <c r="AJ352" s="1876"/>
      <c r="AK352" s="1876"/>
    </row>
    <row r="353" spans="1:38" s="717" customFormat="1" ht="13">
      <c r="B353" s="5"/>
      <c r="F353" s="1876"/>
      <c r="G353" s="1876"/>
      <c r="H353" s="1876"/>
      <c r="I353" s="1876"/>
      <c r="J353" s="1876"/>
      <c r="K353" s="1876"/>
      <c r="L353" s="1876"/>
      <c r="M353" s="1876"/>
      <c r="N353" s="1876"/>
      <c r="O353" s="1876"/>
      <c r="P353" s="1876"/>
      <c r="Q353" s="1876"/>
      <c r="R353" s="1876"/>
      <c r="S353" s="1876"/>
      <c r="T353" s="1876"/>
      <c r="U353" s="1876"/>
      <c r="V353" s="1876"/>
      <c r="W353" s="1876"/>
      <c r="X353" s="1876"/>
      <c r="Y353" s="1876"/>
      <c r="Z353" s="1876"/>
      <c r="AA353" s="1876"/>
      <c r="AB353" s="1876"/>
      <c r="AC353" s="1876"/>
      <c r="AD353" s="1876"/>
      <c r="AE353" s="1876"/>
      <c r="AF353" s="1876"/>
      <c r="AG353" s="1876"/>
      <c r="AH353" s="1876"/>
      <c r="AI353" s="1876"/>
      <c r="AJ353" s="1876"/>
      <c r="AK353" s="1876"/>
    </row>
    <row r="354" spans="1:38" s="717" customFormat="1" ht="13">
      <c r="B354" s="5"/>
      <c r="F354" s="1876"/>
      <c r="G354" s="1876"/>
      <c r="H354" s="1876"/>
      <c r="I354" s="1876"/>
      <c r="J354" s="1876"/>
      <c r="K354" s="1876"/>
      <c r="L354" s="1876"/>
      <c r="M354" s="1876"/>
      <c r="N354" s="1876"/>
      <c r="O354" s="1876"/>
      <c r="P354" s="1876"/>
      <c r="Q354" s="1876"/>
      <c r="R354" s="1876"/>
      <c r="S354" s="1876"/>
      <c r="T354" s="1876"/>
      <c r="U354" s="1876"/>
      <c r="V354" s="1876"/>
      <c r="W354" s="1876"/>
      <c r="X354" s="1876"/>
      <c r="Y354" s="1876"/>
      <c r="Z354" s="1876"/>
      <c r="AA354" s="1876"/>
      <c r="AB354" s="1876"/>
      <c r="AC354" s="1876"/>
      <c r="AD354" s="1876"/>
      <c r="AE354" s="1876"/>
      <c r="AF354" s="1876"/>
      <c r="AG354" s="1876"/>
      <c r="AH354" s="1876"/>
      <c r="AI354" s="1876"/>
      <c r="AJ354" s="1876"/>
      <c r="AK354" s="1876"/>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79" t="s">
        <v>1440</v>
      </c>
      <c r="F367" s="1879"/>
      <c r="G367" s="1879"/>
      <c r="H367" s="1879"/>
      <c r="I367" s="1879"/>
      <c r="J367" s="1879"/>
      <c r="K367" s="1879"/>
      <c r="L367" s="1879"/>
      <c r="M367" s="1879"/>
      <c r="N367" s="1879"/>
      <c r="O367" s="1879"/>
      <c r="P367" s="1879"/>
      <c r="Q367" s="1879"/>
      <c r="R367" s="1879"/>
      <c r="S367" s="1879"/>
      <c r="T367" s="1879"/>
      <c r="U367" s="1879"/>
      <c r="V367" s="1879"/>
      <c r="W367" s="1879"/>
      <c r="X367" s="1879"/>
      <c r="Y367" s="1879"/>
      <c r="Z367" s="1879"/>
      <c r="AA367" s="1879"/>
      <c r="AB367" s="1879"/>
      <c r="AC367" s="1879"/>
      <c r="AD367" s="1879"/>
      <c r="AE367" s="1879"/>
      <c r="AF367" s="1879"/>
      <c r="AG367" s="1879"/>
      <c r="AH367" s="1879"/>
      <c r="AI367" s="1879"/>
      <c r="AJ367" s="1879"/>
      <c r="AK367" s="1879"/>
      <c r="AL367" s="1879"/>
    </row>
    <row r="368" spans="1:38" s="717" customFormat="1" ht="13">
      <c r="B368" s="5"/>
      <c r="E368" s="1879"/>
      <c r="F368" s="1879"/>
      <c r="G368" s="1879"/>
      <c r="H368" s="1879"/>
      <c r="I368" s="1879"/>
      <c r="J368" s="1879"/>
      <c r="K368" s="1879"/>
      <c r="L368" s="1879"/>
      <c r="M368" s="1879"/>
      <c r="N368" s="1879"/>
      <c r="O368" s="1879"/>
      <c r="P368" s="1879"/>
      <c r="Q368" s="1879"/>
      <c r="R368" s="1879"/>
      <c r="S368" s="1879"/>
      <c r="T368" s="1879"/>
      <c r="U368" s="1879"/>
      <c r="V368" s="1879"/>
      <c r="W368" s="1879"/>
      <c r="X368" s="1879"/>
      <c r="Y368" s="1879"/>
      <c r="Z368" s="1879"/>
      <c r="AA368" s="1879"/>
      <c r="AB368" s="1879"/>
      <c r="AC368" s="1879"/>
      <c r="AD368" s="1879"/>
      <c r="AE368" s="1879"/>
      <c r="AF368" s="1879"/>
      <c r="AG368" s="1879"/>
      <c r="AH368" s="1879"/>
      <c r="AI368" s="1879"/>
      <c r="AJ368" s="1879"/>
      <c r="AK368" s="1879"/>
      <c r="AL368" s="1879"/>
    </row>
    <row r="369" spans="1:38" s="1881" customFormat="1" ht="13">
      <c r="A369"/>
      <c r="B369" s="5"/>
      <c r="C369"/>
      <c r="D369"/>
      <c r="E369" s="1880" t="s">
        <v>1489</v>
      </c>
    </row>
    <row r="370" spans="1:38" s="1881"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77" t="s">
        <v>1501</v>
      </c>
      <c r="G388" s="1877"/>
      <c r="H388" s="1877"/>
      <c r="I388" s="1877"/>
      <c r="J388" s="1877"/>
      <c r="K388" s="1877"/>
      <c r="L388" s="1877"/>
      <c r="M388" s="1877"/>
      <c r="N388" s="1877"/>
      <c r="O388" s="1877"/>
      <c r="P388" s="1877"/>
      <c r="Q388" s="1877"/>
      <c r="R388" s="1877"/>
      <c r="S388" s="1877"/>
      <c r="T388" s="1877"/>
      <c r="U388" s="1877"/>
      <c r="V388" s="1877"/>
      <c r="W388" s="1877"/>
      <c r="X388" s="1877"/>
      <c r="Y388" s="1877"/>
      <c r="Z388" s="1877"/>
      <c r="AA388" s="1877"/>
      <c r="AB388" s="1877"/>
      <c r="AC388" s="1877"/>
      <c r="AD388" s="1877"/>
      <c r="AE388" s="1877"/>
      <c r="AF388" s="1877"/>
      <c r="AG388" s="1877"/>
      <c r="AH388" s="1877"/>
      <c r="AI388" s="1877"/>
      <c r="AJ388" s="1877"/>
      <c r="AK388" s="1877"/>
      <c r="AL388" s="677"/>
    </row>
    <row r="389" spans="1:38" s="717" customFormat="1" ht="13">
      <c r="A389" s="677"/>
      <c r="B389" s="183"/>
      <c r="C389" s="677"/>
      <c r="D389" s="677"/>
      <c r="E389" s="678"/>
      <c r="F389" s="1877"/>
      <c r="G389" s="1877"/>
      <c r="H389" s="1877"/>
      <c r="I389" s="1877"/>
      <c r="J389" s="1877"/>
      <c r="K389" s="1877"/>
      <c r="L389" s="1877"/>
      <c r="M389" s="1877"/>
      <c r="N389" s="1877"/>
      <c r="O389" s="1877"/>
      <c r="P389" s="1877"/>
      <c r="Q389" s="1877"/>
      <c r="R389" s="1877"/>
      <c r="S389" s="1877"/>
      <c r="T389" s="1877"/>
      <c r="U389" s="1877"/>
      <c r="V389" s="1877"/>
      <c r="W389" s="1877"/>
      <c r="X389" s="1877"/>
      <c r="Y389" s="1877"/>
      <c r="Z389" s="1877"/>
      <c r="AA389" s="1877"/>
      <c r="AB389" s="1877"/>
      <c r="AC389" s="1877"/>
      <c r="AD389" s="1877"/>
      <c r="AE389" s="1877"/>
      <c r="AF389" s="1877"/>
      <c r="AG389" s="1877"/>
      <c r="AH389" s="1877"/>
      <c r="AI389" s="1877"/>
      <c r="AJ389" s="1877"/>
      <c r="AK389" s="1877"/>
      <c r="AL389" s="677"/>
    </row>
    <row r="390" spans="1:38" s="717" customFormat="1" ht="13">
      <c r="A390" s="677"/>
      <c r="B390" s="183"/>
      <c r="C390" s="677"/>
      <c r="D390" s="677"/>
      <c r="E390" s="678"/>
      <c r="F390" s="1877"/>
      <c r="G390" s="1877"/>
      <c r="H390" s="1877"/>
      <c r="I390" s="1877"/>
      <c r="J390" s="1877"/>
      <c r="K390" s="1877"/>
      <c r="L390" s="1877"/>
      <c r="M390" s="1877"/>
      <c r="N390" s="1877"/>
      <c r="O390" s="1877"/>
      <c r="P390" s="1877"/>
      <c r="Q390" s="1877"/>
      <c r="R390" s="1877"/>
      <c r="S390" s="1877"/>
      <c r="T390" s="1877"/>
      <c r="U390" s="1877"/>
      <c r="V390" s="1877"/>
      <c r="W390" s="1877"/>
      <c r="X390" s="1877"/>
      <c r="Y390" s="1877"/>
      <c r="Z390" s="1877"/>
      <c r="AA390" s="1877"/>
      <c r="AB390" s="1877"/>
      <c r="AC390" s="1877"/>
      <c r="AD390" s="1877"/>
      <c r="AE390" s="1877"/>
      <c r="AF390" s="1877"/>
      <c r="AG390" s="1877"/>
      <c r="AH390" s="1877"/>
      <c r="AI390" s="1877"/>
      <c r="AJ390" s="1877"/>
      <c r="AK390" s="1877"/>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70" t="s">
        <v>1878</v>
      </c>
      <c r="B1" s="3270"/>
      <c r="C1" s="3270"/>
      <c r="D1" s="3270"/>
      <c r="E1" s="3270"/>
      <c r="F1" s="3270"/>
      <c r="G1" s="3270"/>
      <c r="H1" s="3270"/>
      <c r="I1" s="3270"/>
    </row>
    <row r="2" spans="1:11">
      <c r="A2" s="1336"/>
      <c r="B2" s="1336"/>
      <c r="E2" s="1337"/>
      <c r="I2" s="1339"/>
      <c r="K2" s="1340"/>
    </row>
    <row r="3" spans="1:11">
      <c r="A3" s="1341" t="s">
        <v>1585</v>
      </c>
      <c r="B3" s="1341"/>
      <c r="C3" s="1334" t="s">
        <v>2181</v>
      </c>
      <c r="E3" s="1826">
        <f>ROUND(Application!AM564+'Basis &amp; Credits'!AB77,0)</f>
        <v>13223000</v>
      </c>
      <c r="F3" s="1342"/>
      <c r="K3" s="1413"/>
    </row>
    <row r="4" spans="1:11" s="1343" customFormat="1" ht="15" customHeight="1">
      <c r="C4" s="1343" t="s">
        <v>1879</v>
      </c>
      <c r="E4" s="1419">
        <f>Application!AD1037</f>
        <v>6.5789473684210523E-2</v>
      </c>
      <c r="F4" s="1344"/>
      <c r="H4" s="1345"/>
      <c r="K4" s="1632"/>
    </row>
    <row r="5" spans="1:11" s="1346" customFormat="1" ht="15" customHeight="1">
      <c r="A5" s="3271"/>
      <c r="B5" s="3271"/>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c r="A7" s="1336"/>
      <c r="B7" s="1336"/>
      <c r="C7" s="1334" t="s">
        <v>2185</v>
      </c>
      <c r="E7" s="1417">
        <f>E3-(E3*(E4+(MAX(E5,E6))))</f>
        <v>12353065.789473685</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52</v>
      </c>
      <c r="G12" s="1361">
        <v>1</v>
      </c>
      <c r="H12" s="1362"/>
      <c r="I12" s="1363">
        <f>E12*G12</f>
        <v>52</v>
      </c>
      <c r="J12" s="1354"/>
    </row>
    <row r="13" spans="1:11">
      <c r="A13" s="1336"/>
      <c r="B13" s="1336"/>
      <c r="C13" s="1354" t="s">
        <v>1888</v>
      </c>
      <c r="D13" s="1354"/>
      <c r="E13" s="1414">
        <f>Application!BX635+Application!BX644+Application!DC658</f>
        <v>13</v>
      </c>
      <c r="G13" s="1361">
        <v>1.25</v>
      </c>
      <c r="H13" s="1362"/>
      <c r="I13" s="1363">
        <f>E13*G13</f>
        <v>16.25</v>
      </c>
      <c r="J13" s="1354"/>
    </row>
    <row r="14" spans="1:11">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65</v>
      </c>
      <c r="G16" s="1337"/>
      <c r="I16" s="1418">
        <f>SUM(I11:I15)</f>
        <v>68.25</v>
      </c>
    </row>
    <row r="17" spans="1:9">
      <c r="A17" s="1336"/>
      <c r="B17" s="1336"/>
      <c r="E17" s="1337"/>
      <c r="I17" s="1365"/>
    </row>
    <row r="18" spans="1:9">
      <c r="A18" s="1341" t="s">
        <v>1590</v>
      </c>
      <c r="B18" s="1341"/>
      <c r="C18" s="1366" t="s">
        <v>1891</v>
      </c>
      <c r="D18" s="1338"/>
      <c r="E18" s="1367">
        <f>E7/I16</f>
        <v>180997.30094466938</v>
      </c>
      <c r="F18" s="1368"/>
      <c r="G18" s="1369"/>
      <c r="H18" s="1370"/>
      <c r="I18" s="1365"/>
    </row>
    <row r="21" spans="1:9" ht="14.25" customHeight="1">
      <c r="A21" s="3272" t="s">
        <v>2180</v>
      </c>
      <c r="B21" s="3272"/>
      <c r="C21" s="3272"/>
      <c r="D21" s="3272"/>
      <c r="E21" s="3272"/>
      <c r="F21" s="3272"/>
      <c r="G21" s="3272"/>
      <c r="H21" s="3272"/>
      <c r="I21" s="3272"/>
    </row>
    <row r="22" spans="1:9">
      <c r="A22" s="3272"/>
      <c r="B22" s="3272"/>
      <c r="C22" s="3272"/>
      <c r="D22" s="3272"/>
      <c r="E22" s="3272"/>
      <c r="F22" s="3272"/>
      <c r="G22" s="3272"/>
      <c r="H22" s="3272"/>
      <c r="I22" s="3272"/>
    </row>
    <row r="23" spans="1:9">
      <c r="A23" s="3272"/>
      <c r="B23" s="3272"/>
      <c r="C23" s="3272"/>
      <c r="D23" s="3272"/>
      <c r="E23" s="3272"/>
      <c r="F23" s="3272"/>
      <c r="G23" s="3272"/>
      <c r="H23" s="3272"/>
      <c r="I23" s="3272"/>
    </row>
    <row r="24" spans="1:9">
      <c r="A24" s="3272"/>
      <c r="B24" s="3272"/>
      <c r="C24" s="3272"/>
      <c r="D24" s="3272"/>
      <c r="E24" s="3272"/>
      <c r="F24" s="3272"/>
      <c r="G24" s="3272"/>
      <c r="H24" s="3272"/>
      <c r="I24" s="3272"/>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Y41" sqref="Y41:AH41"/>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29" t="s">
        <v>1522</v>
      </c>
      <c r="B1" s="3329"/>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30"/>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6" t="s">
        <v>393</v>
      </c>
      <c r="C11" s="3287"/>
      <c r="D11" s="3287"/>
      <c r="E11" s="3287"/>
      <c r="F11" s="3287"/>
      <c r="G11" s="3287"/>
      <c r="H11" s="3287"/>
      <c r="I11" s="3287"/>
      <c r="J11" s="3287"/>
      <c r="K11" s="3287"/>
      <c r="L11" s="3287"/>
      <c r="M11" s="3287"/>
      <c r="N11" s="3287"/>
      <c r="O11" s="3287"/>
      <c r="P11" s="3287"/>
      <c r="Q11" s="3287"/>
      <c r="R11" s="3287"/>
      <c r="S11" s="3288"/>
      <c r="T11" s="3331">
        <f>IF('Sources and Basis Breakdown'!F107=0,'Sources and Basis Breakdown'!E107,'Sources and Basis Breakdown'!F107)</f>
        <v>22147918</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35" t="s">
        <v>530</v>
      </c>
      <c r="C12" s="3336"/>
      <c r="D12" s="3336"/>
      <c r="E12" s="3336"/>
      <c r="F12" s="3336"/>
      <c r="G12" s="3336"/>
      <c r="H12" s="3336"/>
      <c r="I12" s="3336"/>
      <c r="J12" s="3336"/>
      <c r="K12" s="3336"/>
      <c r="L12" s="3336"/>
      <c r="M12" s="3336"/>
      <c r="N12" s="3336"/>
      <c r="O12" s="3336"/>
      <c r="P12" s="3336"/>
      <c r="Q12" s="3336"/>
      <c r="R12" s="3336"/>
      <c r="S12" s="3337"/>
      <c r="T12" s="3324"/>
      <c r="U12" s="3325"/>
      <c r="V12" s="3325"/>
      <c r="W12" s="3325"/>
      <c r="X12" s="3326"/>
      <c r="Y12" s="3324"/>
      <c r="Z12" s="3325"/>
      <c r="AA12" s="3325"/>
      <c r="AB12" s="3325"/>
      <c r="AC12" s="3326"/>
      <c r="AD12" s="3324"/>
      <c r="AE12" s="3325"/>
      <c r="AF12" s="3325"/>
      <c r="AG12" s="3325"/>
      <c r="AH12" s="3326"/>
      <c r="AI12" s="3324"/>
      <c r="AJ12" s="3325"/>
      <c r="AK12" s="3325"/>
      <c r="AL12" s="3325"/>
      <c r="AM12" s="332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38" t="s">
        <v>531</v>
      </c>
      <c r="D13" s="3338"/>
      <c r="E13" s="3338"/>
      <c r="F13" s="3338"/>
      <c r="G13" s="3338"/>
      <c r="H13" s="3338"/>
      <c r="I13" s="3338"/>
      <c r="J13" s="3338"/>
      <c r="K13" s="3338"/>
      <c r="L13" s="3338"/>
      <c r="M13" s="3338"/>
      <c r="N13" s="3338"/>
      <c r="O13" s="3338"/>
      <c r="P13" s="3338"/>
      <c r="Q13" s="3338"/>
      <c r="R13" s="3338"/>
      <c r="S13" s="3339"/>
      <c r="T13" s="3327"/>
      <c r="U13" s="3328"/>
      <c r="V13" s="3328"/>
      <c r="W13" s="3328"/>
      <c r="X13" s="3328"/>
      <c r="Y13" s="3327"/>
      <c r="Z13" s="3328"/>
      <c r="AA13" s="3328"/>
      <c r="AB13" s="3328"/>
      <c r="AC13" s="3328"/>
      <c r="AD13" s="3328"/>
      <c r="AE13" s="3328"/>
      <c r="AF13" s="3328"/>
      <c r="AG13" s="3328"/>
      <c r="AH13" s="3328"/>
      <c r="AI13" s="3328"/>
      <c r="AJ13" s="3328"/>
      <c r="AK13" s="3328"/>
      <c r="AL13" s="3328"/>
      <c r="AM13" s="332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38" t="s">
        <v>532</v>
      </c>
      <c r="D14" s="3338"/>
      <c r="E14" s="3338"/>
      <c r="F14" s="3338"/>
      <c r="G14" s="3338"/>
      <c r="H14" s="3338"/>
      <c r="I14" s="3338"/>
      <c r="J14" s="3338"/>
      <c r="K14" s="3338"/>
      <c r="L14" s="3338"/>
      <c r="M14" s="3338"/>
      <c r="N14" s="3338"/>
      <c r="O14" s="3338"/>
      <c r="P14" s="3338"/>
      <c r="Q14" s="3338"/>
      <c r="R14" s="3338"/>
      <c r="S14" s="3339"/>
      <c r="T14" s="3313"/>
      <c r="U14" s="3314"/>
      <c r="V14" s="3314"/>
      <c r="W14" s="3314"/>
      <c r="X14" s="3314"/>
      <c r="Y14" s="3313"/>
      <c r="Z14" s="3314"/>
      <c r="AA14" s="3314"/>
      <c r="AB14" s="3314"/>
      <c r="AC14" s="3314"/>
      <c r="AD14" s="3314"/>
      <c r="AE14" s="3314"/>
      <c r="AF14" s="3314"/>
      <c r="AG14" s="3314"/>
      <c r="AH14" s="3314"/>
      <c r="AI14" s="3314"/>
      <c r="AJ14" s="3314"/>
      <c r="AK14" s="3314"/>
      <c r="AL14" s="3314"/>
      <c r="AM14" s="331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38" t="s">
        <v>533</v>
      </c>
      <c r="D15" s="3338"/>
      <c r="E15" s="3338"/>
      <c r="F15" s="3338"/>
      <c r="G15" s="3338"/>
      <c r="H15" s="3338"/>
      <c r="I15" s="3338"/>
      <c r="J15" s="3338"/>
      <c r="K15" s="3338"/>
      <c r="L15" s="3338"/>
      <c r="M15" s="3338"/>
      <c r="N15" s="3338"/>
      <c r="O15" s="3338"/>
      <c r="P15" s="3338"/>
      <c r="Q15" s="3338"/>
      <c r="R15" s="3338"/>
      <c r="S15" s="3339"/>
      <c r="T15" s="3313"/>
      <c r="U15" s="3314"/>
      <c r="V15" s="3314"/>
      <c r="W15" s="3314"/>
      <c r="X15" s="3314"/>
      <c r="Y15" s="3313"/>
      <c r="Z15" s="3314"/>
      <c r="AA15" s="3314"/>
      <c r="AB15" s="3314"/>
      <c r="AC15" s="3314"/>
      <c r="AD15" s="3314"/>
      <c r="AE15" s="3314"/>
      <c r="AF15" s="3314"/>
      <c r="AG15" s="3314"/>
      <c r="AH15" s="3314"/>
      <c r="AI15" s="3314"/>
      <c r="AJ15" s="3314"/>
      <c r="AK15" s="3314"/>
      <c r="AL15" s="3314"/>
      <c r="AM15" s="331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38" t="s">
        <v>864</v>
      </c>
      <c r="D16" s="3338"/>
      <c r="E16" s="3338"/>
      <c r="F16" s="3338"/>
      <c r="G16" s="3338"/>
      <c r="H16" s="3338"/>
      <c r="I16" s="3338"/>
      <c r="J16" s="3338"/>
      <c r="K16" s="3338"/>
      <c r="L16" s="3338"/>
      <c r="M16" s="3338"/>
      <c r="N16" s="3338"/>
      <c r="O16" s="3338"/>
      <c r="P16" s="3338"/>
      <c r="Q16" s="3338"/>
      <c r="R16" s="3338"/>
      <c r="S16" s="3339"/>
      <c r="T16" s="3313"/>
      <c r="U16" s="3314"/>
      <c r="V16" s="3314"/>
      <c r="W16" s="3314"/>
      <c r="X16" s="3314"/>
      <c r="Y16" s="3313"/>
      <c r="Z16" s="3314"/>
      <c r="AA16" s="3314"/>
      <c r="AB16" s="3314"/>
      <c r="AC16" s="3314"/>
      <c r="AD16" s="3314"/>
      <c r="AE16" s="3314"/>
      <c r="AF16" s="3314"/>
      <c r="AG16" s="3314"/>
      <c r="AH16" s="3314"/>
      <c r="AI16" s="3314"/>
      <c r="AJ16" s="3314"/>
      <c r="AK16" s="3314"/>
      <c r="AL16" s="3314"/>
      <c r="AM16" s="331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38" t="s">
        <v>534</v>
      </c>
      <c r="D17" s="3338"/>
      <c r="E17" s="3338"/>
      <c r="F17" s="3338"/>
      <c r="G17" s="3338"/>
      <c r="H17" s="3338"/>
      <c r="I17" s="3338"/>
      <c r="J17" s="3338"/>
      <c r="K17" s="3338"/>
      <c r="L17" s="3338"/>
      <c r="M17" s="3338"/>
      <c r="N17" s="3338"/>
      <c r="O17" s="3338"/>
      <c r="P17" s="3338"/>
      <c r="Q17" s="3338"/>
      <c r="R17" s="3338"/>
      <c r="S17" s="3339"/>
      <c r="T17" s="3313"/>
      <c r="U17" s="3314"/>
      <c r="V17" s="3314"/>
      <c r="W17" s="3314"/>
      <c r="X17" s="3314"/>
      <c r="Y17" s="3313"/>
      <c r="Z17" s="3314"/>
      <c r="AA17" s="3314"/>
      <c r="AB17" s="3314"/>
      <c r="AC17" s="3314"/>
      <c r="AD17" s="3314"/>
      <c r="AE17" s="3314"/>
      <c r="AF17" s="3314"/>
      <c r="AG17" s="3314"/>
      <c r="AH17" s="3314"/>
      <c r="AI17" s="3314"/>
      <c r="AJ17" s="3314"/>
      <c r="AK17" s="3314"/>
      <c r="AL17" s="3314"/>
      <c r="AM17" s="331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33" t="s">
        <v>1038</v>
      </c>
      <c r="D18" s="3333"/>
      <c r="E18" s="3333"/>
      <c r="F18" s="3333"/>
      <c r="G18" s="3333"/>
      <c r="H18" s="3333"/>
      <c r="I18" s="3333"/>
      <c r="J18" s="3333"/>
      <c r="K18" s="3333"/>
      <c r="L18" s="3333"/>
      <c r="M18" s="3333"/>
      <c r="N18" s="3333"/>
      <c r="O18" s="3333"/>
      <c r="P18" s="3333"/>
      <c r="Q18" s="3333"/>
      <c r="R18" s="3333"/>
      <c r="S18" s="3334"/>
      <c r="T18" s="3313"/>
      <c r="U18" s="3314"/>
      <c r="V18" s="3314"/>
      <c r="W18" s="3314"/>
      <c r="X18" s="3314"/>
      <c r="Y18" s="3313"/>
      <c r="Z18" s="3314"/>
      <c r="AA18" s="3314"/>
      <c r="AB18" s="3314"/>
      <c r="AC18" s="3314"/>
      <c r="AD18" s="3314"/>
      <c r="AE18" s="3314"/>
      <c r="AF18" s="3314"/>
      <c r="AG18" s="3314"/>
      <c r="AH18" s="3314"/>
      <c r="AI18" s="3314"/>
      <c r="AJ18" s="3314"/>
      <c r="AK18" s="3314"/>
      <c r="AL18" s="3314"/>
      <c r="AM18" s="331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33" t="s">
        <v>1038</v>
      </c>
      <c r="D19" s="3333"/>
      <c r="E19" s="3333"/>
      <c r="F19" s="3333"/>
      <c r="G19" s="3333"/>
      <c r="H19" s="3333"/>
      <c r="I19" s="3333"/>
      <c r="J19" s="3333"/>
      <c r="K19" s="3333"/>
      <c r="L19" s="3333"/>
      <c r="M19" s="3333"/>
      <c r="N19" s="3333"/>
      <c r="O19" s="3333"/>
      <c r="P19" s="3333"/>
      <c r="Q19" s="3333"/>
      <c r="R19" s="3333"/>
      <c r="S19" s="3334"/>
      <c r="T19" s="3313"/>
      <c r="U19" s="3314"/>
      <c r="V19" s="3314"/>
      <c r="W19" s="3314"/>
      <c r="X19" s="3314"/>
      <c r="Y19" s="3313"/>
      <c r="Z19" s="3314"/>
      <c r="AA19" s="3314"/>
      <c r="AB19" s="3314"/>
      <c r="AC19" s="3314"/>
      <c r="AD19" s="3314"/>
      <c r="AE19" s="3314"/>
      <c r="AF19" s="3314"/>
      <c r="AG19" s="3314"/>
      <c r="AH19" s="3314"/>
      <c r="AI19" s="3314"/>
      <c r="AJ19" s="3314"/>
      <c r="AK19" s="3314"/>
      <c r="AL19" s="3314"/>
      <c r="AM19" s="331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6" t="s">
        <v>535</v>
      </c>
      <c r="C20" s="3287"/>
      <c r="D20" s="3287"/>
      <c r="E20" s="3287"/>
      <c r="F20" s="3287"/>
      <c r="G20" s="3287"/>
      <c r="H20" s="3287"/>
      <c r="I20" s="3287"/>
      <c r="J20" s="3287"/>
      <c r="K20" s="3287"/>
      <c r="L20" s="3287"/>
      <c r="M20" s="3287"/>
      <c r="N20" s="3287"/>
      <c r="O20" s="3287"/>
      <c r="P20" s="3287"/>
      <c r="Q20" s="3287"/>
      <c r="R20" s="3287"/>
      <c r="S20" s="3288"/>
      <c r="T20" s="3303">
        <f>SUM(T13:X19)</f>
        <v>0</v>
      </c>
      <c r="U20" s="3306"/>
      <c r="V20" s="3306"/>
      <c r="W20" s="3306"/>
      <c r="X20" s="3306"/>
      <c r="Y20" s="3303">
        <f>SUM(Y13:AC19)</f>
        <v>0</v>
      </c>
      <c r="Z20" s="3306"/>
      <c r="AA20" s="3306"/>
      <c r="AB20" s="3306"/>
      <c r="AC20" s="3306"/>
      <c r="AD20" s="3301">
        <f>SUM(AD13:AH19)</f>
        <v>0</v>
      </c>
      <c r="AE20" s="3302"/>
      <c r="AF20" s="3302"/>
      <c r="AG20" s="3302"/>
      <c r="AH20" s="3303"/>
      <c r="AI20" s="3301">
        <f>SUM(AI13:AM19)</f>
        <v>0</v>
      </c>
      <c r="AJ20" s="3302"/>
      <c r="AK20" s="3302"/>
      <c r="AL20" s="3302"/>
      <c r="AM20" s="330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6" t="s">
        <v>1494</v>
      </c>
      <c r="C21" s="3287"/>
      <c r="D21" s="3287"/>
      <c r="E21" s="3287"/>
      <c r="F21" s="3287"/>
      <c r="G21" s="3287"/>
      <c r="H21" s="3287"/>
      <c r="I21" s="3287"/>
      <c r="J21" s="3287"/>
      <c r="K21" s="3287"/>
      <c r="L21" s="3287"/>
      <c r="M21" s="3287"/>
      <c r="N21" s="3287"/>
      <c r="O21" s="3287"/>
      <c r="P21" s="3287"/>
      <c r="Q21" s="3287"/>
      <c r="R21" s="3287"/>
      <c r="S21" s="3288"/>
      <c r="T21" s="3313"/>
      <c r="U21" s="3314"/>
      <c r="V21" s="3314"/>
      <c r="W21" s="3314"/>
      <c r="X21" s="3314"/>
      <c r="Y21" s="3313"/>
      <c r="Z21" s="3314"/>
      <c r="AA21" s="3314"/>
      <c r="AB21" s="3314"/>
      <c r="AC21" s="3314"/>
      <c r="AD21" s="3324"/>
      <c r="AE21" s="3325"/>
      <c r="AF21" s="3325"/>
      <c r="AG21" s="3325"/>
      <c r="AH21" s="3326"/>
      <c r="AI21" s="3324"/>
      <c r="AJ21" s="3325"/>
      <c r="AK21" s="3325"/>
      <c r="AL21" s="3325"/>
      <c r="AM21" s="332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6" t="s">
        <v>536</v>
      </c>
      <c r="C22" s="3287"/>
      <c r="D22" s="3287"/>
      <c r="E22" s="3287"/>
      <c r="F22" s="3287"/>
      <c r="G22" s="3287"/>
      <c r="H22" s="3287"/>
      <c r="I22" s="3287"/>
      <c r="J22" s="3287"/>
      <c r="K22" s="3287"/>
      <c r="L22" s="3287"/>
      <c r="M22" s="3287"/>
      <c r="N22" s="3287"/>
      <c r="O22" s="3287"/>
      <c r="P22" s="3287"/>
      <c r="Q22" s="3287"/>
      <c r="R22" s="3287"/>
      <c r="S22" s="3288"/>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42" t="s">
        <v>537</v>
      </c>
      <c r="C23" s="3343"/>
      <c r="D23" s="3343"/>
      <c r="E23" s="3343"/>
      <c r="F23" s="3343"/>
      <c r="G23" s="3343"/>
      <c r="H23" s="3343"/>
      <c r="I23" s="3343"/>
      <c r="J23" s="3343"/>
      <c r="K23" s="3343"/>
      <c r="L23" s="3343"/>
      <c r="M23" s="3343"/>
      <c r="N23" s="3343"/>
      <c r="O23" s="3343"/>
      <c r="P23" s="3343"/>
      <c r="Q23" s="3343"/>
      <c r="R23" s="3343"/>
      <c r="S23" s="3344"/>
      <c r="T23" s="3303">
        <f>T11+T22</f>
        <v>22147918</v>
      </c>
      <c r="U23" s="3306"/>
      <c r="V23" s="3306"/>
      <c r="W23" s="3306"/>
      <c r="X23" s="3306"/>
      <c r="Y23" s="3303">
        <f>Y11+Y22</f>
        <v>0</v>
      </c>
      <c r="Z23" s="3306"/>
      <c r="AA23" s="3306"/>
      <c r="AB23" s="3306"/>
      <c r="AC23" s="3306"/>
      <c r="AD23" s="3303">
        <f>AD11+AD22</f>
        <v>0</v>
      </c>
      <c r="AE23" s="3306"/>
      <c r="AF23" s="3306"/>
      <c r="AG23" s="3306"/>
      <c r="AH23" s="3306"/>
      <c r="AI23" s="3303">
        <f>AI11+AI22</f>
        <v>0</v>
      </c>
      <c r="AJ23" s="3306"/>
      <c r="AK23" s="3306"/>
      <c r="AL23" s="3306"/>
      <c r="AM23" s="330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6" t="s">
        <v>1039</v>
      </c>
      <c r="C24" s="3287"/>
      <c r="D24" s="3287"/>
      <c r="E24" s="3287"/>
      <c r="F24" s="3287"/>
      <c r="G24" s="3287"/>
      <c r="H24" s="3287"/>
      <c r="I24" s="3287"/>
      <c r="J24" s="3287"/>
      <c r="K24" s="3287"/>
      <c r="L24" s="3287"/>
      <c r="M24" s="3287"/>
      <c r="N24" s="3287"/>
      <c r="O24" s="3287"/>
      <c r="P24" s="3287"/>
      <c r="Q24" s="3287"/>
      <c r="R24" s="3287"/>
      <c r="S24" s="3288"/>
      <c r="T24" s="3301">
        <f>Application!AJ1032</f>
        <v>30104396.399999999</v>
      </c>
      <c r="U24" s="3302"/>
      <c r="V24" s="3302"/>
      <c r="W24" s="3302"/>
      <c r="X24" s="3302"/>
      <c r="Y24" s="3302"/>
      <c r="Z24" s="3302"/>
      <c r="AA24" s="3302"/>
      <c r="AB24" s="3302"/>
      <c r="AC24" s="3302"/>
      <c r="AD24" s="3302"/>
      <c r="AE24" s="3302"/>
      <c r="AF24" s="3302"/>
      <c r="AG24" s="3302"/>
      <c r="AH24" s="3302"/>
      <c r="AI24" s="3302"/>
      <c r="AJ24" s="3302"/>
      <c r="AK24" s="3302"/>
      <c r="AL24" s="3302"/>
      <c r="AM24" s="330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45" t="s">
        <v>1495</v>
      </c>
      <c r="C25" s="3346"/>
      <c r="D25" s="3346"/>
      <c r="E25" s="3346"/>
      <c r="F25" s="3346"/>
      <c r="G25" s="3346"/>
      <c r="H25" s="3346"/>
      <c r="I25" s="3346"/>
      <c r="J25" s="3346"/>
      <c r="K25" s="3346"/>
      <c r="L25" s="3346"/>
      <c r="M25" s="3346"/>
      <c r="N25" s="3346"/>
      <c r="O25" s="3346"/>
      <c r="P25" s="3346"/>
      <c r="Q25" s="3346"/>
      <c r="R25" s="3346"/>
      <c r="S25" s="3347"/>
      <c r="T25" s="3319">
        <f>IF(OR(Application!T195="yes",Application!T194="yes"),1.3,1)</f>
        <v>1.3</v>
      </c>
      <c r="U25" s="3320"/>
      <c r="V25" s="3320"/>
      <c r="W25" s="3320"/>
      <c r="X25" s="3320"/>
      <c r="Y25" s="3319">
        <v>1</v>
      </c>
      <c r="Z25" s="3320"/>
      <c r="AA25" s="3320"/>
      <c r="AB25" s="3320"/>
      <c r="AC25" s="3320"/>
      <c r="AD25" s="3319">
        <v>1</v>
      </c>
      <c r="AE25" s="3320"/>
      <c r="AF25" s="3320"/>
      <c r="AG25" s="3320"/>
      <c r="AH25" s="3321"/>
      <c r="AI25" s="3319">
        <v>1</v>
      </c>
      <c r="AJ25" s="3320"/>
      <c r="AK25" s="3320"/>
      <c r="AL25" s="3320"/>
      <c r="AM25" s="332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6" t="s">
        <v>538</v>
      </c>
      <c r="C26" s="3287"/>
      <c r="D26" s="3287"/>
      <c r="E26" s="3287"/>
      <c r="F26" s="3287"/>
      <c r="G26" s="3287"/>
      <c r="H26" s="3287"/>
      <c r="I26" s="3287"/>
      <c r="J26" s="3287"/>
      <c r="K26" s="3287"/>
      <c r="L26" s="3287"/>
      <c r="M26" s="3287"/>
      <c r="N26" s="3287"/>
      <c r="O26" s="3287"/>
      <c r="P26" s="3287"/>
      <c r="Q26" s="3287"/>
      <c r="R26" s="3287"/>
      <c r="S26" s="3288"/>
      <c r="T26" s="3322">
        <f>T23*T25</f>
        <v>28792293.400000002</v>
      </c>
      <c r="U26" s="3323"/>
      <c r="V26" s="3323"/>
      <c r="W26" s="3323"/>
      <c r="X26" s="3323"/>
      <c r="Y26" s="3322">
        <f>Y23*Y25</f>
        <v>0</v>
      </c>
      <c r="Z26" s="3323"/>
      <c r="AA26" s="3323"/>
      <c r="AB26" s="3323"/>
      <c r="AC26" s="3323"/>
      <c r="AD26" s="3322">
        <f>AD23*AD25</f>
        <v>0</v>
      </c>
      <c r="AE26" s="3323"/>
      <c r="AF26" s="3323"/>
      <c r="AG26" s="3323"/>
      <c r="AH26" s="3323"/>
      <c r="AI26" s="3322">
        <f>AI23*AI25</f>
        <v>0</v>
      </c>
      <c r="AJ26" s="3323"/>
      <c r="AK26" s="3323"/>
      <c r="AL26" s="3323"/>
      <c r="AM26" s="332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48" t="s">
        <v>447</v>
      </c>
      <c r="C27" s="3349"/>
      <c r="D27" s="3349"/>
      <c r="E27" s="3349"/>
      <c r="F27" s="3349"/>
      <c r="G27" s="3349"/>
      <c r="H27" s="3349"/>
      <c r="I27" s="3349"/>
      <c r="J27" s="3349"/>
      <c r="K27" s="3349"/>
      <c r="L27" s="3349"/>
      <c r="M27" s="3349"/>
      <c r="N27" s="3349"/>
      <c r="O27" s="3349"/>
      <c r="P27" s="3349"/>
      <c r="Q27" s="3349"/>
      <c r="R27" s="3349"/>
      <c r="S27" s="3350"/>
      <c r="T27" s="3317">
        <f>Application!$AG$444</f>
        <v>1</v>
      </c>
      <c r="U27" s="3318"/>
      <c r="V27" s="3318"/>
      <c r="W27" s="3318"/>
      <c r="X27" s="3318"/>
      <c r="Y27" s="3317">
        <f>Application!$AG$444</f>
        <v>1</v>
      </c>
      <c r="Z27" s="3318"/>
      <c r="AA27" s="3318"/>
      <c r="AB27" s="3318"/>
      <c r="AC27" s="3318"/>
      <c r="AD27" s="3317">
        <f>Application!$AG$444</f>
        <v>1</v>
      </c>
      <c r="AE27" s="3318"/>
      <c r="AF27" s="3318"/>
      <c r="AG27" s="3318"/>
      <c r="AH27" s="3318"/>
      <c r="AI27" s="3317">
        <f>Application!$AG$444</f>
        <v>1</v>
      </c>
      <c r="AJ27" s="3318"/>
      <c r="AK27" s="3318"/>
      <c r="AL27" s="3318"/>
      <c r="AM27" s="331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315">
        <f>IF(ISERROR((T26*T27)),0,(T26*T27))</f>
        <v>28792293.400000002</v>
      </c>
      <c r="U28" s="3316"/>
      <c r="V28" s="3316"/>
      <c r="W28" s="3316"/>
      <c r="X28" s="3316"/>
      <c r="Y28" s="3315">
        <f>IF(ISERROR((Y26*Y27)),0,(Y26*Y27))</f>
        <v>0</v>
      </c>
      <c r="Z28" s="3316"/>
      <c r="AA28" s="3316"/>
      <c r="AB28" s="3316"/>
      <c r="AC28" s="3316"/>
      <c r="AD28" s="3315">
        <f>IF(ISERROR((AD26*AD27)),0,(AD26*AD27))</f>
        <v>0</v>
      </c>
      <c r="AE28" s="3316"/>
      <c r="AF28" s="3316"/>
      <c r="AG28" s="3316"/>
      <c r="AH28" s="3316"/>
      <c r="AI28" s="3315">
        <f>IF(ISERROR((AI26*AI27)),0,(AI26*AI27))</f>
        <v>0</v>
      </c>
      <c r="AJ28" s="3316"/>
      <c r="AK28" s="3316"/>
      <c r="AL28" s="3316"/>
      <c r="AM28" s="331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6" t="s">
        <v>556</v>
      </c>
      <c r="C29" s="3287"/>
      <c r="D29" s="3287"/>
      <c r="E29" s="3287"/>
      <c r="F29" s="3287"/>
      <c r="G29" s="3287"/>
      <c r="H29" s="3287"/>
      <c r="I29" s="3287"/>
      <c r="J29" s="3287"/>
      <c r="K29" s="3287"/>
      <c r="L29" s="3287"/>
      <c r="M29" s="3287"/>
      <c r="N29" s="3287"/>
      <c r="O29" s="3287"/>
      <c r="P29" s="3287"/>
      <c r="Q29" s="3287"/>
      <c r="R29" s="3287"/>
      <c r="S29" s="3288"/>
      <c r="T29" s="3301">
        <f>T28+Y28+AD28+AI28</f>
        <v>28792293.400000002</v>
      </c>
      <c r="U29" s="3302"/>
      <c r="V29" s="3302"/>
      <c r="W29" s="3302"/>
      <c r="X29" s="3302"/>
      <c r="Y29" s="3302"/>
      <c r="Z29" s="3302"/>
      <c r="AA29" s="3302"/>
      <c r="AB29" s="3302"/>
      <c r="AC29" s="3302"/>
      <c r="AD29" s="3302"/>
      <c r="AE29" s="3302"/>
      <c r="AF29" s="3302"/>
      <c r="AG29" s="3302"/>
      <c r="AH29" s="3302"/>
      <c r="AI29" s="3302"/>
      <c r="AJ29" s="3302"/>
      <c r="AK29" s="3302"/>
      <c r="AL29" s="3302"/>
      <c r="AM29" s="330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8" t="s">
        <v>1497</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8" t="s">
        <v>1496</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1345</v>
      </c>
      <c r="Z35" s="3304"/>
      <c r="AA35" s="3304"/>
      <c r="AB35" s="3304"/>
      <c r="AC35" s="3304"/>
      <c r="AD35" s="3305" t="s">
        <v>380</v>
      </c>
      <c r="AE35" s="3305"/>
      <c r="AF35" s="3305"/>
      <c r="AG35" s="3305"/>
      <c r="AH35" s="330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05"/>
      <c r="AE36" s="3305"/>
      <c r="AF36" s="3305"/>
      <c r="AG36" s="3305"/>
      <c r="AH36" s="330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05"/>
      <c r="AE37" s="3305"/>
      <c r="AF37" s="3305"/>
      <c r="AG37" s="3305"/>
      <c r="AH37" s="330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306">
        <f>IF(T24&gt;=(T23+Y23+AD23+AI23),T28+Y28,0)</f>
        <v>28792293.400000002</v>
      </c>
      <c r="Z38" s="3306"/>
      <c r="AA38" s="3306"/>
      <c r="AB38" s="3306"/>
      <c r="AC38" s="3306"/>
      <c r="AD38" s="3306">
        <f>IF(T24&gt;=(T23+Y23+AD23+AI23),AD28+AI28,0)</f>
        <v>0</v>
      </c>
      <c r="AE38" s="3306"/>
      <c r="AF38" s="3306"/>
      <c r="AG38" s="3306"/>
      <c r="AH38" s="330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6" t="s">
        <v>2179</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07">
        <v>0.04</v>
      </c>
      <c r="Z39" s="3307"/>
      <c r="AA39" s="3307"/>
      <c r="AB39" s="3307"/>
      <c r="AC39" s="3307"/>
      <c r="AD39" s="3307">
        <v>0.04</v>
      </c>
      <c r="AE39" s="3307"/>
      <c r="AF39" s="3307"/>
      <c r="AG39" s="3307"/>
      <c r="AH39" s="330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306">
        <f>ROUND(Y38*Y39,0)</f>
        <v>1151692</v>
      </c>
      <c r="Z40" s="3306"/>
      <c r="AA40" s="3306"/>
      <c r="AB40" s="3306"/>
      <c r="AC40" s="3306"/>
      <c r="AD40" s="3303">
        <f>ROUND(AD38*AD39,0)</f>
        <v>0</v>
      </c>
      <c r="AE40" s="3306"/>
      <c r="AF40" s="3306"/>
      <c r="AG40" s="3306"/>
      <c r="AH40" s="330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51">
        <f>Y40+AD40</f>
        <v>1151692</v>
      </c>
      <c r="Z41" s="3352"/>
      <c r="AA41" s="3352"/>
      <c r="AB41" s="3352"/>
      <c r="AC41" s="3352"/>
      <c r="AD41" s="3352"/>
      <c r="AE41" s="3352"/>
      <c r="AF41" s="3352"/>
      <c r="AG41" s="3352"/>
      <c r="AH41" s="335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00" t="s">
        <v>1511</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25826330</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15451290</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10375040</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82">
        <v>0.90085196400000001</v>
      </c>
      <c r="AC50" s="3283"/>
      <c r="AD50" s="3283"/>
      <c r="AE50" s="3283"/>
      <c r="AF50" s="328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93" t="s">
        <v>2375</v>
      </c>
      <c r="F51" s="3293"/>
      <c r="G51" s="3293"/>
      <c r="H51" s="3293"/>
      <c r="I51" s="3293"/>
      <c r="J51" s="3293"/>
      <c r="K51" s="3293"/>
      <c r="L51" s="3293"/>
      <c r="M51" s="3293"/>
      <c r="N51" s="3293"/>
      <c r="O51" s="3293"/>
      <c r="P51" s="3293"/>
      <c r="Q51" s="3293"/>
      <c r="R51" s="3293"/>
      <c r="S51" s="3293"/>
      <c r="T51" s="3293"/>
      <c r="U51" s="3293"/>
      <c r="V51" s="3293"/>
      <c r="W51" s="3293"/>
      <c r="X51" s="3293"/>
      <c r="Y51" s="3293"/>
      <c r="Z51" s="329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93"/>
      <c r="F52" s="3293"/>
      <c r="G52" s="3293"/>
      <c r="H52" s="3293"/>
      <c r="I52" s="3293"/>
      <c r="J52" s="3293"/>
      <c r="K52" s="3293"/>
      <c r="L52" s="3293"/>
      <c r="M52" s="3293"/>
      <c r="N52" s="3293"/>
      <c r="O52" s="3293"/>
      <c r="P52" s="3293"/>
      <c r="Q52" s="3293"/>
      <c r="R52" s="3293"/>
      <c r="S52" s="3293"/>
      <c r="T52" s="3293"/>
      <c r="U52" s="3293"/>
      <c r="V52" s="3293"/>
      <c r="W52" s="3293"/>
      <c r="X52" s="3293"/>
      <c r="Y52" s="3293"/>
      <c r="Z52" s="329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11516920</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1151692</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7">
        <f>(IF((Y41&lt;AB55),Y41,AB55))</f>
        <v>1151692</v>
      </c>
      <c r="AC56" s="3298"/>
      <c r="AD56" s="3298"/>
      <c r="AE56" s="3298"/>
      <c r="AF56" s="329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10375040</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8">
        <f>AB49-AB57</f>
        <v>0</v>
      </c>
      <c r="AC59" s="3278"/>
      <c r="AD59" s="3278"/>
      <c r="AE59" s="3278"/>
      <c r="AF59" s="327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89" t="s">
        <v>1067</v>
      </c>
      <c r="Z63" s="3289"/>
      <c r="AA63" s="3289"/>
      <c r="AB63" s="3289"/>
      <c r="AC63" s="3289"/>
      <c r="AD63" s="3289" t="s">
        <v>380</v>
      </c>
      <c r="AE63" s="3289"/>
      <c r="AF63" s="3289"/>
      <c r="AG63" s="3289"/>
      <c r="AH63" s="328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90">
        <f>IF(Application!Z204="(select)",0,((T23*T27)+Y28))</f>
        <v>22147918</v>
      </c>
      <c r="Z64" s="3291"/>
      <c r="AA64" s="3291"/>
      <c r="AB64" s="3291"/>
      <c r="AC64" s="3292"/>
      <c r="AD64" s="3290">
        <f>IF(AND(Application!AP204="yes",Application!M357="yes"),AD28+AI28,0)</f>
        <v>0</v>
      </c>
      <c r="AE64" s="3291"/>
      <c r="AF64" s="3291"/>
      <c r="AG64" s="3291"/>
      <c r="AH64" s="329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9">
        <f>IF(Application!AP204="yes",0.75,IF(Application!Z203="15% set-aside",0.13,IF(Application!Z203="15% set-aside with qualifying low value rehab",0.95,0.3)))</f>
        <v>0.3</v>
      </c>
      <c r="Z67" s="3279"/>
      <c r="AA67" s="3279"/>
      <c r="AB67" s="3279"/>
      <c r="AC67" s="3279"/>
      <c r="AD67" s="3279">
        <f>IF(Application!AP204="yes",0.75,IF(Application!Z203="15% set-aside with qualifying low value rehab", 0.95,0.13))</f>
        <v>0.13</v>
      </c>
      <c r="AE67" s="3279"/>
      <c r="AF67" s="3279"/>
      <c r="AG67" s="3279"/>
      <c r="AH67" s="327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80">
        <f>ROUND(Y64*Y67,0)</f>
        <v>6644375</v>
      </c>
      <c r="Z68" s="3281"/>
      <c r="AA68" s="3281"/>
      <c r="AB68" s="3281"/>
      <c r="AC68" s="3281"/>
      <c r="AD68" s="3280" t="str">
        <f>IF(Application!D210="At-Risk",AD64*AD67,"$0")</f>
        <v>$0</v>
      </c>
      <c r="AE68" s="3281"/>
      <c r="AF68" s="3281"/>
      <c r="AG68" s="3281"/>
      <c r="AH68" s="328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82"/>
      <c r="AC71" s="3283"/>
      <c r="AD71" s="3283"/>
      <c r="AE71" s="3283"/>
      <c r="AF71" s="328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5" t="s">
        <v>1482</v>
      </c>
      <c r="F72" s="3285"/>
      <c r="G72" s="3285"/>
      <c r="H72" s="3285"/>
      <c r="I72" s="3285"/>
      <c r="J72" s="3285"/>
      <c r="K72" s="3285"/>
      <c r="L72" s="3285"/>
      <c r="M72" s="3285"/>
      <c r="N72" s="3285"/>
      <c r="O72" s="3285"/>
      <c r="P72" s="3285"/>
      <c r="Q72" s="3285"/>
      <c r="R72" s="3285"/>
      <c r="S72" s="3285"/>
      <c r="T72" s="3285"/>
      <c r="U72" s="3285"/>
      <c r="V72" s="3285"/>
      <c r="W72" s="3285"/>
      <c r="X72" s="3285"/>
      <c r="Y72" s="3285"/>
      <c r="Z72" s="3285"/>
      <c r="AA72" s="328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5"/>
      <c r="F73" s="3285"/>
      <c r="G73" s="3285"/>
      <c r="H73" s="3285"/>
      <c r="I73" s="3285"/>
      <c r="J73" s="3285"/>
      <c r="K73" s="3285"/>
      <c r="L73" s="3285"/>
      <c r="M73" s="3285"/>
      <c r="N73" s="3285"/>
      <c r="O73" s="3285"/>
      <c r="P73" s="3285"/>
      <c r="Q73" s="3285"/>
      <c r="R73" s="3285"/>
      <c r="S73" s="3285"/>
      <c r="T73" s="3285"/>
      <c r="U73" s="3285"/>
      <c r="V73" s="3285"/>
      <c r="W73" s="3285"/>
      <c r="X73" s="3285"/>
      <c r="Y73" s="3285"/>
      <c r="Z73" s="3285"/>
      <c r="AA73" s="328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5"/>
      <c r="F74" s="3285"/>
      <c r="G74" s="3285"/>
      <c r="H74" s="3285"/>
      <c r="I74" s="3285"/>
      <c r="J74" s="3285"/>
      <c r="K74" s="3285"/>
      <c r="L74" s="3285"/>
      <c r="M74" s="3285"/>
      <c r="N74" s="3285"/>
      <c r="O74" s="3285"/>
      <c r="P74" s="3285"/>
      <c r="Q74" s="3285"/>
      <c r="R74" s="3285"/>
      <c r="S74" s="3285"/>
      <c r="T74" s="3285"/>
      <c r="U74" s="3285"/>
      <c r="V74" s="3285"/>
      <c r="W74" s="3285"/>
      <c r="X74" s="3285"/>
      <c r="Y74" s="3285"/>
      <c r="Z74" s="3285"/>
      <c r="AA74" s="328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73">
        <f>ROUND(IF(ISERROR((AB59/AB71)),0,(AB59/AB71)),0)</f>
        <v>0</v>
      </c>
      <c r="AC76" s="3273"/>
      <c r="AD76" s="3273"/>
      <c r="AE76" s="3273"/>
      <c r="AF76" s="327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74">
        <f>IF((Y68+AD68&lt;AB76),Y68+AD68,AB76)</f>
        <v>0</v>
      </c>
      <c r="AC77" s="3275"/>
      <c r="AD77" s="3275"/>
      <c r="AE77" s="3275"/>
      <c r="AF77" s="327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7">
        <f>AB77*AB71</f>
        <v>0</v>
      </c>
      <c r="AC78" s="3277"/>
      <c r="AD78" s="3277"/>
      <c r="AE78" s="3277"/>
      <c r="AF78" s="327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8">
        <f>AB49-(AB57+AB78)</f>
        <v>0</v>
      </c>
      <c r="AC80" s="3278"/>
      <c r="AD80" s="3278"/>
      <c r="AE80" s="3278"/>
      <c r="AF80" s="327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3" thickTop="1"/>
    <row r="85" spans="1:98" ht="13">
      <c r="A85" s="794"/>
      <c r="C85" s="334"/>
      <c r="Z85" s="619"/>
      <c r="AA85" s="619"/>
      <c r="AB85" s="619"/>
      <c r="AC85" s="619"/>
      <c r="AD85" s="619"/>
      <c r="AE85" s="619"/>
      <c r="AF85" s="619"/>
      <c r="AG85" s="619"/>
      <c r="AH85" s="619"/>
    </row>
    <row r="86" spans="1:98" ht="13">
      <c r="D86" s="334"/>
      <c r="Z86" s="619"/>
      <c r="AA86" s="619"/>
      <c r="AB86" s="3341"/>
      <c r="AC86" s="3341"/>
      <c r="AD86" s="3341"/>
      <c r="AE86" s="3341"/>
      <c r="AF86" s="3341"/>
      <c r="AG86" s="619"/>
      <c r="AH86" s="619"/>
    </row>
    <row r="87" spans="1:98" ht="13.5" thickBot="1">
      <c r="D87" s="334"/>
      <c r="Z87" s="619"/>
      <c r="AA87" s="619"/>
      <c r="AB87" s="3340"/>
      <c r="AC87" s="3340"/>
      <c r="AD87" s="3340"/>
      <c r="AE87" s="3340"/>
      <c r="AF87" s="334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1" zoomScaleNormal="100" zoomScaleSheetLayoutView="80" workbookViewId="0">
      <selection activeCell="G19" sqref="G19"/>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56" t="s">
        <v>1935</v>
      </c>
      <c r="B1" s="3356"/>
      <c r="C1" s="3356"/>
      <c r="D1" s="3356"/>
      <c r="E1" s="3356"/>
      <c r="F1" s="3356"/>
      <c r="G1" s="3356"/>
      <c r="H1" s="3356"/>
      <c r="I1" s="3356"/>
      <c r="J1" s="3356"/>
      <c r="K1" s="335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6"/>
      <c r="B2" s="3356"/>
      <c r="C2" s="3356"/>
      <c r="D2" s="3356"/>
      <c r="E2" s="3356"/>
      <c r="F2" s="3356"/>
      <c r="G2" s="3356"/>
      <c r="H2" s="3356"/>
      <c r="I2" s="3356"/>
      <c r="J2" s="3356"/>
      <c r="K2" s="335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7" t="s">
        <v>1936</v>
      </c>
      <c r="D4" s="3357"/>
      <c r="E4" s="3357"/>
      <c r="F4" s="3357"/>
      <c r="G4" s="3357"/>
      <c r="H4" s="3357"/>
      <c r="I4" s="3357"/>
      <c r="J4" s="3357"/>
    </row>
    <row r="5" spans="1:33">
      <c r="C5" s="3357"/>
      <c r="D5" s="3357"/>
      <c r="E5" s="3357"/>
      <c r="F5" s="3357"/>
      <c r="G5" s="3357"/>
      <c r="H5" s="3357"/>
      <c r="I5" s="3357"/>
      <c r="J5" s="3357"/>
    </row>
    <row r="6" spans="1:33">
      <c r="C6" s="1426"/>
      <c r="D6" s="1426"/>
      <c r="E6" s="1426"/>
      <c r="F6" s="1426"/>
      <c r="G6" s="1426"/>
      <c r="H6" s="1426"/>
      <c r="I6" s="1426"/>
      <c r="J6" s="1426"/>
    </row>
    <row r="7" spans="1:33">
      <c r="C7" s="1427" t="s">
        <v>1937</v>
      </c>
      <c r="D7" s="1426"/>
      <c r="E7" s="3358" t="str">
        <f>Application!H16</f>
        <v>Meadows Seniors LP (to be formed)</v>
      </c>
      <c r="F7" s="3358"/>
      <c r="G7" s="3358"/>
      <c r="H7" s="1426"/>
      <c r="I7" s="1427" t="s">
        <v>1938</v>
      </c>
      <c r="J7" s="1428">
        <f>Application!AG437+Application!AG439</f>
        <v>64</v>
      </c>
    </row>
    <row r="8" spans="1:33">
      <c r="C8" s="1427" t="s">
        <v>1939</v>
      </c>
      <c r="D8" s="1426"/>
      <c r="E8" s="3358" t="str">
        <f>Application!H18</f>
        <v>The Meadows Seniors Apartments</v>
      </c>
      <c r="F8" s="3358"/>
      <c r="G8" s="3358"/>
      <c r="H8" s="1426"/>
      <c r="I8" s="1427" t="s">
        <v>1940</v>
      </c>
      <c r="J8" s="1429">
        <f>Application!CS663</f>
        <v>76</v>
      </c>
    </row>
    <row r="9" spans="1:33" ht="14.25" customHeight="1">
      <c r="C9" s="1427" t="s">
        <v>1941</v>
      </c>
      <c r="D9" s="1426"/>
      <c r="E9" s="3359" t="str">
        <f>Application!D210</f>
        <v>Seniors</v>
      </c>
      <c r="F9" s="3359"/>
      <c r="G9" s="3359"/>
      <c r="H9" s="1426"/>
      <c r="I9" s="1427" t="s">
        <v>1942</v>
      </c>
      <c r="J9" s="1430">
        <v>7</v>
      </c>
      <c r="N9" s="1431"/>
    </row>
    <row r="10" spans="1:33" ht="26.9" customHeight="1">
      <c r="C10" s="3357" t="s">
        <v>1943</v>
      </c>
      <c r="D10" s="3357"/>
      <c r="E10" s="3360" t="str">
        <f>Application!D213</f>
        <v>N/A</v>
      </c>
      <c r="F10" s="3360"/>
      <c r="G10" s="3360"/>
      <c r="H10" s="1426"/>
      <c r="I10" s="1432" t="s">
        <v>1944</v>
      </c>
      <c r="J10" s="1433">
        <f>IF(J9&gt;0,J8-J9,J8)</f>
        <v>69</v>
      </c>
      <c r="N10" s="1431"/>
    </row>
    <row r="11" spans="1:33">
      <c r="C11" s="1434"/>
      <c r="N11" s="1431"/>
    </row>
    <row r="12" spans="1:33" ht="15" customHeight="1">
      <c r="C12" s="3361" t="s">
        <v>1945</v>
      </c>
      <c r="D12" s="3362"/>
      <c r="E12" s="3363"/>
      <c r="F12" s="3354" t="s">
        <v>1946</v>
      </c>
      <c r="G12" s="3354" t="s">
        <v>1947</v>
      </c>
      <c r="H12" s="3367" t="s">
        <v>2161</v>
      </c>
      <c r="I12" s="3354" t="s">
        <v>2160</v>
      </c>
      <c r="J12" s="3354" t="s">
        <v>1948</v>
      </c>
      <c r="N12" s="1431"/>
    </row>
    <row r="13" spans="1:33" ht="68.25" customHeight="1">
      <c r="C13" s="3364"/>
      <c r="D13" s="3365"/>
      <c r="E13" s="3366"/>
      <c r="F13" s="3355"/>
      <c r="G13" s="3355"/>
      <c r="H13" s="3368"/>
      <c r="I13" s="3355"/>
      <c r="J13" s="3355"/>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2661</v>
      </c>
      <c r="G17" s="1443">
        <v>10500</v>
      </c>
      <c r="H17" s="1442" t="s">
        <v>2221</v>
      </c>
      <c r="I17" s="1442" t="s">
        <v>2662</v>
      </c>
      <c r="J17" s="1442" t="s">
        <v>2663</v>
      </c>
    </row>
    <row r="18" spans="3:10">
      <c r="C18" s="1439" t="s">
        <v>1955</v>
      </c>
      <c r="D18" s="1425" t="s">
        <v>1956</v>
      </c>
      <c r="E18" s="1425"/>
      <c r="F18" s="1440" t="s">
        <v>2664</v>
      </c>
      <c r="G18" s="1443">
        <v>7500</v>
      </c>
      <c r="H18" s="1442" t="s">
        <v>2221</v>
      </c>
      <c r="I18" s="1442" t="s">
        <v>2662</v>
      </c>
      <c r="J18" s="1442" t="s">
        <v>2663</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t="s">
        <v>2665</v>
      </c>
      <c r="E31" s="1459"/>
      <c r="F31" s="1440"/>
      <c r="G31" s="1443">
        <v>1200</v>
      </c>
      <c r="H31" s="1442" t="s">
        <v>2221</v>
      </c>
      <c r="I31" s="1442" t="s">
        <v>2662</v>
      </c>
      <c r="J31" s="1442" t="s">
        <v>2663</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19200</v>
      </c>
      <c r="H35" s="1466"/>
      <c r="I35" s="1466"/>
      <c r="J35" s="1466"/>
    </row>
    <row r="36" spans="3:10"/>
    <row r="37" spans="3:10" ht="16.5">
      <c r="C37" s="1467" t="s">
        <v>1972</v>
      </c>
    </row>
    <row r="38" spans="3:10" s="1469" customFormat="1" ht="17.25" customHeight="1">
      <c r="C38" s="1468" t="s">
        <v>1973</v>
      </c>
    </row>
    <row r="39" spans="3:10" s="1469" customFormat="1" ht="14.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6" sqref="C6"/>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997356</v>
      </c>
      <c r="G4" s="354">
        <f>E4*$C$4</f>
        <v>1022289.8999999999</v>
      </c>
      <c r="I4" s="354">
        <f>G4*$C$4</f>
        <v>1047847.1474999998</v>
      </c>
      <c r="K4" s="354">
        <f>I4*$C$4</f>
        <v>1074043.3261874998</v>
      </c>
      <c r="M4" s="354">
        <f>K4*$C$4</f>
        <v>1100894.4093421872</v>
      </c>
      <c r="O4" s="354">
        <f>M4*$C$4</f>
        <v>1128416.7695757418</v>
      </c>
      <c r="Q4" s="354">
        <f>O4*$C$4</f>
        <v>1156627.1888151353</v>
      </c>
      <c r="S4" s="354">
        <f>Q4*$C$4</f>
        <v>1185542.8685355135</v>
      </c>
      <c r="U4" s="354">
        <f>S4*$C$4</f>
        <v>1215181.4402489013</v>
      </c>
      <c r="W4" s="354">
        <f>U4*$C$4</f>
        <v>1245560.9762551237</v>
      </c>
      <c r="Y4" s="354">
        <f>W4*$C$4</f>
        <v>1276700.0006615017</v>
      </c>
      <c r="AA4" s="354">
        <f>Y4*$C$4</f>
        <v>1308617.5006780392</v>
      </c>
      <c r="AC4" s="354">
        <f>AA4*$C$4</f>
        <v>1341332.9381949899</v>
      </c>
      <c r="AE4" s="354">
        <f>AC4*$C$4</f>
        <v>1374866.2616498645</v>
      </c>
      <c r="AG4" s="354">
        <f>AE4*$C$4</f>
        <v>1409237.9181911109</v>
      </c>
    </row>
    <row r="5" spans="1:34" s="339" customFormat="1" ht="14">
      <c r="B5" s="339" t="s">
        <v>901</v>
      </c>
      <c r="C5" s="375">
        <f>IF(Application!$D$210="Special Needs",0.1,0.05)*0+0.05145183064</f>
        <v>5.1451830640000001E-2</v>
      </c>
      <c r="E5" s="356">
        <f>-E4*$C$5</f>
        <v>-51315.791999787842</v>
      </c>
      <c r="F5" s="356"/>
      <c r="G5" s="356">
        <f>-G4*$C$5</f>
        <v>-52598.686799782532</v>
      </c>
      <c r="H5" s="356"/>
      <c r="I5" s="356">
        <f>-I4*$C$5</f>
        <v>-53913.653969777093</v>
      </c>
      <c r="J5" s="356"/>
      <c r="K5" s="356">
        <f>-K4*$C$5</f>
        <v>-55261.495319021516</v>
      </c>
      <c r="L5" s="356"/>
      <c r="M5" s="356">
        <f>-M4*$C$5</f>
        <v>-56643.03270199705</v>
      </c>
      <c r="N5" s="356"/>
      <c r="O5" s="356">
        <f>-O4*$C$5</f>
        <v>-58059.108519546979</v>
      </c>
      <c r="P5" s="356"/>
      <c r="Q5" s="356">
        <f>-Q4*$C$5</f>
        <v>-59510.586232535643</v>
      </c>
      <c r="R5" s="356"/>
      <c r="S5" s="356">
        <f>-S4*$C$5</f>
        <v>-60998.350888349029</v>
      </c>
      <c r="T5" s="356"/>
      <c r="U5" s="356">
        <f>-U4*$C$5</f>
        <v>-62523.309660557752</v>
      </c>
      <c r="V5" s="356"/>
      <c r="W5" s="356">
        <f>-W4*$C$5</f>
        <v>-64086.392402071688</v>
      </c>
      <c r="X5" s="356"/>
      <c r="Y5" s="356">
        <f>-Y4*$C$5</f>
        <v>-65688.552212123468</v>
      </c>
      <c r="Z5" s="356"/>
      <c r="AA5" s="356">
        <f>-AA4*$C$5</f>
        <v>-67330.766017426562</v>
      </c>
      <c r="AB5" s="356"/>
      <c r="AC5" s="356">
        <f>-AC4*$C$5</f>
        <v>-69014.03516786221</v>
      </c>
      <c r="AD5" s="356"/>
      <c r="AE5" s="356">
        <f>-AE4*$C$5</f>
        <v>-70739.386047058753</v>
      </c>
      <c r="AF5" s="356"/>
      <c r="AG5" s="356">
        <f>-AG4*$C$5</f>
        <v>-72507.870698235216</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11864</v>
      </c>
      <c r="F8" s="357"/>
      <c r="G8" s="357">
        <f>E8*$C$8</f>
        <v>12160.599999999999</v>
      </c>
      <c r="H8" s="357"/>
      <c r="I8" s="357">
        <f>G8*$C$8</f>
        <v>12464.614999999998</v>
      </c>
      <c r="J8" s="357"/>
      <c r="K8" s="357">
        <f>I8*$C$8</f>
        <v>12776.230374999997</v>
      </c>
      <c r="L8" s="357"/>
      <c r="M8" s="357">
        <f>K8*$C$8</f>
        <v>13095.636134374996</v>
      </c>
      <c r="N8" s="357"/>
      <c r="O8" s="357">
        <f>M8*$C$8</f>
        <v>13423.02703773437</v>
      </c>
      <c r="P8" s="357"/>
      <c r="Q8" s="357">
        <f>O8*$C$8</f>
        <v>13758.602713677728</v>
      </c>
      <c r="R8" s="357"/>
      <c r="S8" s="357">
        <f>Q8*$C$8</f>
        <v>14102.56778151967</v>
      </c>
      <c r="T8" s="357"/>
      <c r="U8" s="357">
        <f>S8*$C$8</f>
        <v>14455.131976057661</v>
      </c>
      <c r="V8" s="357"/>
      <c r="W8" s="357">
        <f>U8*$C$8</f>
        <v>14816.510275459101</v>
      </c>
      <c r="X8" s="357"/>
      <c r="Y8" s="357">
        <f>W8*$C$8</f>
        <v>15186.923032345578</v>
      </c>
      <c r="Z8" s="357"/>
      <c r="AA8" s="357">
        <f>Y8*$C$8</f>
        <v>15566.596108154215</v>
      </c>
      <c r="AB8" s="357"/>
      <c r="AC8" s="357">
        <f>AA8*$C$8</f>
        <v>15955.76101085807</v>
      </c>
      <c r="AD8" s="357"/>
      <c r="AE8" s="357">
        <f>AC8*$C$8</f>
        <v>16354.655036129521</v>
      </c>
      <c r="AF8" s="357"/>
      <c r="AG8" s="357">
        <f>AE8*$C$8</f>
        <v>16763.521412032758</v>
      </c>
    </row>
    <row r="9" spans="1:34" s="339" customFormat="1" ht="14">
      <c r="B9" s="339" t="s">
        <v>901</v>
      </c>
      <c r="C9" s="375">
        <f>IF(Application!$D$210="Special Needs",0.1,0.05)</f>
        <v>0.05</v>
      </c>
      <c r="E9" s="373">
        <f>-E8*$C$9</f>
        <v>-593.20000000000005</v>
      </c>
      <c r="F9" s="356"/>
      <c r="G9" s="373">
        <f>-G8*$C$9</f>
        <v>-608.03</v>
      </c>
      <c r="H9" s="356"/>
      <c r="I9" s="373">
        <f>-I8*$C$9</f>
        <v>-623.23074999999994</v>
      </c>
      <c r="J9" s="356"/>
      <c r="K9" s="373">
        <f>-K8*$C$9</f>
        <v>-638.81151874999989</v>
      </c>
      <c r="L9" s="356"/>
      <c r="M9" s="373">
        <f>-M8*$C$9</f>
        <v>-654.78180671874986</v>
      </c>
      <c r="N9" s="356"/>
      <c r="O9" s="373">
        <f>-O8*$C$9</f>
        <v>-671.15135188671854</v>
      </c>
      <c r="P9" s="356"/>
      <c r="Q9" s="373">
        <f>-Q8*$C$9</f>
        <v>-687.93013568388642</v>
      </c>
      <c r="R9" s="356"/>
      <c r="S9" s="373">
        <f>-S8*$C$9</f>
        <v>-705.12838907598359</v>
      </c>
      <c r="T9" s="356"/>
      <c r="U9" s="373">
        <f>-U8*$C$9</f>
        <v>-722.7565988028831</v>
      </c>
      <c r="V9" s="356"/>
      <c r="W9" s="373">
        <f>-W8*$C$9</f>
        <v>-740.82551377295511</v>
      </c>
      <c r="X9" s="356"/>
      <c r="Y9" s="373">
        <f>-Y8*$C$9</f>
        <v>-759.34615161727891</v>
      </c>
      <c r="Z9" s="356"/>
      <c r="AA9" s="373">
        <f>-AA8*$C$9</f>
        <v>-778.32980540771086</v>
      </c>
      <c r="AB9" s="356"/>
      <c r="AC9" s="373">
        <f>-AC8*$C$9</f>
        <v>-797.78805054290353</v>
      </c>
      <c r="AD9" s="356"/>
      <c r="AE9" s="373">
        <f>-AE8*$C$9</f>
        <v>-817.73275180647613</v>
      </c>
      <c r="AF9" s="356"/>
      <c r="AG9" s="373">
        <f>-AG8*$C$9</f>
        <v>-838.176070601638</v>
      </c>
    </row>
    <row r="10" spans="1:34" s="358" customFormat="1" ht="14">
      <c r="A10" s="358" t="s">
        <v>922</v>
      </c>
      <c r="C10" s="349"/>
      <c r="E10" s="358">
        <f>SUM(E4:E9)</f>
        <v>957311.00800021226</v>
      </c>
      <c r="G10" s="358">
        <f>SUM(G4:G9)</f>
        <v>981243.78320021729</v>
      </c>
      <c r="I10" s="358">
        <f>SUM(I4:I9)</f>
        <v>1005774.8777802228</v>
      </c>
      <c r="K10" s="358">
        <f>SUM(K4:K9)</f>
        <v>1030919.2497247283</v>
      </c>
      <c r="M10" s="358">
        <f>SUM(M4:M9)</f>
        <v>1056692.2309678462</v>
      </c>
      <c r="O10" s="358">
        <f>SUM(O4:O9)</f>
        <v>1083109.5367420425</v>
      </c>
      <c r="Q10" s="358">
        <f>SUM(Q4:Q9)</f>
        <v>1110187.2751605937</v>
      </c>
      <c r="S10" s="358">
        <f>SUM(S4:S9)</f>
        <v>1137941.9570396079</v>
      </c>
      <c r="U10" s="358">
        <f>SUM(U4:U9)</f>
        <v>1166390.5059655984</v>
      </c>
      <c r="W10" s="358">
        <f>SUM(W4:W9)</f>
        <v>1195550.2686147382</v>
      </c>
      <c r="Y10" s="358">
        <f>SUM(Y4:Y9)</f>
        <v>1225439.0253301063</v>
      </c>
      <c r="AA10" s="358">
        <f>SUM(AA4:AA9)</f>
        <v>1256075.0009633591</v>
      </c>
      <c r="AC10" s="358">
        <f>SUM(AC4:AC9)</f>
        <v>1287476.8759874429</v>
      </c>
      <c r="AE10" s="358">
        <f>SUM(AE4:AE9)</f>
        <v>1319663.7978871288</v>
      </c>
      <c r="AG10" s="358">
        <f>SUM(AG4:AG9)</f>
        <v>1352655.3928343067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30942</v>
      </c>
      <c r="G14" s="354">
        <f>E14*$C$13</f>
        <v>32024.969999999998</v>
      </c>
      <c r="I14" s="354">
        <f>G14*$C$13</f>
        <v>33145.843949999995</v>
      </c>
      <c r="K14" s="354">
        <f>I14*$C$13</f>
        <v>34305.948488249989</v>
      </c>
      <c r="M14" s="354">
        <f>K14*$C$13</f>
        <v>35506.656685338734</v>
      </c>
      <c r="O14" s="354">
        <f>M14*$C$13</f>
        <v>36749.389669325588</v>
      </c>
      <c r="Q14" s="354">
        <f>O14*$C$13</f>
        <v>38035.618307751982</v>
      </c>
      <c r="S14" s="354">
        <f>Q14*$C$13</f>
        <v>39366.864948523296</v>
      </c>
      <c r="U14" s="354">
        <f>S14*$C$13</f>
        <v>40744.705221721611</v>
      </c>
      <c r="W14" s="354">
        <f>U14*$C$13</f>
        <v>42170.769904481866</v>
      </c>
      <c r="Y14" s="354">
        <f>W14*$C$13</f>
        <v>43646.746851138727</v>
      </c>
      <c r="AA14" s="354">
        <f>Y14*$C$13</f>
        <v>45174.382990928578</v>
      </c>
      <c r="AC14" s="354">
        <f>AA14*$C$13</f>
        <v>46755.486395611071</v>
      </c>
      <c r="AE14" s="354">
        <f>AC14*$C$13</f>
        <v>48391.928419457457</v>
      </c>
      <c r="AG14" s="354">
        <f>AE14*$C$13</f>
        <v>50085.645914138462</v>
      </c>
    </row>
    <row r="15" spans="1:34" s="339" customFormat="1" ht="14">
      <c r="A15" s="339" t="s">
        <v>354</v>
      </c>
      <c r="C15" s="368"/>
      <c r="E15" s="357">
        <f>Application!W847</f>
        <v>69036</v>
      </c>
      <c r="F15" s="357"/>
      <c r="G15" s="357">
        <f t="shared" ref="G15:AG20" si="0">E15*$C$13</f>
        <v>71452.259999999995</v>
      </c>
      <c r="H15" s="357"/>
      <c r="I15" s="357">
        <f t="shared" si="0"/>
        <v>73953.089099999983</v>
      </c>
      <c r="J15" s="357"/>
      <c r="K15" s="357">
        <f t="shared" si="0"/>
        <v>76541.447218499976</v>
      </c>
      <c r="L15" s="357"/>
      <c r="M15" s="357">
        <f t="shared" si="0"/>
        <v>79220.397871147463</v>
      </c>
      <c r="N15" s="357"/>
      <c r="O15" s="357">
        <f t="shared" si="0"/>
        <v>81993.111796637619</v>
      </c>
      <c r="P15" s="357"/>
      <c r="Q15" s="357">
        <f t="shared" si="0"/>
        <v>84862.870709519935</v>
      </c>
      <c r="R15" s="357"/>
      <c r="S15" s="357">
        <f t="shared" si="0"/>
        <v>87833.071184353132</v>
      </c>
      <c r="T15" s="357"/>
      <c r="U15" s="357">
        <f t="shared" si="0"/>
        <v>90907.228675805483</v>
      </c>
      <c r="V15" s="357"/>
      <c r="W15" s="357">
        <f t="shared" si="0"/>
        <v>94088.981679458666</v>
      </c>
      <c r="X15" s="357"/>
      <c r="Y15" s="357">
        <f t="shared" si="0"/>
        <v>97382.096038239717</v>
      </c>
      <c r="Z15" s="357"/>
      <c r="AA15" s="357">
        <f t="shared" si="0"/>
        <v>100790.4693995781</v>
      </c>
      <c r="AB15" s="357"/>
      <c r="AC15" s="357">
        <f t="shared" si="0"/>
        <v>104318.13582856332</v>
      </c>
      <c r="AD15" s="357"/>
      <c r="AE15" s="357">
        <f t="shared" si="0"/>
        <v>107969.27058256303</v>
      </c>
      <c r="AF15" s="357"/>
      <c r="AG15" s="357">
        <f t="shared" si="0"/>
        <v>111748.19505295272</v>
      </c>
    </row>
    <row r="16" spans="1:34" s="339" customFormat="1" ht="14">
      <c r="A16" s="339" t="s">
        <v>594</v>
      </c>
      <c r="C16" s="368"/>
      <c r="E16" s="357">
        <f>Application!W853</f>
        <v>64000</v>
      </c>
      <c r="F16" s="357"/>
      <c r="G16" s="357">
        <f t="shared" si="0"/>
        <v>66240</v>
      </c>
      <c r="H16" s="357"/>
      <c r="I16" s="357">
        <f t="shared" si="0"/>
        <v>68558.399999999994</v>
      </c>
      <c r="J16" s="357"/>
      <c r="K16" s="357">
        <f t="shared" si="0"/>
        <v>70957.943999999989</v>
      </c>
      <c r="L16" s="357"/>
      <c r="M16" s="357">
        <f t="shared" si="0"/>
        <v>73441.472039999979</v>
      </c>
      <c r="N16" s="357"/>
      <c r="O16" s="357">
        <f t="shared" si="0"/>
        <v>76011.923561399977</v>
      </c>
      <c r="P16" s="357"/>
      <c r="Q16" s="357">
        <f t="shared" si="0"/>
        <v>78672.340886048973</v>
      </c>
      <c r="R16" s="357"/>
      <c r="S16" s="357">
        <f t="shared" si="0"/>
        <v>81425.872817060677</v>
      </c>
      <c r="T16" s="357"/>
      <c r="U16" s="357">
        <f t="shared" si="0"/>
        <v>84275.778365657796</v>
      </c>
      <c r="V16" s="357"/>
      <c r="W16" s="357">
        <f t="shared" si="0"/>
        <v>87225.430608455805</v>
      </c>
      <c r="X16" s="357"/>
      <c r="Y16" s="357">
        <f t="shared" si="0"/>
        <v>90278.320679751749</v>
      </c>
      <c r="Z16" s="357"/>
      <c r="AA16" s="357">
        <f t="shared" si="0"/>
        <v>93438.061903543057</v>
      </c>
      <c r="AB16" s="357"/>
      <c r="AC16" s="357">
        <f t="shared" si="0"/>
        <v>96708.394070167051</v>
      </c>
      <c r="AD16" s="357"/>
      <c r="AE16" s="357">
        <f t="shared" si="0"/>
        <v>100093.18786262289</v>
      </c>
      <c r="AF16" s="357"/>
      <c r="AG16" s="357">
        <f t="shared" si="0"/>
        <v>103596.44943781468</v>
      </c>
    </row>
    <row r="17" spans="1:33" s="339" customFormat="1" ht="14">
      <c r="A17" s="339" t="s">
        <v>905</v>
      </c>
      <c r="C17" s="368"/>
      <c r="E17" s="357">
        <f>Application!W860</f>
        <v>73080</v>
      </c>
      <c r="F17" s="357"/>
      <c r="G17" s="357">
        <f t="shared" si="0"/>
        <v>75637.799999999988</v>
      </c>
      <c r="H17" s="357"/>
      <c r="I17" s="357">
        <f t="shared" si="0"/>
        <v>78285.122999999978</v>
      </c>
      <c r="J17" s="357"/>
      <c r="K17" s="357">
        <f t="shared" si="0"/>
        <v>81025.102304999964</v>
      </c>
      <c r="L17" s="357"/>
      <c r="M17" s="357">
        <f t="shared" si="0"/>
        <v>83860.980885674959</v>
      </c>
      <c r="N17" s="357"/>
      <c r="O17" s="357">
        <f t="shared" si="0"/>
        <v>86796.11521667357</v>
      </c>
      <c r="P17" s="357"/>
      <c r="Q17" s="357">
        <f t="shared" si="0"/>
        <v>89833.979249257143</v>
      </c>
      <c r="R17" s="357"/>
      <c r="S17" s="357">
        <f t="shared" si="0"/>
        <v>92978.168522981141</v>
      </c>
      <c r="T17" s="357"/>
      <c r="U17" s="357">
        <f t="shared" si="0"/>
        <v>96232.404421285479</v>
      </c>
      <c r="V17" s="357"/>
      <c r="W17" s="357">
        <f t="shared" si="0"/>
        <v>99600.538576030463</v>
      </c>
      <c r="X17" s="357"/>
      <c r="Y17" s="357">
        <f t="shared" si="0"/>
        <v>103086.55742619152</v>
      </c>
      <c r="Z17" s="357"/>
      <c r="AA17" s="357">
        <f t="shared" si="0"/>
        <v>106694.58693610822</v>
      </c>
      <c r="AB17" s="357"/>
      <c r="AC17" s="357">
        <f t="shared" si="0"/>
        <v>110428.89747887199</v>
      </c>
      <c r="AD17" s="357"/>
      <c r="AE17" s="357">
        <f t="shared" si="0"/>
        <v>114293.90889063251</v>
      </c>
      <c r="AF17" s="357"/>
      <c r="AG17" s="357">
        <f t="shared" si="0"/>
        <v>118294.19570180464</v>
      </c>
    </row>
    <row r="18" spans="1:33" s="339" customFormat="1" ht="14">
      <c r="A18" s="339" t="s">
        <v>160</v>
      </c>
      <c r="C18" s="368"/>
      <c r="E18" s="357">
        <f>Application!W861</f>
        <v>11375</v>
      </c>
      <c r="F18" s="357"/>
      <c r="G18" s="357">
        <f t="shared" si="0"/>
        <v>11773.125</v>
      </c>
      <c r="H18" s="357"/>
      <c r="I18" s="357">
        <f t="shared" si="0"/>
        <v>12185.184374999999</v>
      </c>
      <c r="J18" s="357"/>
      <c r="K18" s="357">
        <f t="shared" si="0"/>
        <v>12611.665828124998</v>
      </c>
      <c r="L18" s="357"/>
      <c r="M18" s="357">
        <f t="shared" si="0"/>
        <v>13053.074132109372</v>
      </c>
      <c r="N18" s="357"/>
      <c r="O18" s="357">
        <f t="shared" si="0"/>
        <v>13509.931726733199</v>
      </c>
      <c r="P18" s="357"/>
      <c r="Q18" s="357">
        <f t="shared" si="0"/>
        <v>13982.77933716886</v>
      </c>
      <c r="R18" s="357"/>
      <c r="S18" s="357">
        <f t="shared" si="0"/>
        <v>14472.17661396977</v>
      </c>
      <c r="T18" s="357"/>
      <c r="U18" s="357">
        <f t="shared" si="0"/>
        <v>14978.70279545871</v>
      </c>
      <c r="V18" s="357"/>
      <c r="W18" s="357">
        <f t="shared" si="0"/>
        <v>15502.957393299765</v>
      </c>
      <c r="X18" s="357"/>
      <c r="Y18" s="357">
        <f t="shared" si="0"/>
        <v>16045.560902065256</v>
      </c>
      <c r="Z18" s="357"/>
      <c r="AA18" s="357">
        <f t="shared" si="0"/>
        <v>16607.155533637539</v>
      </c>
      <c r="AB18" s="357"/>
      <c r="AC18" s="357">
        <f t="shared" si="0"/>
        <v>17188.405977314851</v>
      </c>
      <c r="AD18" s="357"/>
      <c r="AE18" s="357">
        <f t="shared" si="0"/>
        <v>17790.000186520869</v>
      </c>
      <c r="AF18" s="357"/>
      <c r="AG18" s="357">
        <f t="shared" si="0"/>
        <v>18412.650193049099</v>
      </c>
    </row>
    <row r="19" spans="1:33" s="339" customFormat="1" ht="14">
      <c r="A19" s="339" t="s">
        <v>409</v>
      </c>
      <c r="C19" s="368"/>
      <c r="E19" s="357">
        <f>Application!W870</f>
        <v>74200</v>
      </c>
      <c r="F19" s="357"/>
      <c r="G19" s="357">
        <f t="shared" si="0"/>
        <v>76797</v>
      </c>
      <c r="H19" s="357"/>
      <c r="I19" s="357">
        <f t="shared" si="0"/>
        <v>79484.89499999999</v>
      </c>
      <c r="J19" s="357"/>
      <c r="K19" s="357">
        <f t="shared" si="0"/>
        <v>82266.866324999981</v>
      </c>
      <c r="L19" s="357"/>
      <c r="M19" s="357">
        <f t="shared" si="0"/>
        <v>85146.20664637498</v>
      </c>
      <c r="N19" s="357"/>
      <c r="O19" s="357">
        <f t="shared" si="0"/>
        <v>88126.323878998097</v>
      </c>
      <c r="P19" s="357"/>
      <c r="Q19" s="357">
        <f t="shared" si="0"/>
        <v>91210.745214763025</v>
      </c>
      <c r="R19" s="357"/>
      <c r="S19" s="357">
        <f t="shared" si="0"/>
        <v>94403.121297279722</v>
      </c>
      <c r="T19" s="357"/>
      <c r="U19" s="357">
        <f t="shared" si="0"/>
        <v>97707.230542684498</v>
      </c>
      <c r="V19" s="357"/>
      <c r="W19" s="357">
        <f t="shared" si="0"/>
        <v>101126.98361167844</v>
      </c>
      <c r="X19" s="357"/>
      <c r="Y19" s="357">
        <f t="shared" si="0"/>
        <v>104666.42803808718</v>
      </c>
      <c r="Z19" s="357"/>
      <c r="AA19" s="357">
        <f t="shared" si="0"/>
        <v>108329.75301942023</v>
      </c>
      <c r="AB19" s="357"/>
      <c r="AC19" s="357">
        <f t="shared" si="0"/>
        <v>112121.29437509993</v>
      </c>
      <c r="AD19" s="357"/>
      <c r="AE19" s="357">
        <f t="shared" si="0"/>
        <v>116045.53967822841</v>
      </c>
      <c r="AF19" s="357"/>
      <c r="AG19" s="357">
        <f t="shared" si="0"/>
        <v>120107.1335669664</v>
      </c>
    </row>
    <row r="20" spans="1:33" s="339" customFormat="1" ht="14">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322633</v>
      </c>
      <c r="G21" s="358">
        <f>SUM(G14:G20)</f>
        <v>333925.15499999997</v>
      </c>
      <c r="I21" s="358">
        <f>SUM(I14:I20)</f>
        <v>345612.53542499989</v>
      </c>
      <c r="K21" s="358">
        <f>SUM(K14:K20)</f>
        <v>357708.97416487487</v>
      </c>
      <c r="M21" s="358">
        <f>SUM(M14:M20)</f>
        <v>370228.78826064547</v>
      </c>
      <c r="O21" s="358">
        <f>SUM(O14:O20)</f>
        <v>383186.7958497681</v>
      </c>
      <c r="Q21" s="358">
        <f>SUM(Q14:Q20)</f>
        <v>396598.33370450989</v>
      </c>
      <c r="S21" s="358">
        <f>SUM(S14:S20)</f>
        <v>410479.27538416773</v>
      </c>
      <c r="U21" s="358">
        <f>SUM(U14:U20)</f>
        <v>424846.05002261361</v>
      </c>
      <c r="W21" s="358">
        <f>SUM(W14:W20)</f>
        <v>439715.66177340504</v>
      </c>
      <c r="Y21" s="358">
        <f>SUM(Y14:Y20)</f>
        <v>455105.70993547409</v>
      </c>
      <c r="AA21" s="358">
        <f>SUM(AA14:AA20)</f>
        <v>471034.40978321573</v>
      </c>
      <c r="AC21" s="358">
        <f>SUM(AC14:AC20)</f>
        <v>487520.6141256282</v>
      </c>
      <c r="AE21" s="358">
        <f>SUM(AE14:AE20)</f>
        <v>504583.83562002517</v>
      </c>
      <c r="AG21" s="358">
        <f>SUM(AG14:AG20)</f>
        <v>522244.26986672601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
      <c r="A27" s="339" t="s">
        <v>909</v>
      </c>
      <c r="C27" s="376"/>
      <c r="E27" s="357">
        <f>Application!AC887</f>
        <v>32500</v>
      </c>
      <c r="F27" s="357"/>
      <c r="G27" s="357">
        <f>$E$27</f>
        <v>32500</v>
      </c>
      <c r="H27" s="357"/>
      <c r="I27" s="357">
        <f>$E$27</f>
        <v>32500</v>
      </c>
      <c r="J27" s="357"/>
      <c r="K27" s="357">
        <f>$E$27</f>
        <v>32500</v>
      </c>
      <c r="L27" s="357"/>
      <c r="M27" s="357">
        <f>$E$27</f>
        <v>32500</v>
      </c>
      <c r="N27" s="357"/>
      <c r="O27" s="357">
        <f>$E$27</f>
        <v>32500</v>
      </c>
      <c r="P27" s="357"/>
      <c r="Q27" s="357">
        <f>$E$27</f>
        <v>32500</v>
      </c>
      <c r="R27" s="357"/>
      <c r="S27" s="357">
        <f>$E$27</f>
        <v>32500</v>
      </c>
      <c r="T27" s="357"/>
      <c r="U27" s="357">
        <f>$E$27</f>
        <v>32500</v>
      </c>
      <c r="V27" s="357"/>
      <c r="W27" s="357">
        <f>$E$27</f>
        <v>32500</v>
      </c>
      <c r="X27" s="357"/>
      <c r="Y27" s="357">
        <f>$E$27</f>
        <v>32500</v>
      </c>
      <c r="Z27" s="357"/>
      <c r="AA27" s="357">
        <f>$E$27</f>
        <v>32500</v>
      </c>
      <c r="AB27" s="357"/>
      <c r="AC27" s="357">
        <f>$E$27</f>
        <v>32500</v>
      </c>
      <c r="AD27" s="357"/>
      <c r="AE27" s="357">
        <f>$E$27</f>
        <v>32500</v>
      </c>
      <c r="AF27" s="357"/>
      <c r="AG27" s="357">
        <f>$E$27</f>
        <v>32500</v>
      </c>
    </row>
    <row r="28" spans="1:33" s="339" customFormat="1" ht="14">
      <c r="A28" s="339" t="s">
        <v>2157</v>
      </c>
      <c r="C28" s="374"/>
      <c r="E28" s="357">
        <f>Application!AC888</f>
        <v>5455</v>
      </c>
      <c r="F28" s="357"/>
      <c r="G28" s="357">
        <f>$E$28</f>
        <v>5455</v>
      </c>
      <c r="H28" s="357"/>
      <c r="I28" s="357">
        <f>$E$28</f>
        <v>5455</v>
      </c>
      <c r="J28" s="357"/>
      <c r="K28" s="357">
        <f>$E$28</f>
        <v>5455</v>
      </c>
      <c r="L28" s="357"/>
      <c r="M28" s="357">
        <f>$E$28</f>
        <v>5455</v>
      </c>
      <c r="N28" s="357"/>
      <c r="O28" s="357">
        <f>$E$28</f>
        <v>5455</v>
      </c>
      <c r="P28" s="357"/>
      <c r="Q28" s="357">
        <f>$E$28</f>
        <v>5455</v>
      </c>
      <c r="R28" s="357"/>
      <c r="S28" s="357">
        <f>$E$28</f>
        <v>5455</v>
      </c>
      <c r="T28" s="357"/>
      <c r="U28" s="357">
        <f>$E$28</f>
        <v>5455</v>
      </c>
      <c r="V28" s="357"/>
      <c r="W28" s="357">
        <f>$E$28</f>
        <v>5455</v>
      </c>
      <c r="X28" s="357"/>
      <c r="Y28" s="357">
        <f>$E$28</f>
        <v>5455</v>
      </c>
      <c r="Z28" s="357"/>
      <c r="AA28" s="357">
        <f>$E$28</f>
        <v>5455</v>
      </c>
      <c r="AB28" s="357"/>
      <c r="AC28" s="357">
        <f>$E$28</f>
        <v>5455</v>
      </c>
      <c r="AD28" s="357"/>
      <c r="AE28" s="357">
        <f>$E$28</f>
        <v>5455</v>
      </c>
      <c r="AF28" s="357"/>
      <c r="AG28" s="357">
        <f>$E$28</f>
        <v>5455</v>
      </c>
    </row>
    <row r="29" spans="1:33" s="339" customFormat="1" ht="14">
      <c r="A29" s="339" t="s">
        <v>907</v>
      </c>
      <c r="C29" s="374">
        <v>1.02</v>
      </c>
      <c r="E29" s="357">
        <f>Application!AC889</f>
        <v>9200</v>
      </c>
      <c r="F29" s="357"/>
      <c r="G29" s="357">
        <f>E29*$C$29</f>
        <v>9384</v>
      </c>
      <c r="H29" s="357"/>
      <c r="I29" s="357">
        <f>G29*$C$29</f>
        <v>9571.68</v>
      </c>
      <c r="J29" s="357"/>
      <c r="K29" s="357">
        <f>I29*$C$29</f>
        <v>9763.1136000000006</v>
      </c>
      <c r="L29" s="357"/>
      <c r="M29" s="357">
        <f>K29*$C$29</f>
        <v>9958.3758720000005</v>
      </c>
      <c r="N29" s="357"/>
      <c r="O29" s="357">
        <f>M29*$C$29</f>
        <v>10157.543389440001</v>
      </c>
      <c r="P29" s="357"/>
      <c r="Q29" s="357">
        <f>O29*$C$29</f>
        <v>10360.694257228801</v>
      </c>
      <c r="R29" s="357"/>
      <c r="S29" s="357">
        <f>Q29*$C$29</f>
        <v>10567.908142373377</v>
      </c>
      <c r="T29" s="357"/>
      <c r="U29" s="357">
        <f>S29*$C$29</f>
        <v>10779.266305220845</v>
      </c>
      <c r="V29" s="357"/>
      <c r="W29" s="357">
        <f>U29*$C$29</f>
        <v>10994.851631325262</v>
      </c>
      <c r="X29" s="357"/>
      <c r="Y29" s="357">
        <f>W29*$C$29</f>
        <v>11214.748663951768</v>
      </c>
      <c r="Z29" s="357"/>
      <c r="AA29" s="357">
        <f>Y29*$C$29</f>
        <v>11439.043637230803</v>
      </c>
      <c r="AB29" s="357"/>
      <c r="AC29" s="357">
        <f>AA29*$C$29</f>
        <v>11667.824509975419</v>
      </c>
      <c r="AD29" s="357"/>
      <c r="AE29" s="357">
        <f>AC29*$C$29</f>
        <v>11901.181000174927</v>
      </c>
      <c r="AF29" s="357"/>
      <c r="AG29" s="357">
        <f>AE29*$C$29</f>
        <v>12139.204620178425</v>
      </c>
    </row>
    <row r="30" spans="1:33" s="339" customFormat="1" ht="14">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800</v>
      </c>
      <c r="F31" s="357"/>
      <c r="G31" s="357">
        <f>E31*$C$31</f>
        <v>827.99999999999989</v>
      </c>
      <c r="H31" s="357"/>
      <c r="I31" s="357">
        <f>G31*$C$31</f>
        <v>856.97999999999979</v>
      </c>
      <c r="J31" s="357"/>
      <c r="K31" s="357">
        <f>I31*$C$31</f>
        <v>886.97429999999974</v>
      </c>
      <c r="L31" s="357"/>
      <c r="M31" s="357">
        <f>K31*$C$31</f>
        <v>918.01840049999964</v>
      </c>
      <c r="N31" s="357"/>
      <c r="O31" s="357">
        <f>M31*$C$31</f>
        <v>950.14904451749953</v>
      </c>
      <c r="P31" s="357"/>
      <c r="Q31" s="357">
        <f>O31*$C$31</f>
        <v>983.40426107561188</v>
      </c>
      <c r="R31" s="357"/>
      <c r="S31" s="357">
        <f>Q31*$C$31</f>
        <v>1017.8234102132582</v>
      </c>
      <c r="T31" s="357"/>
      <c r="U31" s="357">
        <f>S31*$C$31</f>
        <v>1053.4472295707221</v>
      </c>
      <c r="V31" s="357"/>
      <c r="W31" s="357">
        <f>U31*$C$31</f>
        <v>1090.3178826056974</v>
      </c>
      <c r="X31" s="357"/>
      <c r="Y31" s="357">
        <f>W31*$C$31</f>
        <v>1128.4790084968968</v>
      </c>
      <c r="Z31" s="357"/>
      <c r="AA31" s="357">
        <f>Y31*$C$31</f>
        <v>1167.975773794288</v>
      </c>
      <c r="AB31" s="357"/>
      <c r="AC31" s="357">
        <f>AA31*$C$31</f>
        <v>1208.8549258770879</v>
      </c>
      <c r="AD31" s="357"/>
      <c r="AE31" s="357">
        <f>AC31*$C$31</f>
        <v>1251.1648482827859</v>
      </c>
      <c r="AF31" s="357"/>
      <c r="AG31" s="357">
        <f>AE31*$C$31</f>
        <v>1294.9556179726833</v>
      </c>
    </row>
    <row r="32" spans="1:33" s="339" customFormat="1" ht="14">
      <c r="A32" s="361">
        <f>Application!E892</f>
        <v>0</v>
      </c>
      <c r="B32" s="361"/>
      <c r="C32" s="492">
        <v>1.0349999999999999</v>
      </c>
      <c r="E32" s="357">
        <f>Application!AC892</f>
        <v>12500</v>
      </c>
      <c r="F32" s="357"/>
      <c r="G32" s="357">
        <f>E32*$C$32</f>
        <v>12937.499999999998</v>
      </c>
      <c r="H32" s="357"/>
      <c r="I32" s="357">
        <f>G32*$C$32</f>
        <v>13390.312499999996</v>
      </c>
      <c r="J32" s="357"/>
      <c r="K32" s="357">
        <f>I32*$C$32</f>
        <v>13858.973437499995</v>
      </c>
      <c r="L32" s="357"/>
      <c r="M32" s="357">
        <f>K32*$C$32</f>
        <v>14344.037507812494</v>
      </c>
      <c r="N32" s="357"/>
      <c r="O32" s="357">
        <f>M32*$C$32</f>
        <v>14846.07882058593</v>
      </c>
      <c r="P32" s="357"/>
      <c r="Q32" s="357">
        <f>O32*$C$32</f>
        <v>15365.691579306436</v>
      </c>
      <c r="R32" s="357"/>
      <c r="S32" s="357">
        <f>Q32*$C$32</f>
        <v>15903.49078458216</v>
      </c>
      <c r="T32" s="357"/>
      <c r="U32" s="357">
        <f>S32*$C$32</f>
        <v>16460.112962042534</v>
      </c>
      <c r="V32" s="357"/>
      <c r="W32" s="357">
        <f>U32*$C$32</f>
        <v>17036.216915714023</v>
      </c>
      <c r="X32" s="357"/>
      <c r="Y32" s="357">
        <f>W32*$C$32</f>
        <v>17632.484507764013</v>
      </c>
      <c r="Z32" s="357"/>
      <c r="AA32" s="357">
        <f>Y32*$C$32</f>
        <v>18249.621465535751</v>
      </c>
      <c r="AB32" s="357"/>
      <c r="AC32" s="357">
        <f>AA32*$C$32</f>
        <v>18888.3582168295</v>
      </c>
      <c r="AD32" s="357"/>
      <c r="AE32" s="357">
        <f>AC32*$C$32</f>
        <v>19549.450754418529</v>
      </c>
      <c r="AF32" s="357"/>
      <c r="AG32" s="357">
        <f>AE32*$C$32</f>
        <v>20233.681530823174</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403088</v>
      </c>
      <c r="G34" s="358">
        <f>SUM(G21:G32)</f>
        <v>415729.65499999997</v>
      </c>
      <c r="I34" s="358">
        <f>SUM(I21:I32)</f>
        <v>428811.00792499987</v>
      </c>
      <c r="K34" s="358">
        <f>SUM(K21:K32)</f>
        <v>442347.39300237485</v>
      </c>
      <c r="M34" s="358">
        <f>SUM(M21:M32)</f>
        <v>456354.68005345797</v>
      </c>
      <c r="O34" s="358">
        <f>SUM(O21:O32)</f>
        <v>470849.29321724898</v>
      </c>
      <c r="Q34" s="358">
        <f>SUM(Q21:Q32)</f>
        <v>485848.23032901104</v>
      </c>
      <c r="S34" s="358">
        <f>SUM(S21:S32)</f>
        <v>501369.08297666803</v>
      </c>
      <c r="U34" s="358">
        <f>SUM(U21:U32)</f>
        <v>517430.05725871574</v>
      </c>
      <c r="W34" s="358">
        <f>SUM(W21:W32)</f>
        <v>534049.99526819249</v>
      </c>
      <c r="Y34" s="358">
        <f>SUM(Y21:Y32)</f>
        <v>551248.39732810913</v>
      </c>
      <c r="AA34" s="358">
        <f>SUM(AA21:AA32)</f>
        <v>569045.44500463374</v>
      </c>
      <c r="AC34" s="358">
        <f>SUM(AC21:AC32)</f>
        <v>587462.02492523741</v>
      </c>
      <c r="AE34" s="358">
        <f>SUM(AE21:AE32)</f>
        <v>606519.75342997105</v>
      </c>
      <c r="AG34" s="358">
        <f>SUM(AG21:AG32)</f>
        <v>626241.00208501727</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554223.00800021226</v>
      </c>
      <c r="G36" s="358">
        <f>G10-G34</f>
        <v>565514.12820021738</v>
      </c>
      <c r="I36" s="358">
        <f>I10-I34</f>
        <v>576963.86985522299</v>
      </c>
      <c r="K36" s="358">
        <f>K10-K34</f>
        <v>588571.85672235349</v>
      </c>
      <c r="M36" s="358">
        <f>M10-M34</f>
        <v>600337.55091438827</v>
      </c>
      <c r="O36" s="358">
        <f>O10-O34</f>
        <v>612260.24352479354</v>
      </c>
      <c r="Q36" s="358">
        <f>Q10-Q34</f>
        <v>624339.04483158258</v>
      </c>
      <c r="S36" s="358">
        <f>S10-S34</f>
        <v>636572.8740629399</v>
      </c>
      <c r="U36" s="358">
        <f>U10-U34</f>
        <v>648960.44870688266</v>
      </c>
      <c r="W36" s="358">
        <f>W10-W34</f>
        <v>661500.27334654576</v>
      </c>
      <c r="Y36" s="358">
        <f>Y10-Y34</f>
        <v>674190.62800199713</v>
      </c>
      <c r="AA36" s="358">
        <f>AA10-AA34</f>
        <v>687029.5559587254</v>
      </c>
      <c r="AC36" s="358">
        <f>AC10-AC34</f>
        <v>700014.8510622055</v>
      </c>
      <c r="AE36" s="358">
        <f>AE10-AE34</f>
        <v>713144.04445715772</v>
      </c>
      <c r="AG36" s="358">
        <f>AG10-AG34</f>
        <v>726414.39074928942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BofA Tax-Exempt Perm Loan</v>
      </c>
      <c r="B39" s="361"/>
      <c r="C39" s="355"/>
      <c r="E39" s="357">
        <f>Application!AF637</f>
        <v>481933</v>
      </c>
      <c r="F39" s="357"/>
      <c r="G39" s="357">
        <f>$E$39</f>
        <v>481933</v>
      </c>
      <c r="H39" s="357"/>
      <c r="I39" s="357">
        <f>$E$39</f>
        <v>481933</v>
      </c>
      <c r="J39" s="357"/>
      <c r="K39" s="357">
        <f>$E$39</f>
        <v>481933</v>
      </c>
      <c r="L39" s="357"/>
      <c r="M39" s="357">
        <f>$E$39</f>
        <v>481933</v>
      </c>
      <c r="N39" s="357"/>
      <c r="O39" s="357">
        <f>$E$39</f>
        <v>481933</v>
      </c>
      <c r="P39" s="357"/>
      <c r="Q39" s="357">
        <f>$E$39</f>
        <v>481933</v>
      </c>
      <c r="R39" s="357"/>
      <c r="S39" s="357">
        <f>$E$39</f>
        <v>481933</v>
      </c>
      <c r="T39" s="357"/>
      <c r="U39" s="357">
        <f>$E$39</f>
        <v>481933</v>
      </c>
      <c r="V39" s="357"/>
      <c r="W39" s="357">
        <f>$E$39</f>
        <v>481933</v>
      </c>
      <c r="X39" s="357"/>
      <c r="Y39" s="357">
        <f>$E$39</f>
        <v>481933</v>
      </c>
      <c r="Z39" s="357"/>
      <c r="AA39" s="357">
        <f>$E$39</f>
        <v>481933</v>
      </c>
      <c r="AB39" s="357"/>
      <c r="AC39" s="357">
        <f>$E$39</f>
        <v>481933</v>
      </c>
      <c r="AD39" s="357"/>
      <c r="AE39" s="357">
        <f>$E$39</f>
        <v>481933</v>
      </c>
      <c r="AF39" s="357"/>
      <c r="AG39" s="357">
        <f>$E$39</f>
        <v>481933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481933</v>
      </c>
      <c r="G42" s="358">
        <f>SUM(G39:G41)</f>
        <v>481933</v>
      </c>
      <c r="I42" s="358">
        <f>SUM(I39:I41)</f>
        <v>481933</v>
      </c>
      <c r="K42" s="358">
        <f>SUM(K39:K41)</f>
        <v>481933</v>
      </c>
      <c r="M42" s="358">
        <f>SUM(M39:M41)</f>
        <v>481933</v>
      </c>
      <c r="O42" s="358">
        <f>SUM(O39:O41)</f>
        <v>481933</v>
      </c>
      <c r="Q42" s="358">
        <f>SUM(Q39:Q41)</f>
        <v>481933</v>
      </c>
      <c r="S42" s="358">
        <f>SUM(S39:S41)</f>
        <v>481933</v>
      </c>
      <c r="U42" s="358">
        <f>SUM(U39:U41)</f>
        <v>481933</v>
      </c>
      <c r="W42" s="358">
        <f>SUM(W39:W41)</f>
        <v>481933</v>
      </c>
      <c r="Y42" s="358">
        <f>SUM(Y39:Y41)</f>
        <v>481933</v>
      </c>
      <c r="AA42" s="358">
        <f>SUM(AA39:AA41)</f>
        <v>481933</v>
      </c>
      <c r="AC42" s="358">
        <f>SUM(AC39:AC41)</f>
        <v>481933</v>
      </c>
      <c r="AE42" s="358">
        <f>SUM(AE39:AE41)</f>
        <v>481933</v>
      </c>
      <c r="AG42" s="358">
        <f>SUM(AG39:AG41)</f>
        <v>481933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72290.008000212256</v>
      </c>
      <c r="G44" s="358">
        <f>G36-G42</f>
        <v>83581.128200217383</v>
      </c>
      <c r="I44" s="358">
        <f>I36-I42</f>
        <v>95030.869855222991</v>
      </c>
      <c r="K44" s="358">
        <f>K36-K42</f>
        <v>106638.85672235349</v>
      </c>
      <c r="M44" s="358">
        <f>M36-M42</f>
        <v>118404.55091438827</v>
      </c>
      <c r="O44" s="358">
        <f>O36-O42</f>
        <v>130327.24352479354</v>
      </c>
      <c r="Q44" s="358">
        <f>Q36-Q42</f>
        <v>142406.04483158258</v>
      </c>
      <c r="S44" s="358">
        <f>S36-S42</f>
        <v>154639.8740629399</v>
      </c>
      <c r="U44" s="358">
        <f>U36-U42</f>
        <v>167027.44870688266</v>
      </c>
      <c r="W44" s="358">
        <f>W36-W42</f>
        <v>179567.27334654576</v>
      </c>
      <c r="Y44" s="358">
        <f>Y36-Y42</f>
        <v>192257.62800199713</v>
      </c>
      <c r="AA44" s="358">
        <f>AA36-AA42</f>
        <v>205096.5559587254</v>
      </c>
      <c r="AC44" s="358">
        <f>AC36-AC42</f>
        <v>218081.8510622055</v>
      </c>
      <c r="AE44" s="358">
        <f>AE36-AE42</f>
        <v>231211.04445715772</v>
      </c>
      <c r="AG44" s="358">
        <f>AG36-AG42</f>
        <v>244481.39074928942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7.1629583242714429E-2</v>
      </c>
      <c r="G46" s="362">
        <f>G44/(G4+G6+G8)</f>
        <v>8.0797610132352773E-2</v>
      </c>
      <c r="I46" s="362">
        <f>I44/(I4+I6+I8)</f>
        <v>8.9625403787994842E-2</v>
      </c>
      <c r="K46" s="362">
        <f>K44/(K4+K6+K8)</f>
        <v>9.8120112099971221E-2</v>
      </c>
      <c r="M46" s="362">
        <f>M44/(M4+M6+M8)</f>
        <v>0.10628869745755681</v>
      </c>
      <c r="O46" s="362">
        <f>O44/(O4+O6+O8)</f>
        <v>0.11413794116418466</v>
      </c>
      <c r="Q46" s="362">
        <f>Q44/(Q4+Q6+Q8)</f>
        <v>0.12167444774390596</v>
      </c>
      <c r="S46" s="362">
        <f>S44/(S4+S6+S8)</f>
        <v>0.12890464914174263</v>
      </c>
      <c r="U46" s="362">
        <f>U44/(U4+U6+U8)</f>
        <v>0.13583480882050847</v>
      </c>
      <c r="W46" s="362">
        <f>W44/(W4+W6+W8)</f>
        <v>0.14247102575660658</v>
      </c>
      <c r="Y46" s="362">
        <f>Y44/(Y4+Y6+Y8)</f>
        <v>0.14881923833726995</v>
      </c>
      <c r="AA46" s="362">
        <f>AA44/(AA4+AA6+AA8)</f>
        <v>0.15488522816162539</v>
      </c>
      <c r="AC46" s="362">
        <f>AC44/(AC4+AC6+AC8)</f>
        <v>0.16067462374792157</v>
      </c>
      <c r="AE46" s="362">
        <f>AE44/(AE4+AE6+AE8)</f>
        <v>0.16619290414920013</v>
      </c>
      <c r="AG46" s="362">
        <f>AG44/(AG4+AG6+AG8)</f>
        <v>0.17144540247962767</v>
      </c>
    </row>
    <row r="47" spans="1:33" s="362" customFormat="1" ht="14">
      <c r="A47" s="362" t="s">
        <v>915</v>
      </c>
      <c r="C47" s="355"/>
      <c r="E47" s="362">
        <f>E44/E42</f>
        <v>0.15000012034911961</v>
      </c>
      <c r="G47" s="362">
        <f>G44/G42</f>
        <v>0.17342893763286055</v>
      </c>
      <c r="I47" s="362">
        <f>I44/I42</f>
        <v>0.19718689082346091</v>
      </c>
      <c r="K47" s="362">
        <f>K44/K42</f>
        <v>0.22127319922552199</v>
      </c>
      <c r="M47" s="362">
        <f>M44/M42</f>
        <v>0.24568674673531024</v>
      </c>
      <c r="O47" s="362">
        <f>O44/O42</f>
        <v>0.27042606238791189</v>
      </c>
      <c r="Q47" s="362">
        <f>Q44/Q42</f>
        <v>0.29548930003046603</v>
      </c>
      <c r="S47" s="362">
        <f>S44/S42</f>
        <v>0.32087421708606778</v>
      </c>
      <c r="U47" s="362">
        <f>U44/U42</f>
        <v>0.34657815237155926</v>
      </c>
      <c r="W47" s="362">
        <f>W44/W42</f>
        <v>0.37259800293100026</v>
      </c>
      <c r="Y47" s="362">
        <f>Y44/Y42</f>
        <v>0.39893019984520073</v>
      </c>
      <c r="AA47" s="362">
        <f>AA44/AA42</f>
        <v>0.42557068297610956</v>
      </c>
      <c r="AC47" s="362">
        <f>AC44/AC42</f>
        <v>0.45251487460332762</v>
      </c>
      <c r="AE47" s="362">
        <f>AE44/AE42</f>
        <v>0.47975765190837261</v>
      </c>
      <c r="AG47" s="362">
        <f>AG44/AG42</f>
        <v>0.50729331826060764</v>
      </c>
    </row>
    <row r="48" spans="1:33" s="363" customFormat="1" ht="14">
      <c r="A48" s="363" t="s">
        <v>913</v>
      </c>
      <c r="C48" s="364"/>
      <c r="E48" s="363">
        <f>E36/E42</f>
        <v>1.1500001203491197</v>
      </c>
      <c r="G48" s="363">
        <f>G36/G42</f>
        <v>1.1734289376328606</v>
      </c>
      <c r="I48" s="363">
        <f>I36/I42</f>
        <v>1.1971868908234609</v>
      </c>
      <c r="K48" s="363">
        <f>K36/K42</f>
        <v>1.2212731992255219</v>
      </c>
      <c r="M48" s="363">
        <f>M36/M42</f>
        <v>1.2456867467353103</v>
      </c>
      <c r="O48" s="363">
        <f>O36/O42</f>
        <v>1.2704260623879118</v>
      </c>
      <c r="Q48" s="363">
        <f>Q36/Q42</f>
        <v>1.2954893000304659</v>
      </c>
      <c r="S48" s="363">
        <f>S36/S42</f>
        <v>1.3208742170860677</v>
      </c>
      <c r="U48" s="363">
        <f>U36/U42</f>
        <v>1.3465781523715592</v>
      </c>
      <c r="W48" s="363">
        <f>W36/W42</f>
        <v>1.3725980029310003</v>
      </c>
      <c r="Y48" s="363">
        <f>Y36/Y42</f>
        <v>1.3989301998452008</v>
      </c>
      <c r="AA48" s="363">
        <f>AA36/AA42</f>
        <v>1.4255706829761094</v>
      </c>
      <c r="AC48" s="363">
        <f>AC36/AC42</f>
        <v>1.4525148746033276</v>
      </c>
      <c r="AE48" s="363">
        <f>AE36/AE42</f>
        <v>1.4797576519083726</v>
      </c>
      <c r="AG48" s="363">
        <f>AG36/AG42</f>
        <v>1.5072933182606076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1" t="s">
        <v>1383</v>
      </c>
      <c r="B51" s="3371"/>
      <c r="C51" s="3371"/>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v>0</v>
      </c>
      <c r="G59" s="1676">
        <v>0</v>
      </c>
      <c r="I59" s="1676">
        <v>0</v>
      </c>
      <c r="K59" s="1676">
        <v>0</v>
      </c>
      <c r="M59" s="1676">
        <v>0</v>
      </c>
      <c r="O59" s="1676">
        <v>0</v>
      </c>
      <c r="Q59" s="1676">
        <v>0</v>
      </c>
      <c r="S59" s="1676">
        <v>0</v>
      </c>
      <c r="U59" s="1676">
        <v>0</v>
      </c>
      <c r="W59" s="1676">
        <v>0</v>
      </c>
      <c r="Y59" s="1676">
        <v>0</v>
      </c>
      <c r="AA59" s="1676">
        <v>0</v>
      </c>
      <c r="AC59" s="1676">
        <v>0</v>
      </c>
      <c r="AE59" s="1676">
        <v>0</v>
      </c>
      <c r="AG59" s="1676">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1" t="s">
        <v>1383</v>
      </c>
      <c r="B62" s="3371"/>
      <c r="C62" s="3371"/>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2220</v>
      </c>
      <c r="C74" s="352"/>
    </row>
    <row r="75" spans="1:33" s="351" customFormat="1">
      <c r="C75" s="352"/>
    </row>
    <row r="76" spans="1:33" s="370" customFormat="1" ht="30" customHeight="1">
      <c r="A76" s="3369" t="s">
        <v>2219</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2" t="s">
        <v>979</v>
      </c>
      <c r="B1" s="3372"/>
      <c r="C1" s="3372"/>
      <c r="D1" s="3372"/>
      <c r="E1" s="3372"/>
      <c r="F1" s="3372"/>
      <c r="G1" s="3372"/>
      <c r="H1" s="3372"/>
      <c r="I1" s="3372"/>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7</v>
      </c>
      <c r="C4" s="658">
        <f>Application!O728</f>
        <v>212</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2</v>
      </c>
      <c r="C5" s="658">
        <f>Application!O729</f>
        <v>805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5</v>
      </c>
      <c r="C6" s="658">
        <f>Application!O730</f>
        <v>1187</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v>
      </c>
      <c r="C7" s="658">
        <f>Application!O731</f>
        <v>1410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40</v>
      </c>
      <c r="C8" s="658">
        <f>Application!O732</f>
        <v>1439</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8</v>
      </c>
      <c r="C9" s="658">
        <f>Application!O733</f>
        <v>1713</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83113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8" t="s">
        <v>1136</v>
      </c>
    </row>
    <row r="9" spans="1:1" ht="15.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97"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2760000</v>
      </c>
      <c r="C5" s="421">
        <f>'Sources and Uses Budget'!$C4</f>
        <v>2760000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2785000</v>
      </c>
      <c r="C9" s="425">
        <f>SUM(C5:C8)</f>
        <v>2785000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2785000</v>
      </c>
      <c r="C13" s="425">
        <f>SUM(C9+C12)</f>
        <v>2785000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1632000</v>
      </c>
      <c r="C30" s="421">
        <f>'Sources and Uses Budget'!$C29</f>
        <v>1632000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10146195</v>
      </c>
      <c r="C31" s="421">
        <f>'Sources and Uses Budget'!$C30</f>
        <v>10146195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176673</v>
      </c>
      <c r="C32" s="421">
        <f>'Sources and Uses Budget'!$C31</f>
        <v>176673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530019</v>
      </c>
      <c r="C33" s="421">
        <f>'Sources and Uses Budget'!$C32</f>
        <v>530019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942256</v>
      </c>
      <c r="C34" s="421">
        <f>'Sources and Uses Budget'!$C33</f>
        <v>942256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13427143</v>
      </c>
      <c r="C39" s="425">
        <f>SUM(C30:C38)</f>
        <v>13427143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630000</v>
      </c>
      <c r="C41" s="421">
        <f>'Sources and Uses Budget'!$C40</f>
        <v>630000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70000</v>
      </c>
      <c r="C42" s="421">
        <f>'Sources and Uses Budget'!$C41</f>
        <v>70000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700000</v>
      </c>
      <c r="C43" s="425">
        <f>SUM(C41:C42)</f>
        <v>700000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320000</v>
      </c>
      <c r="C44" s="421">
        <f>'Sources and Uses Budget'!$C43</f>
        <v>320000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823205</v>
      </c>
      <c r="C46" s="421">
        <f>'Sources and Uses Budget'!$C45</f>
        <v>823205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171501</v>
      </c>
      <c r="C47" s="421">
        <f>'Sources and Uses Budget'!$C46</f>
        <v>171501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119405</v>
      </c>
      <c r="C50" s="421">
        <f>'Sources and Uses Budget'!$C49</f>
        <v>119405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20000</v>
      </c>
      <c r="C51" s="421">
        <f>'Sources and Uses Budget'!$C50</f>
        <v>20000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225000</v>
      </c>
      <c r="C53" s="421">
        <f>'Sources and Uses Budget'!$C52</f>
        <v>225000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Inspection Fees</v>
      </c>
      <c r="B54" s="421">
        <f>'Sources and Uses Budget'!$C53</f>
        <v>18000</v>
      </c>
      <c r="C54" s="421">
        <f>'Sources and Uses Budget'!$C53</f>
        <v>18000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1427111</v>
      </c>
      <c r="C55" s="428">
        <f>SUM(C46:C54)</f>
        <v>1427111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97209</v>
      </c>
      <c r="C57" s="421">
        <f>'Sources and Uses Budget'!$C56</f>
        <v>97209</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Permanent Lender Fees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127209</v>
      </c>
      <c r="C63" s="425">
        <f>SUM(C57:C62)</f>
        <v>127209</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18786463</v>
      </c>
      <c r="C64" s="425">
        <f>SUM(C9+C12+C14+C15+C17+C26+C28+C39+C43+C44+C55+C63)</f>
        <v>18786463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Borrower's Legal Fees</v>
      </c>
      <c r="B70" s="421">
        <f>'Sources and Uses Budget'!$C69</f>
        <v>48000</v>
      </c>
      <c r="C70" s="421">
        <f>'Sources and Uses Budget'!$C69</f>
        <v>48000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148000</v>
      </c>
      <c r="C71" s="425">
        <f>SUM(C66:C70)</f>
        <v>148000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223400</v>
      </c>
      <c r="C76" s="421">
        <f>'Sources and Uses Budget'!$C75</f>
        <v>223400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223400</v>
      </c>
      <c r="C78" s="425">
        <f>SUM(C73:C77)</f>
        <v>223400</v>
      </c>
      <c r="D78" s="425">
        <f t="shared" ref="D78:D106" si="1">C78-B78</f>
        <v>0</v>
      </c>
      <c r="E78" s="423"/>
      <c r="F78" s="422"/>
      <c r="G78" s="553"/>
    </row>
    <row r="79" spans="1:253" s="547" customFormat="1" ht="13">
      <c r="A79" s="419" t="s">
        <v>1419</v>
      </c>
      <c r="B79" s="419"/>
      <c r="C79" s="419"/>
      <c r="D79" s="419"/>
      <c r="E79" s="439"/>
      <c r="F79" s="419"/>
      <c r="G79" s="553"/>
    </row>
    <row r="80" spans="1:253" s="547" customFormat="1">
      <c r="A80" s="861" t="s">
        <v>1421</v>
      </c>
      <c r="B80" s="421">
        <f>'Sources and Uses Budget'!$C79</f>
        <v>671357</v>
      </c>
      <c r="C80" s="421">
        <f>'Sources and Uses Budget'!$C79</f>
        <v>671357</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ht="13">
      <c r="A82" s="426" t="s">
        <v>1418</v>
      </c>
      <c r="B82" s="425">
        <f>SUM(B80:B81)</f>
        <v>971357</v>
      </c>
      <c r="C82" s="425">
        <f>SUM(C80:C81)</f>
        <v>971357</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39757</v>
      </c>
      <c r="C84" s="421">
        <f>'Sources and Uses Budget'!$C83</f>
        <v>39757</v>
      </c>
      <c r="D84" s="425">
        <f t="shared" si="1"/>
        <v>0</v>
      </c>
      <c r="E84" s="423"/>
      <c r="F84" s="422"/>
      <c r="G84" s="553"/>
    </row>
    <row r="85" spans="1:7" s="547" customFormat="1">
      <c r="A85" s="424" t="s">
        <v>825</v>
      </c>
      <c r="B85" s="421">
        <f>'Sources and Uses Budget'!$C84</f>
        <v>15000</v>
      </c>
      <c r="C85" s="421">
        <f>'Sources and Uses Budget'!$C84</f>
        <v>15000</v>
      </c>
      <c r="D85" s="425">
        <f t="shared" si="1"/>
        <v>0</v>
      </c>
      <c r="E85" s="423"/>
      <c r="F85" s="422"/>
      <c r="G85" s="553"/>
    </row>
    <row r="86" spans="1:7" s="547" customFormat="1">
      <c r="A86" s="424" t="s">
        <v>826</v>
      </c>
      <c r="B86" s="421">
        <f>'Sources and Uses Budget'!$C85</f>
        <v>2300000</v>
      </c>
      <c r="C86" s="421">
        <f>'Sources and Uses Budget'!$C85</f>
        <v>2300000</v>
      </c>
      <c r="D86" s="425">
        <f t="shared" si="1"/>
        <v>0</v>
      </c>
      <c r="E86" s="423"/>
      <c r="F86" s="422"/>
      <c r="G86" s="553"/>
    </row>
    <row r="87" spans="1:7" s="547" customFormat="1">
      <c r="A87" s="424" t="s">
        <v>827</v>
      </c>
      <c r="B87" s="421">
        <f>'Sources and Uses Budget'!$C86</f>
        <v>250000</v>
      </c>
      <c r="C87" s="421">
        <f>'Sources and Uses Budget'!$C86</f>
        <v>250000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72000</v>
      </c>
      <c r="C89" s="421">
        <f>'Sources and Uses Budget'!$C88</f>
        <v>72000</v>
      </c>
      <c r="D89" s="425">
        <f t="shared" si="1"/>
        <v>0</v>
      </c>
      <c r="E89" s="423"/>
      <c r="F89" s="422"/>
      <c r="G89" s="553"/>
    </row>
    <row r="90" spans="1:7" s="547" customFormat="1">
      <c r="A90" s="424" t="s">
        <v>830</v>
      </c>
      <c r="B90" s="421">
        <f>'Sources and Uses Budget'!$C89</f>
        <v>65000</v>
      </c>
      <c r="C90" s="421">
        <f>'Sources and Uses Budget'!$C89</f>
        <v>65000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27120</v>
      </c>
      <c r="C92" s="421">
        <f>'Sources and Uses Budget'!$C91</f>
        <v>27120</v>
      </c>
      <c r="D92" s="425">
        <f t="shared" si="1"/>
        <v>0</v>
      </c>
      <c r="E92" s="423"/>
      <c r="F92" s="422"/>
      <c r="G92" s="553"/>
    </row>
    <row r="93" spans="1:7" s="547" customFormat="1">
      <c r="A93" s="860" t="s">
        <v>1420</v>
      </c>
      <c r="B93" s="421">
        <f>'Sources and Uses Budget'!$C92</f>
        <v>15000</v>
      </c>
      <c r="C93" s="421">
        <f>'Sources and Uses Budget'!$C92</f>
        <v>15000</v>
      </c>
      <c r="D93" s="425">
        <f t="shared" si="1"/>
        <v>0</v>
      </c>
      <c r="E93" s="423"/>
      <c r="F93" s="422"/>
      <c r="G93" s="553"/>
    </row>
    <row r="94" spans="1:7" s="547" customFormat="1">
      <c r="A94" s="427" t="s">
        <v>35</v>
      </c>
      <c r="B94" s="421">
        <f>'Sources and Uses Budget'!$C93</f>
        <v>14375</v>
      </c>
      <c r="C94" s="421">
        <f>'Sources and Uses Budget'!$C93</f>
        <v>14375</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2808252</v>
      </c>
      <c r="C97" s="425">
        <f>SUM(C84:C96)</f>
        <v>2808252</v>
      </c>
      <c r="D97" s="425">
        <f t="shared" si="1"/>
        <v>0</v>
      </c>
      <c r="E97" s="423"/>
      <c r="F97" s="422"/>
      <c r="G97" s="553"/>
    </row>
    <row r="98" spans="1:7" s="547" customFormat="1" ht="13">
      <c r="A98" s="426" t="s">
        <v>833</v>
      </c>
      <c r="B98" s="425">
        <f>SUM(B64+B71+B78+B82+B97)</f>
        <v>22937472</v>
      </c>
      <c r="C98" s="425">
        <f>SUM(C64+C71+C78+C82+C97)</f>
        <v>22937472</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2888858</v>
      </c>
      <c r="C100" s="421">
        <f>'Sources and Uses Budget'!$C99</f>
        <v>2888858</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2888858</v>
      </c>
      <c r="C105" s="425">
        <f>SUM(C100:C104)</f>
        <v>2888858</v>
      </c>
      <c r="D105" s="425">
        <f t="shared" si="1"/>
        <v>0</v>
      </c>
      <c r="E105" s="423"/>
      <c r="F105" s="422"/>
      <c r="G105" s="551"/>
    </row>
    <row r="106" spans="1:7" s="546" customFormat="1" ht="13">
      <c r="A106" s="426" t="s">
        <v>838</v>
      </c>
      <c r="B106" s="428">
        <f>SUM(B98+B105)</f>
        <v>25826330</v>
      </c>
      <c r="C106" s="428">
        <f>SUM(C98+C105)</f>
        <v>25826330</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3C10-92B2-4A2F-B4A0-8EE888804282}">
  <dimension ref="A1:Q30"/>
  <sheetViews>
    <sheetView workbookViewId="0">
      <selection activeCell="A18" sqref="A18"/>
    </sheetView>
  </sheetViews>
  <sheetFormatPr defaultRowHeight="12.5"/>
  <cols>
    <col min="1" max="1" width="25" bestFit="1" customWidth="1"/>
    <col min="2" max="2" width="11.453125" bestFit="1" customWidth="1"/>
    <col min="3" max="3" width="20.26953125" bestFit="1" customWidth="1"/>
    <col min="4" max="4" width="12" bestFit="1" customWidth="1"/>
    <col min="5" max="5" width="56.26953125" bestFit="1" customWidth="1"/>
    <col min="6" max="6" width="21.1796875" bestFit="1" customWidth="1"/>
    <col min="7" max="7" width="16.453125" bestFit="1" customWidth="1"/>
    <col min="8" max="8" width="14.1796875" bestFit="1" customWidth="1"/>
    <col min="9" max="9" width="11.26953125" bestFit="1" customWidth="1"/>
    <col min="10" max="10" width="14.26953125" bestFit="1" customWidth="1"/>
    <col min="11" max="11" width="10.54296875" bestFit="1" customWidth="1"/>
    <col min="12" max="12" width="9.26953125" bestFit="1" customWidth="1"/>
    <col min="13" max="13" width="9.453125" bestFit="1" customWidth="1"/>
    <col min="14" max="14" width="9.26953125" bestFit="1" customWidth="1"/>
    <col min="15" max="15" width="9.7265625" bestFit="1" customWidth="1"/>
    <col min="16" max="16" width="9.54296875" bestFit="1" customWidth="1"/>
    <col min="17" max="17" width="10.81640625" bestFit="1" customWidth="1"/>
  </cols>
  <sheetData>
    <row r="1" spans="1:17" ht="14.5">
      <c r="A1" s="1858"/>
      <c r="B1" s="1858"/>
      <c r="C1" s="1858"/>
      <c r="D1" s="1858"/>
      <c r="E1" s="1858"/>
      <c r="F1" s="1858"/>
      <c r="G1" s="1858"/>
      <c r="H1" s="1858"/>
      <c r="I1" s="1859" t="s">
        <v>2623</v>
      </c>
      <c r="J1" s="1858"/>
      <c r="K1" s="1858"/>
      <c r="L1" s="1858"/>
      <c r="M1" s="1858"/>
      <c r="N1" s="1858"/>
      <c r="O1" s="1859" t="s">
        <v>1880</v>
      </c>
      <c r="P1" s="1860" t="s">
        <v>2624</v>
      </c>
      <c r="Q1" s="1859" t="s">
        <v>2625</v>
      </c>
    </row>
    <row r="2" spans="1:17" ht="14.5">
      <c r="A2" s="1858"/>
      <c r="B2" s="1859" t="s">
        <v>2626</v>
      </c>
      <c r="C2" s="1859"/>
      <c r="D2" s="1858"/>
      <c r="E2" s="1859"/>
      <c r="F2" s="1859"/>
      <c r="G2" s="1859" t="s">
        <v>2627</v>
      </c>
      <c r="H2" s="1858"/>
      <c r="I2" s="1859" t="s">
        <v>2628</v>
      </c>
      <c r="J2" s="1858"/>
      <c r="K2" s="1860" t="s">
        <v>2629</v>
      </c>
      <c r="L2" s="1859" t="s">
        <v>2630</v>
      </c>
      <c r="M2" s="1860" t="s">
        <v>2631</v>
      </c>
      <c r="N2" s="1859" t="s">
        <v>2632</v>
      </c>
      <c r="O2" s="1859" t="s">
        <v>2633</v>
      </c>
      <c r="P2" s="1859" t="s">
        <v>2634</v>
      </c>
      <c r="Q2" s="1859" t="s">
        <v>2635</v>
      </c>
    </row>
    <row r="3" spans="1:17" ht="14.5">
      <c r="A3" s="1858"/>
      <c r="B3" s="346" t="s">
        <v>2636</v>
      </c>
      <c r="C3" s="1859"/>
      <c r="D3" s="1859" t="s">
        <v>2637</v>
      </c>
      <c r="E3" s="1859"/>
      <c r="F3" s="1859"/>
      <c r="G3" s="1859" t="s">
        <v>2624</v>
      </c>
      <c r="H3" s="1859" t="s">
        <v>2638</v>
      </c>
      <c r="I3" s="1859" t="s">
        <v>2639</v>
      </c>
      <c r="J3" s="1859" t="s">
        <v>2624</v>
      </c>
      <c r="K3" s="1859" t="s">
        <v>2640</v>
      </c>
      <c r="L3" s="1859" t="s">
        <v>2641</v>
      </c>
      <c r="M3" s="1859" t="s">
        <v>2642</v>
      </c>
      <c r="N3" s="1859" t="s">
        <v>2643</v>
      </c>
      <c r="O3" s="1859" t="s">
        <v>2632</v>
      </c>
      <c r="P3" s="1859" t="s">
        <v>2644</v>
      </c>
      <c r="Q3" s="1859" t="s">
        <v>2645</v>
      </c>
    </row>
    <row r="4" spans="1:17" ht="13">
      <c r="A4" s="1861" t="s">
        <v>2646</v>
      </c>
      <c r="B4" s="1862" t="s">
        <v>2647</v>
      </c>
      <c r="C4" s="1862" t="s">
        <v>2648</v>
      </c>
      <c r="D4" s="1862" t="s">
        <v>2649</v>
      </c>
      <c r="E4" s="1862" t="s">
        <v>2650</v>
      </c>
      <c r="F4" s="1862" t="s">
        <v>2651</v>
      </c>
      <c r="G4" s="1862" t="s">
        <v>2652</v>
      </c>
      <c r="H4" s="1862" t="s">
        <v>2653</v>
      </c>
      <c r="I4" s="1862" t="s">
        <v>1103</v>
      </c>
      <c r="J4" s="1862" t="s">
        <v>2634</v>
      </c>
      <c r="K4" s="1862" t="s">
        <v>2654</v>
      </c>
      <c r="L4" s="1862" t="s">
        <v>2655</v>
      </c>
      <c r="M4" s="1862" t="s">
        <v>2656</v>
      </c>
      <c r="N4" s="1862" t="s">
        <v>423</v>
      </c>
      <c r="O4" s="1863" t="s">
        <v>2657</v>
      </c>
      <c r="P4" s="1862" t="s">
        <v>2658</v>
      </c>
      <c r="Q4" s="1862" t="s">
        <v>410</v>
      </c>
    </row>
    <row r="5" spans="1:17" ht="14.5">
      <c r="A5" s="1864" t="s">
        <v>2659</v>
      </c>
      <c r="B5" s="1865" t="s">
        <v>2586</v>
      </c>
      <c r="C5" s="1865" t="s">
        <v>2603</v>
      </c>
      <c r="D5" s="1865" t="s">
        <v>2586</v>
      </c>
      <c r="E5" s="1865" t="s">
        <v>2604</v>
      </c>
      <c r="F5" s="1865" t="s">
        <v>2660</v>
      </c>
      <c r="G5" s="1866">
        <v>44442</v>
      </c>
      <c r="H5" s="1870" t="s">
        <v>2669</v>
      </c>
      <c r="I5" s="1866" t="s">
        <v>2671</v>
      </c>
      <c r="J5" s="1871" t="s">
        <v>2672</v>
      </c>
      <c r="K5" s="1865" t="s">
        <v>706</v>
      </c>
      <c r="L5" s="1869">
        <v>1.05486E-2</v>
      </c>
      <c r="M5" s="1865" t="s">
        <v>706</v>
      </c>
      <c r="N5" s="1865" t="s">
        <v>626</v>
      </c>
      <c r="O5" s="1865" t="s">
        <v>626</v>
      </c>
      <c r="P5" s="1868" t="s">
        <v>626</v>
      </c>
      <c r="Q5" s="1867">
        <v>2760000</v>
      </c>
    </row>
    <row r="8" spans="1:17" s="717" customFormat="1">
      <c r="A8" s="6" t="s">
        <v>2666</v>
      </c>
    </row>
    <row r="9" spans="1:17" s="717" customFormat="1">
      <c r="A9" s="6" t="s">
        <v>2667</v>
      </c>
    </row>
    <row r="10" spans="1:17" s="717" customFormat="1">
      <c r="A10" s="6" t="s">
        <v>2674</v>
      </c>
    </row>
    <row r="11" spans="1:17" s="717" customFormat="1">
      <c r="A11" s="6" t="s">
        <v>2668</v>
      </c>
    </row>
    <row r="12" spans="1:17" s="717" customFormat="1"/>
    <row r="13" spans="1:17" s="717" customFormat="1">
      <c r="A13" s="6" t="s">
        <v>2673</v>
      </c>
    </row>
    <row r="14" spans="1:17" s="717" customFormat="1"/>
    <row r="15" spans="1:17" s="717" customFormat="1">
      <c r="A15" s="6" t="s">
        <v>2670</v>
      </c>
    </row>
    <row r="16" spans="1:17" s="717" customFormat="1"/>
    <row r="17" spans="1:17" s="717" customFormat="1">
      <c r="A17" s="6" t="s">
        <v>2678</v>
      </c>
    </row>
    <row r="18" spans="1:17" s="717" customFormat="1"/>
    <row r="19" spans="1:17" s="717" customFormat="1"/>
    <row r="20" spans="1:17" s="717" customFormat="1"/>
    <row r="23" spans="1:17">
      <c r="A23" s="6"/>
    </row>
    <row r="24" spans="1:17">
      <c r="A24" s="6"/>
    </row>
    <row r="25" spans="1:17">
      <c r="A25" s="6"/>
      <c r="B25" s="677"/>
      <c r="C25" s="677"/>
      <c r="D25" s="677"/>
      <c r="E25" s="677"/>
      <c r="F25" s="677"/>
      <c r="G25" s="677"/>
      <c r="H25" s="677"/>
      <c r="I25" s="677"/>
      <c r="J25" s="677"/>
      <c r="K25" s="677"/>
      <c r="L25" s="677"/>
      <c r="M25" s="677"/>
      <c r="N25" s="677"/>
      <c r="O25" s="677"/>
      <c r="P25" s="677"/>
      <c r="Q25" s="677"/>
    </row>
    <row r="26" spans="1:17">
      <c r="A26" s="678"/>
    </row>
    <row r="30" spans="1:17">
      <c r="A30" s="6"/>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26" t="s">
        <v>1157</v>
      </c>
      <c r="B2" s="1926"/>
      <c r="C2" s="1927"/>
      <c r="D2" s="1927"/>
      <c r="E2" s="1927"/>
      <c r="F2" s="1927"/>
      <c r="G2" s="1927"/>
    </row>
    <row r="3" spans="1:9" s="256" customFormat="1" ht="13">
      <c r="A3" s="1926" t="s">
        <v>1087</v>
      </c>
      <c r="B3" s="1926"/>
      <c r="C3" s="1927"/>
      <c r="D3" s="1927"/>
      <c r="E3" s="1927"/>
      <c r="F3" s="1927"/>
      <c r="G3" s="1927"/>
      <c r="I3" s="677" t="s">
        <v>316</v>
      </c>
    </row>
    <row r="4" spans="1:9">
      <c r="I4" s="678" t="s">
        <v>1158</v>
      </c>
    </row>
    <row r="5" spans="1:9" s="39" customFormat="1" ht="13">
      <c r="A5" s="1930" t="s">
        <v>1088</v>
      </c>
      <c r="B5" s="1930"/>
      <c r="C5" s="1931"/>
      <c r="D5" s="1931"/>
      <c r="E5" s="1931"/>
      <c r="F5" s="1931"/>
      <c r="G5" s="1931"/>
      <c r="I5" s="678" t="s">
        <v>1159</v>
      </c>
    </row>
    <row r="6" spans="1:9" s="39" customFormat="1" ht="13">
      <c r="A6" s="1930" t="s">
        <v>880</v>
      </c>
      <c r="B6" s="1930"/>
      <c r="C6" s="1931"/>
      <c r="D6" s="1931"/>
      <c r="E6" s="1931"/>
      <c r="F6" s="1931"/>
      <c r="G6" s="1931"/>
      <c r="I6" s="677" t="s">
        <v>626</v>
      </c>
    </row>
    <row r="7" spans="1:9" ht="11.9" customHeight="1"/>
    <row r="8" spans="1:9" s="39" customFormat="1" ht="13">
      <c r="A8" s="1928" t="s">
        <v>1254</v>
      </c>
      <c r="B8" s="1928"/>
      <c r="C8" s="1929"/>
      <c r="D8" s="1929"/>
      <c r="E8" s="1929"/>
      <c r="F8" s="1929"/>
      <c r="G8" s="1929"/>
    </row>
    <row r="9" spans="1:9" s="39" customFormat="1" ht="13">
      <c r="A9" s="1928" t="s">
        <v>1255</v>
      </c>
      <c r="B9" s="1928"/>
      <c r="C9" s="1929"/>
      <c r="D9" s="1929"/>
      <c r="E9" s="1929"/>
      <c r="F9" s="1929"/>
      <c r="G9" s="1929"/>
    </row>
    <row r="10" spans="1:9" ht="13">
      <c r="A10" s="258"/>
      <c r="B10" s="258"/>
      <c r="C10" s="255"/>
      <c r="D10" s="255"/>
      <c r="E10" s="255"/>
      <c r="F10" s="255"/>
    </row>
    <row r="11" spans="1:9" ht="13">
      <c r="A11" s="1932" t="s">
        <v>1257</v>
      </c>
      <c r="B11" s="1932"/>
      <c r="C11" s="1932"/>
      <c r="D11" s="1932"/>
      <c r="E11" s="1932"/>
      <c r="F11" s="1932"/>
      <c r="G11" s="1932"/>
    </row>
    <row r="12" spans="1:9" ht="13">
      <c r="A12" s="255"/>
      <c r="B12" s="673"/>
      <c r="E12" s="50"/>
    </row>
    <row r="13" spans="1:9" ht="13.15" customHeight="1">
      <c r="C13" s="255"/>
      <c r="D13" s="1950" t="s">
        <v>1256</v>
      </c>
      <c r="E13" s="1950"/>
      <c r="F13" s="1950"/>
    </row>
    <row r="14" spans="1:9" ht="13">
      <c r="C14" s="255"/>
      <c r="D14" s="1950"/>
      <c r="E14" s="1950"/>
      <c r="F14" s="1950"/>
    </row>
    <row r="15" spans="1:9" ht="13">
      <c r="A15" s="260"/>
      <c r="B15" s="260"/>
      <c r="C15" s="260"/>
      <c r="D15" s="1889" t="s">
        <v>1239</v>
      </c>
      <c r="E15" s="1889"/>
      <c r="F15" s="1889"/>
    </row>
    <row r="16" spans="1:9" ht="13">
      <c r="A16" s="260"/>
      <c r="B16" s="260"/>
      <c r="C16" s="260"/>
      <c r="D16" s="327"/>
    </row>
    <row r="17" spans="1:7" ht="13">
      <c r="A17" s="261"/>
      <c r="B17" s="679" t="s">
        <v>316</v>
      </c>
      <c r="C17" s="313"/>
      <c r="D17" s="1876" t="s">
        <v>1240</v>
      </c>
      <c r="E17" s="1876"/>
      <c r="F17" s="1876"/>
    </row>
    <row r="18" spans="1:7" ht="13">
      <c r="A18" s="260"/>
      <c r="B18" s="260"/>
      <c r="C18" s="313"/>
      <c r="D18" s="1876"/>
      <c r="E18" s="1876"/>
      <c r="F18" s="1876"/>
    </row>
    <row r="19" spans="1:7" ht="13">
      <c r="A19" s="260"/>
      <c r="B19" s="260"/>
      <c r="C19" s="313"/>
      <c r="D19" s="1876"/>
      <c r="E19" s="1876"/>
      <c r="F19" s="1876"/>
    </row>
    <row r="20" spans="1:7" ht="13">
      <c r="A20" s="260"/>
      <c r="B20" s="260"/>
      <c r="C20" s="260"/>
    </row>
    <row r="21" spans="1:7" ht="13">
      <c r="A21" s="261"/>
      <c r="B21" s="679" t="s">
        <v>316</v>
      </c>
      <c r="D21" s="1942" t="s">
        <v>1241</v>
      </c>
      <c r="E21" s="1942"/>
      <c r="F21" s="1942"/>
    </row>
    <row r="22" spans="1:7" ht="13">
      <c r="A22" s="261"/>
      <c r="B22" s="261"/>
      <c r="D22" s="135"/>
    </row>
    <row r="23" spans="1:7" ht="13">
      <c r="A23" s="261"/>
      <c r="B23" s="679" t="s">
        <v>316</v>
      </c>
      <c r="D23" s="1876" t="s">
        <v>1242</v>
      </c>
      <c r="E23" s="1876"/>
      <c r="F23" s="1876"/>
    </row>
    <row r="24" spans="1:7" ht="13">
      <c r="A24" s="261"/>
      <c r="B24" s="261"/>
      <c r="D24" s="1876"/>
      <c r="E24" s="1876"/>
      <c r="F24" s="1876"/>
    </row>
    <row r="25" spans="1:7"/>
    <row r="26" spans="1:7" ht="13">
      <c r="A26" s="261"/>
      <c r="B26" s="679" t="s">
        <v>316</v>
      </c>
      <c r="D26" s="1911" t="s">
        <v>1243</v>
      </c>
      <c r="E26" s="1911"/>
      <c r="F26" s="1911"/>
    </row>
    <row r="27" spans="1:7">
      <c r="D27" s="1911"/>
      <c r="E27" s="1911"/>
      <c r="F27" s="1911"/>
    </row>
    <row r="28" spans="1:7">
      <c r="D28" s="1911"/>
      <c r="E28" s="1911"/>
      <c r="F28" s="1911"/>
    </row>
    <row r="29" spans="1:7">
      <c r="A29" s="558"/>
      <c r="C29" s="558"/>
      <c r="D29" s="1911"/>
      <c r="E29" s="1911"/>
      <c r="F29" s="1911"/>
    </row>
    <row r="30" spans="1:7">
      <c r="A30" s="558"/>
      <c r="C30" s="558"/>
      <c r="D30" s="1911"/>
      <c r="E30" s="1911"/>
      <c r="F30" s="1911"/>
    </row>
    <row r="31" spans="1:7" s="39" customFormat="1">
      <c r="A31" s="273"/>
      <c r="B31" s="273"/>
      <c r="C31" s="273"/>
      <c r="D31" s="443"/>
      <c r="E31" s="130"/>
      <c r="F31" s="130"/>
      <c r="G31" s="130"/>
    </row>
    <row r="32" spans="1:7" s="39" customFormat="1">
      <c r="A32" s="273"/>
      <c r="B32" s="679" t="s">
        <v>316</v>
      </c>
      <c r="C32" s="273"/>
      <c r="D32" s="1877" t="s">
        <v>1244</v>
      </c>
      <c r="E32" s="1877"/>
      <c r="F32" s="1877"/>
      <c r="G32" s="130"/>
    </row>
    <row r="33" spans="1:7" s="39" customFormat="1">
      <c r="A33" s="273"/>
      <c r="B33" s="273"/>
      <c r="C33" s="273"/>
      <c r="D33" s="1877"/>
      <c r="E33" s="1877"/>
      <c r="F33" s="1877"/>
      <c r="G33" s="130"/>
    </row>
    <row r="34" spans="1:7" ht="13">
      <c r="A34" s="261"/>
      <c r="B34" s="261"/>
      <c r="D34" s="404"/>
    </row>
    <row r="35" spans="1:7" ht="14.5" customHeight="1">
      <c r="A35" s="261"/>
      <c r="B35" s="679" t="s">
        <v>316</v>
      </c>
      <c r="C35" s="554"/>
      <c r="D35" s="1877" t="s">
        <v>1245</v>
      </c>
      <c r="E35" s="1877"/>
      <c r="F35" s="1877"/>
    </row>
    <row r="36" spans="1:7" ht="13">
      <c r="A36" s="261"/>
      <c r="B36" s="261"/>
      <c r="C36" s="554"/>
      <c r="D36" s="1877"/>
      <c r="E36" s="1877"/>
      <c r="F36" s="1877"/>
    </row>
    <row r="37" spans="1:7" ht="13">
      <c r="A37" s="261"/>
      <c r="B37" s="261"/>
      <c r="C37" s="554"/>
      <c r="D37" s="1877"/>
      <c r="E37" s="1877"/>
      <c r="F37" s="1877"/>
    </row>
    <row r="38" spans="1:7" ht="13">
      <c r="A38" s="261"/>
      <c r="B38" s="261"/>
      <c r="C38" s="554"/>
      <c r="D38" s="12"/>
    </row>
    <row r="39" spans="1:7" s="682" customFormat="1" ht="13">
      <c r="A39" s="261"/>
      <c r="B39" s="679" t="s">
        <v>316</v>
      </c>
      <c r="C39" s="699"/>
      <c r="D39" s="1877" t="s">
        <v>1246</v>
      </c>
      <c r="E39" s="1877"/>
      <c r="F39" s="1877"/>
      <c r="G39" s="7"/>
    </row>
    <row r="40" spans="1:7" s="682" customFormat="1" ht="13">
      <c r="A40" s="261"/>
      <c r="B40" s="261"/>
      <c r="C40" s="699"/>
      <c r="D40" s="1877"/>
      <c r="E40" s="1877"/>
      <c r="F40" s="1877"/>
      <c r="G40" s="7"/>
    </row>
    <row r="41" spans="1:7" s="682" customFormat="1" ht="13">
      <c r="A41" s="261"/>
      <c r="B41" s="261"/>
      <c r="C41" s="699"/>
      <c r="D41" s="1877"/>
      <c r="E41" s="1877"/>
      <c r="F41" s="1877"/>
      <c r="G41" s="7"/>
    </row>
    <row r="42" spans="1:7" s="682" customFormat="1" ht="13">
      <c r="A42" s="261"/>
      <c r="B42" s="261"/>
      <c r="C42" s="699"/>
      <c r="D42" s="1877"/>
      <c r="E42" s="1877"/>
      <c r="F42" s="1877"/>
      <c r="G42" s="7"/>
    </row>
    <row r="43" spans="1:7" s="682" customFormat="1" ht="13">
      <c r="A43" s="261"/>
      <c r="B43" s="261"/>
      <c r="C43" s="699"/>
      <c r="D43" s="1877"/>
      <c r="E43" s="1877"/>
      <c r="F43" s="1877"/>
      <c r="G43" s="7"/>
    </row>
    <row r="44" spans="1:7" s="682" customFormat="1" ht="13">
      <c r="A44" s="261"/>
      <c r="B44" s="261"/>
      <c r="C44" s="699"/>
      <c r="D44" s="698"/>
      <c r="E44" s="698"/>
      <c r="F44" s="698"/>
      <c r="G44" s="7"/>
    </row>
    <row r="45" spans="1:7" ht="13">
      <c r="A45" s="261"/>
      <c r="B45" s="679" t="s">
        <v>316</v>
      </c>
      <c r="C45" s="554"/>
      <c r="D45" s="1877" t="s">
        <v>1247</v>
      </c>
      <c r="E45" s="1877"/>
      <c r="F45" s="1877"/>
    </row>
    <row r="46" spans="1:7" ht="13">
      <c r="A46" s="261"/>
      <c r="B46" s="261"/>
      <c r="C46" s="554"/>
      <c r="D46" s="1877"/>
      <c r="E46" s="1877"/>
      <c r="F46" s="1877"/>
    </row>
    <row r="47" spans="1:7" ht="13">
      <c r="A47" s="261"/>
      <c r="B47" s="261"/>
      <c r="C47" s="554"/>
      <c r="D47" s="1877"/>
      <c r="E47" s="1877"/>
      <c r="F47" s="1877"/>
    </row>
    <row r="48" spans="1:7" ht="23.25" customHeight="1">
      <c r="A48" s="261"/>
      <c r="B48" s="261"/>
      <c r="C48" s="554"/>
      <c r="D48" s="1877"/>
      <c r="E48" s="1877"/>
      <c r="F48" s="1877"/>
    </row>
    <row r="49" spans="1:7" ht="13">
      <c r="A49" s="261"/>
      <c r="B49" s="261"/>
      <c r="D49" s="151"/>
    </row>
    <row r="50" spans="1:7" ht="14.5" customHeight="1">
      <c r="A50" s="261"/>
      <c r="B50" s="679" t="s">
        <v>316</v>
      </c>
      <c r="D50" s="1877" t="s">
        <v>1248</v>
      </c>
      <c r="E50" s="1877"/>
      <c r="F50" s="1877"/>
    </row>
    <row r="51" spans="1:7" ht="13">
      <c r="A51" s="261"/>
      <c r="B51" s="261"/>
      <c r="D51" s="1877"/>
      <c r="E51" s="1877"/>
      <c r="F51" s="1877"/>
    </row>
    <row r="52" spans="1:7" ht="13">
      <c r="A52" s="261"/>
      <c r="B52" s="261"/>
      <c r="D52" s="1877"/>
      <c r="E52" s="1877"/>
      <c r="F52" s="1877"/>
    </row>
    <row r="53" spans="1:7" s="2" customFormat="1" ht="13">
      <c r="A53" s="261"/>
      <c r="B53" s="261"/>
      <c r="C53" s="556"/>
      <c r="D53" s="239"/>
      <c r="E53" s="22"/>
      <c r="F53" s="22"/>
      <c r="G53" s="22"/>
    </row>
    <row r="54" spans="1:7" s="2" customFormat="1" ht="13">
      <c r="A54" s="403"/>
      <c r="B54" s="679" t="s">
        <v>316</v>
      </c>
      <c r="C54" s="557"/>
      <c r="D54" s="1877" t="s">
        <v>1249</v>
      </c>
      <c r="E54" s="1877"/>
      <c r="F54" s="1877"/>
      <c r="G54" s="22"/>
    </row>
    <row r="55" spans="1:7" s="2" customFormat="1" ht="13">
      <c r="A55" s="403"/>
      <c r="B55" s="403"/>
      <c r="C55" s="557"/>
      <c r="D55" s="1877"/>
      <c r="E55" s="1877"/>
      <c r="F55" s="1877"/>
      <c r="G55" s="22"/>
    </row>
    <row r="56" spans="1:7" s="39" customFormat="1">
      <c r="A56" s="273"/>
      <c r="B56" s="273"/>
      <c r="C56" s="273"/>
      <c r="D56" s="443"/>
      <c r="E56" s="130"/>
      <c r="F56" s="130"/>
      <c r="G56" s="130"/>
    </row>
    <row r="57" spans="1:7" ht="13">
      <c r="A57" s="261"/>
      <c r="B57" s="679" t="s">
        <v>316</v>
      </c>
      <c r="D57" s="1877" t="s">
        <v>1250</v>
      </c>
      <c r="E57" s="1877"/>
      <c r="F57" s="1877"/>
    </row>
    <row r="58" spans="1:7">
      <c r="D58" s="1877"/>
      <c r="E58" s="1877"/>
      <c r="F58" s="1877"/>
    </row>
    <row r="59" spans="1:7">
      <c r="D59" s="1877"/>
      <c r="E59" s="1877"/>
      <c r="F59" s="1877"/>
    </row>
    <row r="60" spans="1:7" s="682" customFormat="1">
      <c r="A60" s="699"/>
      <c r="B60" s="699"/>
      <c r="C60" s="699"/>
      <c r="D60" s="678"/>
      <c r="E60" s="7"/>
      <c r="F60" s="7"/>
      <c r="G60" s="7"/>
    </row>
    <row r="61" spans="1:7" ht="13">
      <c r="A61" s="261"/>
      <c r="B61" s="679" t="s">
        <v>316</v>
      </c>
      <c r="D61" s="1877" t="s">
        <v>1251</v>
      </c>
      <c r="E61" s="1877"/>
      <c r="F61" s="1877"/>
    </row>
    <row r="62" spans="1:7">
      <c r="D62" s="1877"/>
      <c r="E62" s="1877"/>
      <c r="F62" s="1877"/>
    </row>
    <row r="63" spans="1:7"/>
    <row r="64" spans="1:7" ht="13">
      <c r="A64" s="261"/>
      <c r="B64" s="679" t="s">
        <v>316</v>
      </c>
      <c r="D64" s="1877" t="s">
        <v>1252</v>
      </c>
      <c r="E64" s="1877"/>
      <c r="F64" s="1877"/>
    </row>
    <row r="65" spans="1:7">
      <c r="D65" s="1877"/>
      <c r="E65" s="1877"/>
      <c r="F65" s="1877"/>
    </row>
    <row r="66" spans="1:7">
      <c r="A66" s="555"/>
      <c r="C66" s="555"/>
      <c r="D66" s="1877"/>
      <c r="E66" s="1877"/>
      <c r="F66" s="1877"/>
    </row>
    <row r="67" spans="1:7">
      <c r="D67" s="12"/>
    </row>
    <row r="68" spans="1:7" ht="13">
      <c r="A68" s="261"/>
      <c r="B68" s="679" t="s">
        <v>316</v>
      </c>
      <c r="D68" s="1876" t="s">
        <v>1253</v>
      </c>
      <c r="E68" s="1876"/>
      <c r="F68" s="1876"/>
    </row>
    <row r="69" spans="1:7">
      <c r="D69" s="1876"/>
      <c r="E69" s="1876"/>
      <c r="F69" s="1876"/>
    </row>
    <row r="70" spans="1:7" ht="13">
      <c r="A70" s="261"/>
      <c r="B70" s="261"/>
      <c r="D70" s="135"/>
    </row>
    <row r="71" spans="1:7" ht="13">
      <c r="A71" s="1896" t="s">
        <v>1160</v>
      </c>
      <c r="B71" s="1896"/>
      <c r="C71" s="1896"/>
      <c r="D71" s="1896"/>
      <c r="E71" s="1896"/>
      <c r="F71" s="1896"/>
      <c r="G71" s="1896"/>
    </row>
    <row r="72" spans="1:7"/>
    <row r="73" spans="1:7" ht="13">
      <c r="C73" s="262"/>
      <c r="D73" s="1925" t="s">
        <v>1258</v>
      </c>
      <c r="E73" s="1925"/>
      <c r="F73" s="1925"/>
    </row>
    <row r="74" spans="1:7">
      <c r="A74" s="135"/>
      <c r="B74" s="135"/>
      <c r="D74" s="1876" t="s">
        <v>1285</v>
      </c>
      <c r="E74" s="1876"/>
      <c r="F74" s="1876"/>
    </row>
    <row r="75" spans="1:7">
      <c r="A75" s="135"/>
      <c r="B75" s="135"/>
    </row>
    <row r="76" spans="1:7" ht="13">
      <c r="A76" s="261"/>
      <c r="B76" s="679" t="s">
        <v>316</v>
      </c>
      <c r="D76" s="1876" t="s">
        <v>1259</v>
      </c>
      <c r="E76" s="1876"/>
      <c r="F76" s="1876"/>
    </row>
    <row r="77" spans="1:7" ht="13">
      <c r="A77" s="261"/>
      <c r="B77" s="261"/>
      <c r="D77" s="1876"/>
      <c r="E77" s="1876"/>
      <c r="F77" s="1876"/>
    </row>
    <row r="78" spans="1:7" ht="13">
      <c r="A78" s="261"/>
      <c r="B78" s="261"/>
      <c r="D78" s="1876"/>
      <c r="E78" s="1876"/>
      <c r="F78" s="1876"/>
    </row>
    <row r="79" spans="1:7" ht="13">
      <c r="A79" s="261"/>
      <c r="B79" s="261"/>
      <c r="D79" s="1876"/>
      <c r="E79" s="1876"/>
      <c r="F79" s="1876"/>
    </row>
    <row r="80" spans="1:7" ht="13">
      <c r="A80" s="261"/>
      <c r="B80" s="261"/>
      <c r="D80" s="1876"/>
      <c r="E80" s="1876"/>
      <c r="F80" s="1876"/>
    </row>
    <row r="81" spans="1:7" ht="13">
      <c r="A81" s="261"/>
      <c r="B81" s="261"/>
      <c r="D81" s="1876"/>
      <c r="E81" s="1876"/>
      <c r="F81" s="1876"/>
    </row>
    <row r="82" spans="1:7" s="706" customFormat="1" ht="13">
      <c r="A82" s="707"/>
      <c r="B82" s="707"/>
      <c r="C82" s="705"/>
      <c r="D82" s="709"/>
      <c r="E82" s="709"/>
      <c r="F82" s="709"/>
      <c r="G82" s="7"/>
    </row>
    <row r="83" spans="1:7" s="706" customFormat="1" ht="14.5" customHeight="1">
      <c r="A83" s="707"/>
      <c r="B83" s="712" t="s">
        <v>316</v>
      </c>
      <c r="C83" s="705"/>
      <c r="D83" s="1905" t="s">
        <v>1358</v>
      </c>
      <c r="E83" s="1905"/>
      <c r="F83" s="1905"/>
      <c r="G83" s="7"/>
    </row>
    <row r="84" spans="1:7" s="706" customFormat="1" ht="13">
      <c r="A84" s="707"/>
      <c r="B84" s="707"/>
      <c r="C84" s="705"/>
      <c r="D84" s="1905"/>
      <c r="E84" s="1905"/>
      <c r="F84" s="1905"/>
      <c r="G84" s="7"/>
    </row>
    <row r="85" spans="1:7" s="706" customFormat="1" ht="13">
      <c r="A85" s="707"/>
      <c r="B85" s="707"/>
      <c r="C85" s="705"/>
      <c r="D85" s="1905"/>
      <c r="E85" s="1905"/>
      <c r="F85" s="1905"/>
      <c r="G85" s="7"/>
    </row>
    <row r="86" spans="1:7" s="706" customFormat="1" ht="13">
      <c r="A86" s="707"/>
      <c r="B86" s="707"/>
      <c r="C86" s="705"/>
      <c r="D86" s="1905"/>
      <c r="E86" s="1905"/>
      <c r="F86" s="1905"/>
      <c r="G86" s="7"/>
    </row>
    <row r="87" spans="1:7" s="706" customFormat="1" ht="13">
      <c r="A87" s="707"/>
      <c r="B87" s="707"/>
      <c r="C87" s="705"/>
      <c r="D87" s="1905"/>
      <c r="E87" s="1905"/>
      <c r="F87" s="1905"/>
      <c r="G87" s="7"/>
    </row>
    <row r="88" spans="1:7" s="719" customFormat="1" ht="13">
      <c r="A88" s="714"/>
      <c r="B88" s="714"/>
      <c r="C88" s="745"/>
      <c r="D88" s="1905"/>
      <c r="E88" s="1905"/>
      <c r="F88" s="1905"/>
      <c r="G88" s="7"/>
    </row>
    <row r="89" spans="1:7" s="719" customFormat="1" ht="13">
      <c r="A89" s="714"/>
      <c r="B89" s="714"/>
      <c r="C89" s="745"/>
      <c r="D89" s="1905"/>
      <c r="E89" s="1905"/>
      <c r="F89" s="1905"/>
      <c r="G89" s="7"/>
    </row>
    <row r="90" spans="1:7" s="719" customFormat="1" ht="13">
      <c r="A90" s="714"/>
      <c r="B90" s="714"/>
      <c r="C90" s="745"/>
      <c r="D90" s="1905"/>
      <c r="E90" s="1905"/>
      <c r="F90" s="1905"/>
      <c r="G90" s="7"/>
    </row>
    <row r="91" spans="1:7" ht="13">
      <c r="A91" s="261"/>
      <c r="B91" s="261"/>
      <c r="D91" s="1905"/>
      <c r="E91" s="1905"/>
      <c r="F91" s="1905"/>
    </row>
    <row r="92" spans="1:7" ht="13">
      <c r="A92" s="261"/>
      <c r="B92" s="261"/>
      <c r="D92" s="1905"/>
      <c r="E92" s="1905"/>
      <c r="F92" s="1905"/>
    </row>
    <row r="93" spans="1:7" ht="13">
      <c r="A93" s="261"/>
      <c r="B93" s="261"/>
      <c r="D93" s="1905"/>
      <c r="E93" s="1905"/>
      <c r="F93" s="1905"/>
    </row>
    <row r="94" spans="1:7" ht="13">
      <c r="A94" s="261"/>
      <c r="B94" s="261"/>
      <c r="D94" s="1905"/>
      <c r="E94" s="1905"/>
      <c r="F94" s="1905"/>
    </row>
    <row r="95" spans="1:7" ht="13">
      <c r="A95" s="261"/>
      <c r="B95" s="261"/>
      <c r="D95" s="1905"/>
      <c r="E95" s="1905"/>
      <c r="F95" s="1905"/>
    </row>
    <row r="96" spans="1:7" ht="13">
      <c r="A96" s="261"/>
      <c r="B96" s="261"/>
      <c r="D96" s="1905"/>
      <c r="E96" s="1905"/>
      <c r="F96" s="1905"/>
    </row>
    <row r="97" spans="1:11" s="710" customFormat="1" ht="13">
      <c r="A97" s="711"/>
      <c r="B97" s="715" t="s">
        <v>316</v>
      </c>
      <c r="C97" s="705"/>
      <c r="D97" s="1876" t="s">
        <v>1260</v>
      </c>
      <c r="E97" s="1876"/>
      <c r="F97" s="1876"/>
      <c r="G97" s="7"/>
    </row>
    <row r="98" spans="1:11" s="710" customFormat="1" ht="13">
      <c r="A98" s="711"/>
      <c r="B98" s="711"/>
      <c r="C98" s="705"/>
      <c r="D98" s="1876"/>
      <c r="E98" s="1876"/>
      <c r="F98" s="1876"/>
      <c r="G98" s="7"/>
    </row>
    <row r="99" spans="1:11" s="710" customFormat="1" ht="13">
      <c r="A99" s="711"/>
      <c r="B99" s="711"/>
      <c r="C99" s="705"/>
      <c r="D99" s="1876"/>
      <c r="E99" s="1876"/>
      <c r="F99" s="1876"/>
      <c r="G99" s="7"/>
    </row>
    <row r="100" spans="1:11" s="710" customFormat="1" ht="13">
      <c r="A100" s="711"/>
      <c r="B100" s="711"/>
      <c r="C100" s="705"/>
      <c r="D100" s="1876"/>
      <c r="E100" s="1876"/>
      <c r="F100" s="1876"/>
      <c r="G100" s="7"/>
    </row>
    <row r="101" spans="1:11" s="710" customFormat="1" ht="13">
      <c r="A101" s="711"/>
      <c r="B101" s="711"/>
      <c r="C101" s="705"/>
      <c r="D101" s="1876"/>
      <c r="E101" s="1876"/>
      <c r="F101" s="1876"/>
      <c r="G101" s="7"/>
    </row>
    <row r="102" spans="1:11" s="710" customFormat="1" ht="13">
      <c r="A102" s="711"/>
      <c r="B102" s="711"/>
      <c r="C102" s="705"/>
      <c r="D102" s="1876"/>
      <c r="E102" s="1876"/>
      <c r="F102" s="1876"/>
      <c r="G102" s="7"/>
    </row>
    <row r="103" spans="1:11" s="710" customFormat="1" ht="13">
      <c r="A103" s="711"/>
      <c r="B103" s="711"/>
      <c r="C103" s="705"/>
      <c r="D103" s="1876"/>
      <c r="E103" s="1876"/>
      <c r="F103" s="1876"/>
      <c r="G103" s="7"/>
    </row>
    <row r="104" spans="1:11" s="710" customFormat="1" ht="13">
      <c r="A104" s="711"/>
      <c r="B104" s="711"/>
      <c r="C104" s="705"/>
      <c r="D104" s="1876"/>
      <c r="E104" s="1876"/>
      <c r="F104" s="1876"/>
      <c r="G104" s="7"/>
    </row>
    <row r="105" spans="1:11" s="713" customFormat="1" ht="13">
      <c r="A105" s="714"/>
      <c r="B105" s="714"/>
      <c r="C105" s="705"/>
      <c r="D105" s="716"/>
      <c r="E105" s="716"/>
      <c r="F105" s="716"/>
      <c r="G105" s="7"/>
    </row>
    <row r="106" spans="1:11" ht="13">
      <c r="A106" s="403"/>
      <c r="B106" s="708" t="s">
        <v>316</v>
      </c>
      <c r="C106" s="469"/>
      <c r="D106" s="1933" t="s">
        <v>1261</v>
      </c>
      <c r="E106" s="1933"/>
      <c r="F106" s="1933"/>
      <c r="G106" s="470"/>
      <c r="H106" s="468"/>
      <c r="I106" s="468"/>
      <c r="J106" s="468"/>
      <c r="K106" s="468"/>
    </row>
    <row r="107" spans="1:11" ht="13">
      <c r="A107" s="261"/>
      <c r="B107" s="261"/>
      <c r="C107" s="315"/>
      <c r="D107" s="1933"/>
      <c r="E107" s="1933"/>
      <c r="F107" s="1933"/>
      <c r="G107" s="470"/>
      <c r="H107" s="468"/>
      <c r="I107" s="468"/>
      <c r="J107" s="468"/>
      <c r="K107" s="468"/>
    </row>
    <row r="108" spans="1:11" ht="13">
      <c r="A108" s="261"/>
      <c r="B108" s="261"/>
      <c r="C108" s="315"/>
      <c r="D108" s="1933"/>
      <c r="E108" s="1933"/>
      <c r="F108" s="1933"/>
      <c r="G108" s="470"/>
      <c r="H108" s="468"/>
      <c r="I108" s="468"/>
      <c r="J108" s="468"/>
      <c r="K108" s="468"/>
    </row>
    <row r="109" spans="1:11" ht="13">
      <c r="A109" s="261"/>
      <c r="B109" s="261"/>
      <c r="C109" s="315"/>
      <c r="D109" s="1933"/>
      <c r="E109" s="1933"/>
      <c r="F109" s="1933"/>
      <c r="G109" s="470"/>
      <c r="H109" s="468"/>
      <c r="I109" s="468"/>
      <c r="J109" s="468"/>
      <c r="K109" s="468"/>
    </row>
    <row r="110" spans="1:11" ht="13">
      <c r="A110" s="261"/>
      <c r="B110" s="261"/>
      <c r="C110" s="315"/>
      <c r="D110" s="1933"/>
      <c r="E110" s="1933"/>
      <c r="F110" s="1933"/>
      <c r="G110" s="470"/>
      <c r="H110" s="468"/>
      <c r="I110" s="468"/>
      <c r="J110" s="468"/>
      <c r="K110" s="468"/>
    </row>
    <row r="111" spans="1:11">
      <c r="C111"/>
      <c r="D111" s="1933"/>
      <c r="E111" s="1933"/>
      <c r="F111" s="1933"/>
      <c r="G111"/>
      <c r="H111"/>
      <c r="I111"/>
      <c r="J111"/>
      <c r="K111"/>
    </row>
    <row r="112" spans="1:11">
      <c r="C112"/>
      <c r="D112" s="1933"/>
      <c r="E112" s="1933"/>
      <c r="F112" s="1933"/>
      <c r="G112"/>
      <c r="H112"/>
      <c r="I112"/>
      <c r="J112"/>
      <c r="K112"/>
    </row>
    <row r="113" spans="1:11">
      <c r="C113"/>
      <c r="D113" s="477"/>
      <c r="E113"/>
      <c r="F113"/>
      <c r="G113"/>
      <c r="H113"/>
      <c r="I113"/>
      <c r="J113"/>
      <c r="K113"/>
    </row>
    <row r="114" spans="1:11" ht="13">
      <c r="A114" s="261"/>
      <c r="B114" s="679" t="s">
        <v>316</v>
      </c>
      <c r="C114"/>
      <c r="D114" s="1934" t="s">
        <v>1262</v>
      </c>
      <c r="E114" s="1934"/>
      <c r="F114" s="1934"/>
      <c r="G114"/>
      <c r="H114"/>
      <c r="I114"/>
      <c r="J114"/>
      <c r="K114"/>
    </row>
    <row r="115" spans="1:11" ht="13">
      <c r="A115" s="261"/>
      <c r="B115" s="261"/>
      <c r="C115"/>
      <c r="D115" s="1934"/>
      <c r="E115" s="1934"/>
      <c r="F115" s="1934"/>
      <c r="G115"/>
      <c r="H115"/>
      <c r="I115"/>
      <c r="J115"/>
      <c r="K115"/>
    </row>
    <row r="116" spans="1:11"/>
    <row r="117" spans="1:11" ht="13">
      <c r="A117" s="261"/>
      <c r="B117" s="679" t="s">
        <v>316</v>
      </c>
      <c r="C117" s="10"/>
      <c r="D117" s="1876" t="s">
        <v>1263</v>
      </c>
      <c r="E117" s="1876"/>
      <c r="F117" s="1876"/>
    </row>
    <row r="118" spans="1:11">
      <c r="C118" s="10"/>
      <c r="D118" s="1876"/>
      <c r="E118" s="1876"/>
      <c r="F118" s="1876"/>
    </row>
    <row r="119" spans="1:11">
      <c r="C119" s="10"/>
      <c r="D119" s="1876"/>
      <c r="E119" s="1876"/>
      <c r="F119" s="1876"/>
    </row>
    <row r="120" spans="1:11">
      <c r="C120" s="10"/>
      <c r="D120" s="1876"/>
      <c r="E120" s="1876"/>
      <c r="F120" s="1876"/>
    </row>
    <row r="121" spans="1:11">
      <c r="C121" s="10"/>
      <c r="D121" s="1876"/>
      <c r="E121" s="1876"/>
      <c r="F121" s="1876"/>
    </row>
    <row r="122" spans="1:11">
      <c r="C122" s="10"/>
      <c r="D122" s="149"/>
      <c r="E122" s="149"/>
      <c r="F122" s="149"/>
    </row>
    <row r="123" spans="1:11" customFormat="1" ht="13">
      <c r="A123" s="261"/>
      <c r="B123" s="679" t="s">
        <v>316</v>
      </c>
      <c r="C123" s="10"/>
      <c r="D123" s="1877" t="s">
        <v>1264</v>
      </c>
      <c r="E123" s="1877"/>
      <c r="F123" s="1877"/>
      <c r="G123" s="149"/>
    </row>
    <row r="124" spans="1:11" s="296" customFormat="1" ht="13.75" customHeight="1">
      <c r="A124" s="293"/>
      <c r="B124" s="293"/>
      <c r="C124" s="294"/>
      <c r="D124" s="1877"/>
      <c r="E124" s="1877"/>
      <c r="F124" s="1877"/>
      <c r="G124" s="295"/>
    </row>
    <row r="125" spans="1:11" customFormat="1" ht="13.75" customHeight="1">
      <c r="A125" s="132"/>
      <c r="B125" s="676"/>
      <c r="C125" s="10"/>
      <c r="D125" s="1877"/>
      <c r="E125" s="1877"/>
      <c r="F125" s="1877"/>
      <c r="G125" s="149"/>
    </row>
    <row r="126" spans="1:11" customFormat="1" ht="13.75" customHeight="1">
      <c r="A126" s="132"/>
      <c r="B126" s="676"/>
      <c r="C126" s="10"/>
      <c r="D126" s="1877"/>
      <c r="E126" s="1877"/>
      <c r="F126" s="1877"/>
      <c r="G126" s="149"/>
    </row>
    <row r="127" spans="1:11" customFormat="1" ht="13.75" customHeight="1">
      <c r="A127" s="132"/>
      <c r="B127" s="676"/>
      <c r="C127" s="10"/>
      <c r="D127" s="1877"/>
      <c r="E127" s="1877"/>
      <c r="F127" s="1877"/>
      <c r="G127" s="149"/>
    </row>
    <row r="128" spans="1:11" customFormat="1" ht="13.75" customHeight="1">
      <c r="A128" s="378"/>
      <c r="B128" s="378"/>
      <c r="C128" s="10"/>
      <c r="D128" s="1877"/>
      <c r="E128" s="1877"/>
      <c r="F128" s="1877"/>
      <c r="G128" s="149"/>
    </row>
    <row r="129" spans="1:7" s="2" customFormat="1" ht="13.75" customHeight="1">
      <c r="A129" s="273"/>
      <c r="B129" s="273"/>
      <c r="C129" s="442"/>
      <c r="D129" s="1877"/>
      <c r="E129" s="1877"/>
      <c r="F129" s="1877"/>
      <c r="G129" s="182"/>
    </row>
    <row r="130" spans="1:7" s="2" customFormat="1" ht="13.75" customHeight="1">
      <c r="A130" s="273"/>
      <c r="B130" s="273"/>
      <c r="C130" s="442"/>
      <c r="D130" s="1877"/>
      <c r="E130" s="1877"/>
      <c r="F130" s="1877"/>
      <c r="G130" s="182"/>
    </row>
    <row r="131" spans="1:7" customFormat="1" ht="13.75" customHeight="1">
      <c r="A131" s="132"/>
      <c r="B131" s="676"/>
      <c r="C131" s="10"/>
      <c r="D131" s="1877"/>
      <c r="E131" s="1877"/>
      <c r="F131" s="1877"/>
      <c r="G131" s="149"/>
    </row>
    <row r="132" spans="1:7" customFormat="1" ht="13.75" customHeight="1">
      <c r="A132" s="132"/>
      <c r="B132" s="676"/>
      <c r="C132" s="10"/>
      <c r="D132" s="1877"/>
      <c r="E132" s="1877"/>
      <c r="F132" s="1877"/>
      <c r="G132" s="149"/>
    </row>
    <row r="133" spans="1:7" customFormat="1" ht="13.75" customHeight="1">
      <c r="A133" s="132"/>
      <c r="B133" s="676"/>
      <c r="C133" s="10"/>
      <c r="D133" s="1877"/>
      <c r="E133" s="1877"/>
      <c r="F133" s="1877"/>
      <c r="G133" s="149"/>
    </row>
    <row r="134" spans="1:7" customFormat="1" ht="13.75" customHeight="1">
      <c r="A134" s="132"/>
      <c r="B134" s="676"/>
      <c r="C134" s="10"/>
      <c r="D134" s="1877"/>
      <c r="E134" s="1877"/>
      <c r="F134" s="1877"/>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76" t="s">
        <v>1372</v>
      </c>
      <c r="E136" s="1876"/>
      <c r="F136" s="1876"/>
      <c r="G136" s="149"/>
    </row>
    <row r="137" spans="1:7" s="717" customFormat="1" ht="13.75" customHeight="1">
      <c r="A137" s="705"/>
      <c r="B137" s="705"/>
      <c r="C137" s="10"/>
      <c r="D137" s="1876"/>
      <c r="E137" s="1876"/>
      <c r="F137" s="1876"/>
      <c r="G137" s="149"/>
    </row>
    <row r="138" spans="1:7" s="717" customFormat="1" ht="13.75" customHeight="1">
      <c r="A138" s="705"/>
      <c r="B138" s="705"/>
      <c r="C138" s="10"/>
      <c r="D138" s="1876"/>
      <c r="E138" s="1876"/>
      <c r="F138" s="1876"/>
      <c r="G138" s="149"/>
    </row>
    <row r="139" spans="1:7" s="717" customFormat="1" ht="13.75" customHeight="1">
      <c r="A139" s="705"/>
      <c r="B139" s="705"/>
      <c r="C139" s="10"/>
      <c r="D139" s="1876"/>
      <c r="E139" s="1876"/>
      <c r="F139" s="1876"/>
      <c r="G139" s="149"/>
    </row>
    <row r="140" spans="1:7" s="717" customFormat="1" ht="13.75" customHeight="1">
      <c r="A140" s="705"/>
      <c r="B140" s="705"/>
      <c r="C140" s="10"/>
      <c r="D140" s="1876"/>
      <c r="E140" s="1876"/>
      <c r="F140" s="1876"/>
      <c r="G140" s="149"/>
    </row>
    <row r="141" spans="1:7" s="717" customFormat="1" ht="13.75" customHeight="1">
      <c r="A141" s="705"/>
      <c r="B141" s="705"/>
      <c r="C141" s="10"/>
      <c r="D141" s="1876"/>
      <c r="E141" s="1876"/>
      <c r="F141" s="1876"/>
      <c r="G141" s="149"/>
    </row>
    <row r="142" spans="1:7" s="717" customFormat="1" ht="13.75" customHeight="1">
      <c r="A142" s="705"/>
      <c r="B142" s="705"/>
      <c r="C142" s="10"/>
      <c r="D142" s="1876"/>
      <c r="E142" s="1876"/>
      <c r="F142" s="1876"/>
      <c r="G142" s="149"/>
    </row>
    <row r="143" spans="1:7" s="717" customFormat="1" ht="13.75" customHeight="1">
      <c r="A143" s="705"/>
      <c r="B143" s="705"/>
      <c r="C143" s="10"/>
      <c r="D143" s="1876"/>
      <c r="E143" s="1876"/>
      <c r="F143" s="1876"/>
      <c r="G143" s="149"/>
    </row>
    <row r="144" spans="1:7" s="717" customFormat="1" ht="13.75" customHeight="1">
      <c r="A144" s="705"/>
      <c r="B144" s="705"/>
      <c r="C144" s="10"/>
      <c r="D144" s="1876"/>
      <c r="E144" s="1876"/>
      <c r="F144" s="1876"/>
      <c r="G144" s="149"/>
    </row>
    <row r="145" spans="1:7" s="717" customFormat="1" ht="13.75" customHeight="1">
      <c r="A145" s="705"/>
      <c r="B145" s="705"/>
      <c r="C145" s="10"/>
      <c r="D145" s="1876"/>
      <c r="E145" s="1876"/>
      <c r="F145" s="1876"/>
      <c r="G145" s="149"/>
    </row>
    <row r="146" spans="1:7" s="717" customFormat="1" ht="13.75" customHeight="1">
      <c r="A146" s="747"/>
      <c r="B146" s="747"/>
      <c r="C146" s="10"/>
      <c r="D146" s="1876"/>
      <c r="E146" s="1876"/>
      <c r="F146" s="1876"/>
      <c r="G146" s="149"/>
    </row>
    <row r="147" spans="1:7" s="717" customFormat="1" ht="13.75" customHeight="1">
      <c r="A147" s="747"/>
      <c r="B147" s="747"/>
      <c r="C147" s="10"/>
      <c r="D147" s="1876"/>
      <c r="E147" s="1876"/>
      <c r="F147" s="1876"/>
      <c r="G147" s="149"/>
    </row>
    <row r="148" spans="1:7" s="717" customFormat="1" ht="13.75" customHeight="1">
      <c r="A148" s="705"/>
      <c r="B148" s="705"/>
      <c r="C148" s="10"/>
      <c r="D148" s="1876"/>
      <c r="E148" s="1876"/>
      <c r="F148" s="1876"/>
      <c r="G148" s="149"/>
    </row>
    <row r="149" spans="1:7" s="717" customFormat="1" ht="13.75" customHeight="1">
      <c r="A149" s="705"/>
      <c r="B149" s="705"/>
      <c r="C149" s="10"/>
      <c r="D149" s="1876"/>
      <c r="E149" s="1876"/>
      <c r="F149" s="1876"/>
      <c r="G149" s="149"/>
    </row>
    <row r="150" spans="1:7" s="717" customFormat="1" ht="13.75" customHeight="1">
      <c r="A150" s="705"/>
      <c r="B150" s="705"/>
      <c r="C150" s="10"/>
      <c r="D150" s="1876"/>
      <c r="E150" s="1876"/>
      <c r="F150" s="1876"/>
      <c r="G150" s="149"/>
    </row>
    <row r="151" spans="1:7" s="717" customFormat="1" ht="13.75" customHeight="1">
      <c r="A151" s="705"/>
      <c r="B151" s="705"/>
      <c r="C151" s="10"/>
      <c r="D151" s="1876"/>
      <c r="E151" s="1876"/>
      <c r="F151" s="1876"/>
      <c r="G151" s="149"/>
    </row>
    <row r="152" spans="1:7" s="717" customFormat="1" ht="13.75" customHeight="1">
      <c r="A152" s="705"/>
      <c r="B152" s="705"/>
      <c r="C152" s="10"/>
      <c r="D152" s="1876"/>
      <c r="E152" s="1876"/>
      <c r="F152" s="1876"/>
      <c r="G152" s="149"/>
    </row>
    <row r="153" spans="1:7" s="717" customFormat="1" ht="13.75" customHeight="1">
      <c r="A153" s="705"/>
      <c r="B153" s="705"/>
      <c r="C153" s="10"/>
      <c r="D153" s="1876"/>
      <c r="E153" s="1876"/>
      <c r="F153" s="1876"/>
      <c r="G153" s="149"/>
    </row>
    <row r="154" spans="1:7" s="717" customFormat="1" ht="13.75" customHeight="1">
      <c r="A154" s="705"/>
      <c r="B154" s="705"/>
      <c r="C154" s="10"/>
      <c r="D154" s="1876"/>
      <c r="E154" s="1876"/>
      <c r="F154" s="1876"/>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88" t="s">
        <v>1265</v>
      </c>
      <c r="E156" s="1888"/>
      <c r="F156" s="1888"/>
      <c r="G156" s="444"/>
    </row>
    <row r="157" spans="1:7" customFormat="1" ht="13.75" customHeight="1">
      <c r="A157" s="378"/>
      <c r="B157" s="378"/>
      <c r="C157" s="325"/>
      <c r="D157" s="1888"/>
      <c r="E157" s="1888"/>
      <c r="F157" s="1888"/>
      <c r="G157" s="444"/>
    </row>
    <row r="158" spans="1:7" customFormat="1" ht="13.75" customHeight="1">
      <c r="A158" s="378"/>
      <c r="B158" s="378"/>
      <c r="C158" s="325"/>
      <c r="D158" s="327"/>
      <c r="E158" s="325"/>
      <c r="F158" s="325"/>
      <c r="G158" s="444"/>
    </row>
    <row r="159" spans="1:7" customFormat="1" ht="13.75" customHeight="1">
      <c r="A159" s="378"/>
      <c r="B159" s="679" t="s">
        <v>316</v>
      </c>
      <c r="C159" s="325"/>
      <c r="D159" s="1884" t="s">
        <v>1266</v>
      </c>
      <c r="E159" s="1884"/>
      <c r="F159" s="1884"/>
      <c r="G159" s="444"/>
    </row>
    <row r="160" spans="1:7" customFormat="1" ht="13.75" customHeight="1">
      <c r="A160" s="378"/>
      <c r="B160" s="378"/>
      <c r="C160" s="325"/>
      <c r="D160" s="1884"/>
      <c r="E160" s="1884"/>
      <c r="F160" s="1884"/>
      <c r="G160" s="444"/>
    </row>
    <row r="161" spans="1:7" customFormat="1" ht="13.75" customHeight="1">
      <c r="A161" s="378"/>
      <c r="B161" s="378"/>
      <c r="C161" s="325"/>
      <c r="D161" s="1884"/>
      <c r="E161" s="1884"/>
      <c r="F161" s="1884"/>
      <c r="G161" s="444"/>
    </row>
    <row r="162" spans="1:7" customFormat="1" ht="13.75" customHeight="1">
      <c r="A162" s="378"/>
      <c r="B162" s="378"/>
      <c r="C162" s="325"/>
      <c r="D162" s="1884"/>
      <c r="E162" s="1884"/>
      <c r="F162" s="1884"/>
      <c r="G162" s="444"/>
    </row>
    <row r="163" spans="1:7" customFormat="1" ht="13.75" customHeight="1">
      <c r="A163" s="132"/>
      <c r="B163" s="676"/>
      <c r="C163" s="10"/>
      <c r="D163" s="151"/>
      <c r="E163" s="151"/>
      <c r="F163" s="151"/>
      <c r="G163" s="149"/>
    </row>
    <row r="164" spans="1:7" customFormat="1" ht="13.75" customHeight="1">
      <c r="A164" s="132"/>
      <c r="B164" s="679" t="s">
        <v>316</v>
      </c>
      <c r="C164" s="10"/>
      <c r="D164" s="1919" t="s">
        <v>1267</v>
      </c>
      <c r="E164" s="1919"/>
      <c r="F164" s="1919"/>
      <c r="G164" s="149"/>
    </row>
    <row r="165" spans="1:7" customFormat="1" ht="13.75" customHeight="1">
      <c r="A165" s="132"/>
      <c r="B165" s="676"/>
      <c r="C165" s="10"/>
      <c r="D165" s="1919"/>
      <c r="E165" s="1919"/>
      <c r="F165" s="1919"/>
      <c r="G165" s="149"/>
    </row>
    <row r="166" spans="1:7" customFormat="1" ht="13.75" customHeight="1">
      <c r="A166" s="132"/>
      <c r="B166" s="676"/>
      <c r="C166" s="10"/>
      <c r="D166" s="1919"/>
      <c r="E166" s="1919"/>
      <c r="F166" s="1919"/>
      <c r="G166" s="149"/>
    </row>
    <row r="167" spans="1:7" customFormat="1" ht="13.75" customHeight="1">
      <c r="A167" s="23"/>
      <c r="B167" s="675"/>
      <c r="C167" s="10"/>
      <c r="D167" s="7"/>
      <c r="E167" s="151"/>
      <c r="F167" s="151"/>
      <c r="G167" s="149"/>
    </row>
    <row r="168" spans="1:7" ht="13">
      <c r="A168" s="1896" t="s">
        <v>1161</v>
      </c>
      <c r="B168" s="1896"/>
      <c r="C168" s="1896"/>
      <c r="D168" s="1896"/>
      <c r="E168" s="1896"/>
      <c r="F168" s="1896"/>
      <c r="G168" s="1896"/>
    </row>
    <row r="169" spans="1:7" ht="12" customHeight="1">
      <c r="D169" s="135"/>
      <c r="E169" s="135"/>
      <c r="F169" s="135"/>
    </row>
    <row r="170" spans="1:7">
      <c r="B170" s="1924" t="s">
        <v>470</v>
      </c>
      <c r="C170" s="1924"/>
      <c r="D170" s="1924"/>
      <c r="E170" s="1924"/>
      <c r="F170" s="1924"/>
    </row>
    <row r="171" spans="1:7" ht="12" customHeight="1">
      <c r="A171" s="255"/>
      <c r="B171" s="673"/>
      <c r="C171" s="255"/>
    </row>
    <row r="172" spans="1:7" ht="13">
      <c r="A172" s="1896" t="s">
        <v>1162</v>
      </c>
      <c r="B172" s="1896"/>
      <c r="C172" s="1896"/>
      <c r="D172" s="1896"/>
      <c r="E172" s="1896"/>
      <c r="F172" s="1896"/>
      <c r="G172" s="1896"/>
    </row>
    <row r="173" spans="1:7" ht="12" customHeight="1">
      <c r="A173" s="264"/>
      <c r="B173" s="264"/>
      <c r="C173" s="265"/>
      <c r="D173" s="57"/>
      <c r="E173" s="49"/>
      <c r="F173" s="57"/>
      <c r="G173" s="57"/>
    </row>
    <row r="174" spans="1:7" ht="13.15" customHeight="1">
      <c r="A174" s="264"/>
      <c r="B174" s="264"/>
      <c r="C174" s="265"/>
      <c r="D174" s="1920" t="s">
        <v>1270</v>
      </c>
      <c r="E174" s="1920"/>
      <c r="F174" s="1920"/>
      <c r="G174" s="57"/>
    </row>
    <row r="175" spans="1:7" ht="13">
      <c r="A175" s="264"/>
      <c r="B175" s="264"/>
      <c r="C175" s="265"/>
      <c r="D175" s="1920"/>
      <c r="E175" s="1920"/>
      <c r="F175" s="1920"/>
      <c r="G175" s="57"/>
    </row>
    <row r="176" spans="1:7" s="719" customFormat="1" ht="13">
      <c r="A176" s="721"/>
      <c r="B176" s="721"/>
      <c r="C176" s="265"/>
      <c r="D176" s="1921" t="s">
        <v>1271</v>
      </c>
      <c r="E176" s="1921"/>
      <c r="F176" s="1921"/>
      <c r="G176" s="57"/>
    </row>
    <row r="177" spans="1:7" ht="12" customHeight="1">
      <c r="A177" s="264"/>
      <c r="B177" s="264"/>
      <c r="C177" s="265"/>
      <c r="D177" s="57"/>
      <c r="E177" s="49"/>
      <c r="F177" s="57"/>
      <c r="G177" s="57"/>
    </row>
    <row r="178" spans="1:7" ht="13">
      <c r="A178" s="261"/>
      <c r="B178" s="679" t="s">
        <v>316</v>
      </c>
      <c r="C178" s="265"/>
      <c r="D178" s="1914" t="s">
        <v>1269</v>
      </c>
      <c r="E178" s="1914"/>
      <c r="F178" s="1914"/>
      <c r="G178" s="57"/>
    </row>
    <row r="179" spans="1:7" ht="13">
      <c r="A179" s="261"/>
      <c r="B179" s="261"/>
      <c r="C179" s="265"/>
      <c r="D179" s="1914"/>
      <c r="E179" s="1914"/>
      <c r="F179" s="1914"/>
      <c r="G179" s="57"/>
    </row>
    <row r="180" spans="1:7" ht="13">
      <c r="A180" s="261"/>
      <c r="B180" s="261"/>
      <c r="C180" s="265"/>
      <c r="D180" s="1914"/>
      <c r="E180" s="1914"/>
      <c r="F180" s="1914"/>
      <c r="G180" s="57"/>
    </row>
    <row r="181" spans="1:7">
      <c r="A181" s="265"/>
      <c r="B181" s="265"/>
      <c r="C181" s="265"/>
      <c r="D181" s="1914"/>
      <c r="E181" s="1914"/>
      <c r="F181" s="1914"/>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3">
      <c r="A186" s="261"/>
      <c r="B186" s="679" t="s">
        <v>316</v>
      </c>
      <c r="C186" s="557"/>
      <c r="D186" s="1876" t="s">
        <v>1268</v>
      </c>
      <c r="E186" s="1876"/>
      <c r="F186" s="1876"/>
      <c r="G186" s="678"/>
    </row>
    <row r="187" spans="1:7" s="677" customFormat="1" ht="14.5" customHeight="1">
      <c r="A187" s="261"/>
      <c r="C187" s="557"/>
      <c r="D187" s="1876"/>
      <c r="E187" s="1876"/>
      <c r="F187" s="1876"/>
      <c r="G187" s="678"/>
    </row>
    <row r="188" spans="1:7" s="677" customFormat="1" ht="13">
      <c r="A188" s="261"/>
      <c r="B188" s="697"/>
      <c r="C188" s="557"/>
      <c r="D188" s="1876"/>
      <c r="E188" s="1876"/>
      <c r="F188" s="1876"/>
      <c r="G188" s="678"/>
    </row>
    <row r="189" spans="1:7" s="677" customFormat="1" ht="13">
      <c r="A189" s="261"/>
      <c r="B189" s="697"/>
      <c r="C189" s="557"/>
      <c r="D189" s="1876"/>
      <c r="E189" s="1876"/>
      <c r="F189" s="1876"/>
      <c r="G189" s="678"/>
    </row>
    <row r="190" spans="1:7" s="682" customFormat="1">
      <c r="A190" s="265"/>
      <c r="B190" s="265"/>
      <c r="C190" s="265"/>
      <c r="D190" s="696"/>
      <c r="E190" s="696"/>
      <c r="F190" s="696"/>
      <c r="G190" s="7"/>
    </row>
    <row r="191" spans="1:7" ht="13">
      <c r="A191" s="1896" t="s">
        <v>1163</v>
      </c>
      <c r="B191" s="1896"/>
      <c r="C191" s="1896"/>
      <c r="D191" s="1896"/>
      <c r="E191" s="1896"/>
      <c r="F191" s="1896"/>
      <c r="G191" s="1896"/>
    </row>
    <row r="192" spans="1:7" ht="12" customHeight="1">
      <c r="D192" s="135"/>
      <c r="E192" s="135"/>
      <c r="F192" s="135"/>
    </row>
    <row r="193" spans="1:6" ht="13">
      <c r="C193" s="262"/>
      <c r="D193" s="1922" t="s">
        <v>214</v>
      </c>
      <c r="E193" s="1922"/>
      <c r="F193" s="1922"/>
    </row>
    <row r="194" spans="1:6" ht="13">
      <c r="A194" s="255"/>
      <c r="B194" s="673"/>
      <c r="C194" s="255"/>
      <c r="D194" s="1891" t="s">
        <v>1292</v>
      </c>
      <c r="E194" s="1901"/>
      <c r="F194" s="1901"/>
    </row>
    <row r="195" spans="1:6" ht="12" customHeight="1">
      <c r="A195" s="23"/>
      <c r="B195" s="675"/>
      <c r="C195" s="23"/>
    </row>
    <row r="196" spans="1:6" ht="13.15" customHeight="1">
      <c r="A196" s="23"/>
      <c r="C196" s="23"/>
      <c r="D196" s="1899" t="s">
        <v>579</v>
      </c>
      <c r="E196" s="1899"/>
      <c r="F196" s="1899"/>
    </row>
    <row r="197" spans="1:6" ht="13">
      <c r="A197" s="261"/>
      <c r="B197" s="679" t="s">
        <v>316</v>
      </c>
      <c r="D197" s="1876" t="s">
        <v>1286</v>
      </c>
      <c r="E197" s="1876"/>
      <c r="F197" s="1876"/>
    </row>
    <row r="198" spans="1:6" ht="13">
      <c r="A198" s="261"/>
      <c r="B198" s="261"/>
      <c r="D198" s="1876"/>
      <c r="E198" s="1876"/>
      <c r="F198" s="1876"/>
    </row>
    <row r="199" spans="1:6"/>
    <row r="200" spans="1:6" ht="13">
      <c r="A200" s="261"/>
      <c r="B200" s="679" t="s">
        <v>316</v>
      </c>
      <c r="D200" s="1876" t="s">
        <v>1287</v>
      </c>
      <c r="E200" s="1876"/>
      <c r="F200" s="1876"/>
    </row>
    <row r="201" spans="1:6" ht="13">
      <c r="A201" s="261"/>
      <c r="B201" s="261"/>
      <c r="D201" s="1876"/>
      <c r="E201" s="1876"/>
      <c r="F201" s="1876"/>
    </row>
    <row r="202" spans="1:6" ht="13">
      <c r="A202" s="261"/>
      <c r="B202" s="261"/>
      <c r="D202" s="1876"/>
      <c r="E202" s="1876"/>
      <c r="F202" s="1876"/>
    </row>
    <row r="203" spans="1:6" ht="5.15" customHeight="1">
      <c r="A203" s="261"/>
      <c r="B203" s="261"/>
      <c r="D203" s="151"/>
      <c r="E203" s="135"/>
      <c r="F203" s="135"/>
    </row>
    <row r="204" spans="1:6" ht="13">
      <c r="A204" s="261"/>
      <c r="B204" s="261"/>
      <c r="D204" s="1876" t="s">
        <v>1288</v>
      </c>
      <c r="E204" s="1876"/>
      <c r="F204" s="1876"/>
    </row>
    <row r="205" spans="1:6" ht="13">
      <c r="A205" s="261"/>
      <c r="B205" s="261"/>
      <c r="D205" s="1876"/>
      <c r="E205" s="1876"/>
      <c r="F205" s="1876"/>
    </row>
    <row r="206" spans="1:6" ht="13">
      <c r="A206" s="261"/>
      <c r="B206" s="261"/>
      <c r="D206" s="1876"/>
      <c r="E206" s="1876"/>
      <c r="F206" s="1876"/>
    </row>
    <row r="207" spans="1:6" ht="13">
      <c r="A207" s="261"/>
      <c r="B207" s="261"/>
      <c r="D207" s="1876"/>
      <c r="E207" s="1876"/>
      <c r="F207" s="1876"/>
    </row>
    <row r="208" spans="1:6" ht="13">
      <c r="A208" s="261"/>
      <c r="B208" s="261"/>
      <c r="D208" s="1876"/>
      <c r="E208" s="1876"/>
      <c r="F208" s="1876"/>
    </row>
    <row r="209" spans="1:7" ht="13">
      <c r="A209" s="261"/>
      <c r="B209" s="261"/>
      <c r="D209" s="135"/>
      <c r="E209" s="135"/>
      <c r="F209" s="135"/>
    </row>
    <row r="210" spans="1:7" ht="13">
      <c r="A210" s="261"/>
      <c r="B210" s="679" t="s">
        <v>316</v>
      </c>
      <c r="D210" s="1890" t="s">
        <v>1289</v>
      </c>
      <c r="E210" s="1890"/>
      <c r="F210" s="1890"/>
    </row>
    <row r="211" spans="1:7" ht="13">
      <c r="A211" s="261"/>
      <c r="B211" s="261"/>
      <c r="D211" s="1890"/>
      <c r="E211" s="1890"/>
      <c r="F211" s="1890"/>
    </row>
    <row r="212" spans="1:7" ht="13">
      <c r="A212" s="261"/>
      <c r="B212" s="261"/>
      <c r="D212" s="1924" t="s">
        <v>963</v>
      </c>
      <c r="E212" s="1924"/>
      <c r="F212" s="1924"/>
    </row>
    <row r="213" spans="1:7" ht="13">
      <c r="A213" s="261"/>
      <c r="B213" s="261"/>
      <c r="D213" s="135"/>
      <c r="E213" s="135"/>
      <c r="F213" s="135"/>
    </row>
    <row r="214" spans="1:7" ht="14.5" customHeight="1">
      <c r="A214" s="261"/>
      <c r="B214" s="679" t="s">
        <v>316</v>
      </c>
      <c r="D214" s="1890" t="s">
        <v>1291</v>
      </c>
      <c r="E214" s="1890"/>
      <c r="F214" s="1890"/>
    </row>
    <row r="215" spans="1:7" ht="13">
      <c r="A215" s="261"/>
      <c r="B215" s="261"/>
      <c r="D215" s="1890"/>
      <c r="E215" s="1890"/>
      <c r="F215" s="1890"/>
    </row>
    <row r="216" spans="1:7" ht="13">
      <c r="A216" s="261"/>
      <c r="B216" s="261"/>
      <c r="D216" s="1890"/>
      <c r="E216" s="1890"/>
      <c r="F216" s="1890"/>
    </row>
    <row r="217" spans="1:7" ht="13">
      <c r="A217" s="261"/>
      <c r="B217" s="261"/>
      <c r="D217" s="1890"/>
      <c r="E217" s="1890"/>
      <c r="F217" s="1890"/>
    </row>
    <row r="218" spans="1:7" ht="13">
      <c r="A218" s="261"/>
      <c r="B218" s="261"/>
      <c r="D218" s="1890"/>
      <c r="E218" s="1890"/>
      <c r="F218" s="1890"/>
    </row>
    <row r="219" spans="1:7">
      <c r="D219" s="135"/>
      <c r="E219" s="135"/>
      <c r="F219" s="135"/>
    </row>
    <row r="220" spans="1:7" ht="13">
      <c r="A220" s="261"/>
      <c r="B220" s="679" t="s">
        <v>316</v>
      </c>
      <c r="D220" s="1876" t="s">
        <v>1290</v>
      </c>
      <c r="E220" s="1876"/>
      <c r="F220" s="1876"/>
    </row>
    <row r="221" spans="1:7" ht="13">
      <c r="A221" s="261"/>
      <c r="B221" s="261"/>
      <c r="D221" s="1876"/>
      <c r="E221" s="1876"/>
      <c r="F221" s="1876"/>
    </row>
    <row r="222" spans="1:7">
      <c r="D222" s="29"/>
    </row>
    <row r="223" spans="1:7" ht="13">
      <c r="A223" s="1896" t="s">
        <v>1164</v>
      </c>
      <c r="B223" s="1896"/>
      <c r="C223" s="1896"/>
      <c r="D223" s="1896"/>
      <c r="E223" s="1896"/>
      <c r="F223" s="1896"/>
      <c r="G223" s="1896"/>
    </row>
    <row r="224" spans="1:7">
      <c r="D224" s="29"/>
    </row>
    <row r="225" spans="1:6" ht="13">
      <c r="C225" s="262"/>
      <c r="D225" s="1899" t="s">
        <v>1293</v>
      </c>
      <c r="E225" s="1899"/>
      <c r="F225" s="1899"/>
    </row>
    <row r="226" spans="1:6" ht="13">
      <c r="A226" s="255"/>
      <c r="B226" s="673"/>
      <c r="C226" s="255"/>
      <c r="D226" s="135"/>
      <c r="E226" s="135"/>
      <c r="F226" s="135"/>
    </row>
    <row r="227" spans="1:6" ht="13">
      <c r="A227" s="260"/>
      <c r="B227" s="260"/>
      <c r="C227" s="260"/>
      <c r="D227" s="1899" t="s">
        <v>275</v>
      </c>
      <c r="E227" s="1899"/>
      <c r="F227" s="1899"/>
    </row>
    <row r="228" spans="1:6" ht="13">
      <c r="A228" s="261"/>
      <c r="B228" s="679" t="s">
        <v>316</v>
      </c>
      <c r="D228" s="1900" t="s">
        <v>1294</v>
      </c>
      <c r="E228" s="1900"/>
      <c r="F228" s="1900"/>
    </row>
    <row r="229" spans="1:6" ht="13">
      <c r="A229" s="261"/>
      <c r="B229" s="261"/>
      <c r="D229" s="1900"/>
      <c r="E229" s="1900"/>
      <c r="F229" s="1900"/>
    </row>
    <row r="230" spans="1:6">
      <c r="D230" s="135"/>
      <c r="E230" s="135"/>
      <c r="F230" s="135"/>
    </row>
    <row r="231" spans="1:6" ht="14.5" customHeight="1">
      <c r="A231" s="261"/>
      <c r="B231" s="679" t="s">
        <v>316</v>
      </c>
      <c r="D231" s="1890" t="s">
        <v>1295</v>
      </c>
      <c r="E231" s="1890"/>
      <c r="F231" s="1890"/>
    </row>
    <row r="232" spans="1:6">
      <c r="D232" s="1890"/>
      <c r="E232" s="1890"/>
      <c r="F232" s="1890"/>
    </row>
    <row r="233" spans="1:6" ht="13">
      <c r="D233" s="1901" t="s">
        <v>954</v>
      </c>
      <c r="E233" s="1901"/>
      <c r="F233" s="1901"/>
    </row>
    <row r="234" spans="1:6">
      <c r="D234" s="135"/>
      <c r="E234" s="135"/>
      <c r="F234" s="135"/>
    </row>
    <row r="235" spans="1:6" ht="14.5" customHeight="1">
      <c r="A235" s="261"/>
      <c r="B235" s="679" t="s">
        <v>316</v>
      </c>
      <c r="D235" s="1890" t="s">
        <v>1297</v>
      </c>
      <c r="E235" s="1890"/>
      <c r="F235" s="1890"/>
    </row>
    <row r="236" spans="1:6">
      <c r="D236" s="1890"/>
      <c r="E236" s="1890"/>
      <c r="F236" s="1890"/>
    </row>
    <row r="237" spans="1:6">
      <c r="D237" s="1890"/>
      <c r="E237" s="1890"/>
      <c r="F237" s="1890"/>
    </row>
    <row r="238" spans="1:6">
      <c r="D238" s="1890"/>
      <c r="E238" s="1890"/>
      <c r="F238" s="1890"/>
    </row>
    <row r="239" spans="1:6">
      <c r="D239" s="1890"/>
      <c r="E239" s="1890"/>
      <c r="F239" s="1890"/>
    </row>
    <row r="240" spans="1:6">
      <c r="D240" s="135"/>
      <c r="E240" s="135"/>
      <c r="F240" s="135"/>
    </row>
    <row r="241" spans="1:7" ht="13">
      <c r="A241" s="261"/>
      <c r="B241" s="679" t="s">
        <v>316</v>
      </c>
      <c r="D241" s="1876" t="s">
        <v>1296</v>
      </c>
      <c r="E241" s="1876"/>
      <c r="F241" s="1876"/>
    </row>
    <row r="242" spans="1:7">
      <c r="D242" s="1876"/>
      <c r="E242" s="1876"/>
      <c r="F242" s="1876"/>
    </row>
    <row r="243" spans="1:7">
      <c r="D243" s="1876"/>
      <c r="E243" s="1876"/>
      <c r="F243" s="1876"/>
    </row>
    <row r="244" spans="1:7">
      <c r="D244" s="263"/>
      <c r="E244" s="135"/>
      <c r="F244" s="135"/>
    </row>
    <row r="245" spans="1:7" ht="13">
      <c r="A245" s="1896" t="s">
        <v>1165</v>
      </c>
      <c r="B245" s="1896"/>
      <c r="C245" s="1896"/>
      <c r="D245" s="1896"/>
      <c r="E245" s="1896"/>
      <c r="F245" s="1896"/>
      <c r="G245" s="1896"/>
    </row>
    <row r="246" spans="1:7">
      <c r="D246" s="263"/>
      <c r="E246" s="135"/>
      <c r="F246" s="135"/>
    </row>
    <row r="247" spans="1:7" ht="13">
      <c r="C247" s="255"/>
      <c r="D247" s="1925" t="s">
        <v>1298</v>
      </c>
      <c r="E247" s="1925"/>
      <c r="F247" s="1925"/>
    </row>
    <row r="248" spans="1:7" ht="13">
      <c r="C248" s="255"/>
      <c r="D248" s="1925"/>
      <c r="E248" s="1925"/>
      <c r="F248" s="1925"/>
    </row>
    <row r="249" spans="1:7" ht="13">
      <c r="A249" s="260"/>
      <c r="B249" s="260"/>
      <c r="C249" s="260"/>
      <c r="D249" s="5"/>
      <c r="E249" s="6"/>
      <c r="F249" s="6"/>
    </row>
    <row r="250" spans="1:7" ht="13">
      <c r="C250" s="260"/>
      <c r="D250" s="1899" t="s">
        <v>215</v>
      </c>
      <c r="E250" s="1899"/>
      <c r="F250" s="1899"/>
    </row>
    <row r="251" spans="1:7" ht="15.75" customHeight="1">
      <c r="A251" s="261"/>
      <c r="B251" s="261"/>
      <c r="D251" s="1907" t="s">
        <v>1299</v>
      </c>
      <c r="E251" s="1907"/>
      <c r="F251" s="1907"/>
    </row>
    <row r="252" spans="1:7">
      <c r="E252" s="135"/>
      <c r="F252" s="135"/>
    </row>
    <row r="253" spans="1:7" ht="13">
      <c r="A253" s="261"/>
      <c r="B253" s="679" t="s">
        <v>316</v>
      </c>
      <c r="D253" s="1876" t="s">
        <v>1300</v>
      </c>
      <c r="E253" s="1876"/>
      <c r="F253" s="1876"/>
    </row>
    <row r="254" spans="1:7" ht="13">
      <c r="A254" s="261"/>
      <c r="B254" s="261"/>
      <c r="D254" s="1876"/>
      <c r="E254" s="1876"/>
      <c r="F254" s="1876"/>
    </row>
    <row r="255" spans="1:7">
      <c r="D255" s="135"/>
      <c r="E255" s="135"/>
      <c r="F255" s="135"/>
    </row>
    <row r="256" spans="1:7" ht="13">
      <c r="A256" s="261"/>
      <c r="B256" s="679" t="s">
        <v>316</v>
      </c>
      <c r="D256" s="1890" t="s">
        <v>1301</v>
      </c>
      <c r="E256" s="1890"/>
      <c r="F256" s="1890"/>
    </row>
    <row r="257" spans="1:7" ht="13">
      <c r="A257" s="261"/>
      <c r="B257" s="261"/>
      <c r="D257" s="1890"/>
      <c r="E257" s="1890"/>
      <c r="F257" s="1890"/>
    </row>
    <row r="258" spans="1:7" ht="13">
      <c r="A258" s="261"/>
      <c r="B258" s="261"/>
      <c r="D258" s="1890"/>
      <c r="E258" s="1890"/>
      <c r="F258" s="1890"/>
    </row>
    <row r="259" spans="1:7">
      <c r="D259" s="135"/>
      <c r="E259" s="135"/>
      <c r="F259" s="135"/>
    </row>
    <row r="260" spans="1:7" ht="13">
      <c r="A260" s="261"/>
      <c r="B260" s="679" t="s">
        <v>316</v>
      </c>
      <c r="D260" s="1876" t="s">
        <v>1302</v>
      </c>
      <c r="E260" s="1876"/>
      <c r="F260" s="1876"/>
    </row>
    <row r="261" spans="1:7" ht="13">
      <c r="A261" s="261"/>
      <c r="B261" s="261"/>
      <c r="D261" s="1876"/>
      <c r="E261" s="1876"/>
      <c r="F261" s="1876"/>
    </row>
    <row r="262" spans="1:7" ht="13">
      <c r="A262" s="23"/>
      <c r="B262" s="675"/>
      <c r="E262" s="135"/>
      <c r="F262" s="135"/>
    </row>
    <row r="263" spans="1:7" ht="13">
      <c r="A263" s="1896" t="s">
        <v>1166</v>
      </c>
      <c r="B263" s="1896"/>
      <c r="C263" s="1896"/>
      <c r="D263" s="1896"/>
      <c r="E263" s="1896"/>
      <c r="F263" s="1896"/>
      <c r="G263" s="1896"/>
    </row>
    <row r="264" spans="1:7" ht="13">
      <c r="A264" s="23"/>
      <c r="B264" s="675"/>
      <c r="D264" s="135"/>
      <c r="E264" s="135"/>
      <c r="F264" s="135"/>
    </row>
    <row r="265" spans="1:7" ht="13">
      <c r="C265" s="23"/>
      <c r="D265" s="1899" t="s">
        <v>719</v>
      </c>
      <c r="E265" s="1899"/>
      <c r="F265" s="1899"/>
    </row>
    <row r="266" spans="1:7" ht="13">
      <c r="C266" s="23"/>
      <c r="D266" s="1889" t="s">
        <v>1303</v>
      </c>
      <c r="E266" s="1889"/>
      <c r="F266" s="1889"/>
    </row>
    <row r="267" spans="1:7" ht="13">
      <c r="C267" s="23"/>
      <c r="D267" s="259"/>
    </row>
    <row r="268" spans="1:7">
      <c r="A268" s="273"/>
      <c r="B268" s="679" t="s">
        <v>316</v>
      </c>
      <c r="D268" s="1889" t="s">
        <v>1304</v>
      </c>
      <c r="E268" s="1889"/>
      <c r="F268" s="1889"/>
    </row>
    <row r="269" spans="1:7" s="39" customFormat="1" ht="13">
      <c r="A269" s="403"/>
      <c r="B269" s="403"/>
      <c r="C269" s="273"/>
      <c r="D269" s="497"/>
      <c r="E269" s="498"/>
      <c r="F269" s="498"/>
      <c r="G269" s="130"/>
    </row>
    <row r="270" spans="1:7" s="39" customFormat="1" ht="13.15" customHeight="1">
      <c r="A270" s="273"/>
      <c r="B270" s="679" t="s">
        <v>316</v>
      </c>
      <c r="C270" s="273"/>
      <c r="D270" s="1902" t="s">
        <v>1305</v>
      </c>
      <c r="E270" s="1902"/>
      <c r="F270" s="1902"/>
      <c r="G270" s="130"/>
    </row>
    <row r="271" spans="1:7" s="39" customFormat="1" ht="13">
      <c r="A271" s="403"/>
      <c r="B271" s="403"/>
      <c r="C271" s="273"/>
      <c r="D271" s="1902"/>
      <c r="E271" s="1902"/>
      <c r="F271" s="1902"/>
      <c r="G271" s="130"/>
    </row>
    <row r="272" spans="1:7" s="39" customFormat="1" ht="13">
      <c r="A272" s="403"/>
      <c r="B272" s="403"/>
      <c r="C272" s="273"/>
      <c r="D272" s="1902"/>
      <c r="E272" s="1902"/>
      <c r="F272" s="1902"/>
      <c r="G272" s="130"/>
    </row>
    <row r="273" spans="1:7" s="39" customFormat="1" ht="13">
      <c r="A273" s="403"/>
      <c r="B273" s="403"/>
      <c r="C273" s="273"/>
      <c r="D273" s="1902"/>
      <c r="E273" s="1902"/>
      <c r="F273" s="1902"/>
      <c r="G273" s="130"/>
    </row>
    <row r="274" spans="1:7" s="39" customFormat="1" ht="13">
      <c r="A274" s="403"/>
      <c r="B274" s="403"/>
      <c r="C274" s="273"/>
      <c r="D274" s="1902"/>
      <c r="E274" s="1902"/>
      <c r="F274" s="1902"/>
      <c r="G274" s="130"/>
    </row>
    <row r="275" spans="1:7" s="39" customFormat="1" ht="13">
      <c r="A275" s="403"/>
      <c r="B275" s="403"/>
      <c r="C275" s="273"/>
      <c r="D275" s="497"/>
      <c r="E275" s="498"/>
      <c r="F275" s="498"/>
      <c r="G275" s="130"/>
    </row>
    <row r="276" spans="1:7" s="39" customFormat="1" ht="13.15" customHeight="1">
      <c r="A276" s="273"/>
      <c r="B276" s="679" t="s">
        <v>316</v>
      </c>
      <c r="C276" s="273"/>
      <c r="D276" s="1902" t="s">
        <v>1306</v>
      </c>
      <c r="E276" s="1902"/>
      <c r="F276" s="1902"/>
      <c r="G276" s="130"/>
    </row>
    <row r="277" spans="1:7" s="39" customFormat="1">
      <c r="A277" s="273"/>
      <c r="B277" s="273"/>
      <c r="C277" s="273"/>
      <c r="D277" s="1902"/>
      <c r="E277" s="1902"/>
      <c r="F277" s="1902"/>
      <c r="G277" s="130"/>
    </row>
    <row r="278" spans="1:7" s="39" customFormat="1" ht="13">
      <c r="A278" s="403"/>
      <c r="B278" s="403"/>
      <c r="C278" s="273"/>
      <c r="D278" s="497"/>
      <c r="E278" s="498"/>
      <c r="F278" s="498"/>
      <c r="G278" s="130"/>
    </row>
    <row r="279" spans="1:7">
      <c r="A279" s="273"/>
      <c r="B279" s="679" t="s">
        <v>316</v>
      </c>
      <c r="D279" s="1889" t="s">
        <v>1307</v>
      </c>
      <c r="E279" s="1889"/>
      <c r="F279" s="1889"/>
    </row>
    <row r="280" spans="1:7">
      <c r="E280" s="135"/>
      <c r="F280" s="135"/>
    </row>
    <row r="281" spans="1:7" ht="13">
      <c r="A281" s="261"/>
      <c r="B281" s="679" t="s">
        <v>316</v>
      </c>
      <c r="D281" s="1890" t="s">
        <v>1308</v>
      </c>
      <c r="E281" s="1890"/>
      <c r="F281" s="1890"/>
    </row>
    <row r="282" spans="1:7" ht="13">
      <c r="A282" s="261"/>
      <c r="B282" s="261"/>
      <c r="D282" s="1890"/>
      <c r="E282" s="1890"/>
      <c r="F282" s="1890"/>
    </row>
    <row r="283" spans="1:7" s="719" customFormat="1" ht="13">
      <c r="A283" s="714"/>
      <c r="B283" s="714"/>
      <c r="C283" s="731"/>
      <c r="D283" s="1890"/>
      <c r="E283" s="1890"/>
      <c r="F283" s="1890"/>
      <c r="G283" s="7"/>
    </row>
    <row r="284" spans="1:7" s="719" customFormat="1" ht="13">
      <c r="A284" s="714"/>
      <c r="B284" s="714"/>
      <c r="C284" s="731"/>
      <c r="D284" s="1890"/>
      <c r="E284" s="1890"/>
      <c r="F284" s="1890"/>
      <c r="G284" s="7"/>
    </row>
    <row r="285" spans="1:7" s="719" customFormat="1" ht="13">
      <c r="A285" s="714"/>
      <c r="B285" s="714"/>
      <c r="C285" s="731"/>
      <c r="D285" s="1890"/>
      <c r="E285" s="1890"/>
      <c r="F285" s="1890"/>
      <c r="G285" s="7"/>
    </row>
    <row r="286" spans="1:7" s="719" customFormat="1" ht="13">
      <c r="A286" s="714"/>
      <c r="B286" s="714"/>
      <c r="C286" s="731"/>
      <c r="D286" s="1890"/>
      <c r="E286" s="1890"/>
      <c r="F286" s="1890"/>
      <c r="G286" s="7"/>
    </row>
    <row r="287" spans="1:7" s="719" customFormat="1" ht="13">
      <c r="A287" s="714"/>
      <c r="B287" s="714"/>
      <c r="C287" s="731"/>
      <c r="D287" s="1890"/>
      <c r="E287" s="1890"/>
      <c r="F287" s="1890"/>
      <c r="G287" s="7"/>
    </row>
    <row r="288" spans="1:7" s="719" customFormat="1" ht="13">
      <c r="A288" s="714"/>
      <c r="B288" s="714"/>
      <c r="C288" s="731"/>
      <c r="D288" s="1890"/>
      <c r="E288" s="1890"/>
      <c r="F288" s="1890"/>
      <c r="G288" s="7"/>
    </row>
    <row r="289" spans="1:7" s="719" customFormat="1" ht="13">
      <c r="A289" s="714"/>
      <c r="B289" s="714"/>
      <c r="C289" s="731"/>
      <c r="D289" s="1890"/>
      <c r="E289" s="1890"/>
      <c r="F289" s="1890"/>
      <c r="G289" s="7"/>
    </row>
    <row r="290" spans="1:7" s="719" customFormat="1" ht="13">
      <c r="A290" s="714"/>
      <c r="B290" s="714"/>
      <c r="C290" s="731"/>
      <c r="D290" s="1890"/>
      <c r="E290" s="1890"/>
      <c r="F290" s="1890"/>
      <c r="G290" s="7"/>
    </row>
    <row r="291" spans="1:7" s="719" customFormat="1" ht="13">
      <c r="A291" s="714"/>
      <c r="B291" s="714"/>
      <c r="C291" s="731"/>
      <c r="D291" s="1890"/>
      <c r="E291" s="1890"/>
      <c r="F291" s="1890"/>
      <c r="G291" s="7"/>
    </row>
    <row r="292" spans="1:7" s="719" customFormat="1" ht="13">
      <c r="A292" s="714"/>
      <c r="B292" s="714"/>
      <c r="C292" s="731"/>
      <c r="D292" s="1890"/>
      <c r="E292" s="1890"/>
      <c r="F292" s="1890"/>
      <c r="G292" s="7"/>
    </row>
    <row r="293" spans="1:7" ht="13">
      <c r="A293" s="261"/>
      <c r="B293" s="261"/>
      <c r="D293" s="1890"/>
      <c r="E293" s="1890"/>
      <c r="F293" s="1890"/>
    </row>
    <row r="294" spans="1:7" ht="13">
      <c r="A294" s="261"/>
      <c r="B294" s="261"/>
      <c r="D294" s="1890"/>
      <c r="E294" s="1890"/>
      <c r="F294" s="1890"/>
    </row>
    <row r="295" spans="1:7" ht="13">
      <c r="A295" s="261"/>
      <c r="B295" s="261"/>
      <c r="D295" s="1890"/>
      <c r="E295" s="1890"/>
      <c r="F295" s="1890"/>
    </row>
    <row r="296" spans="1:7">
      <c r="D296" s="135"/>
      <c r="E296" s="135"/>
      <c r="F296" s="135"/>
    </row>
    <row r="297" spans="1:7" ht="13">
      <c r="A297" s="261"/>
      <c r="B297" s="679" t="s">
        <v>316</v>
      </c>
      <c r="D297" s="1890" t="s">
        <v>1309</v>
      </c>
      <c r="E297" s="1890"/>
      <c r="F297" s="1890"/>
    </row>
    <row r="298" spans="1:7">
      <c r="D298" s="1890"/>
      <c r="E298" s="1890"/>
      <c r="F298" s="1890"/>
    </row>
    <row r="299" spans="1:7">
      <c r="D299" s="1890"/>
      <c r="E299" s="1890"/>
      <c r="F299" s="1890"/>
    </row>
    <row r="300" spans="1:7">
      <c r="D300" s="1890"/>
      <c r="E300" s="1890"/>
      <c r="F300" s="1890"/>
    </row>
    <row r="301" spans="1:7">
      <c r="D301" s="1890"/>
      <c r="E301" s="1890"/>
      <c r="F301" s="1890"/>
    </row>
    <row r="302" spans="1:7">
      <c r="D302" s="1890"/>
      <c r="E302" s="1890"/>
      <c r="F302" s="1890"/>
    </row>
    <row r="303" spans="1:7">
      <c r="D303" s="1890"/>
      <c r="E303" s="1890"/>
      <c r="F303" s="1890"/>
    </row>
    <row r="304" spans="1:7">
      <c r="D304" s="1890"/>
      <c r="E304" s="1890"/>
      <c r="F304" s="1890"/>
    </row>
    <row r="305" spans="1:7">
      <c r="D305" s="1890"/>
      <c r="E305" s="1890"/>
      <c r="F305" s="1890"/>
    </row>
    <row r="306" spans="1:7">
      <c r="D306" s="135"/>
      <c r="E306" s="135"/>
      <c r="F306" s="135"/>
    </row>
    <row r="307" spans="1:7" ht="13">
      <c r="A307" s="261"/>
      <c r="B307" s="679" t="s">
        <v>316</v>
      </c>
      <c r="D307" s="1876" t="s">
        <v>1310</v>
      </c>
      <c r="E307" s="1876"/>
      <c r="F307" s="1876"/>
    </row>
    <row r="308" spans="1:7">
      <c r="D308" s="1876"/>
      <c r="E308" s="1876"/>
      <c r="F308" s="1876"/>
      <c r="G308" s="12"/>
    </row>
    <row r="309" spans="1:7">
      <c r="D309" s="1876"/>
      <c r="E309" s="1876"/>
      <c r="F309" s="1876"/>
      <c r="G309" s="12"/>
    </row>
    <row r="310" spans="1:7">
      <c r="D310" s="1876"/>
      <c r="E310" s="1876"/>
      <c r="F310" s="1876"/>
      <c r="G310" s="12"/>
    </row>
    <row r="311" spans="1:7">
      <c r="D311" s="1876"/>
      <c r="E311" s="1876"/>
      <c r="F311" s="1876"/>
      <c r="G311" s="12"/>
    </row>
    <row r="312" spans="1:7">
      <c r="D312" s="1876"/>
      <c r="E312" s="1876"/>
      <c r="F312" s="1876"/>
      <c r="G312" s="12"/>
    </row>
    <row r="313" spans="1:7" s="719" customFormat="1">
      <c r="A313" s="731"/>
      <c r="B313" s="731"/>
      <c r="C313" s="731"/>
      <c r="D313" s="728"/>
      <c r="E313" s="728"/>
      <c r="F313" s="728"/>
    </row>
    <row r="314" spans="1:7" ht="13.5" thickBot="1">
      <c r="D314" s="1908" t="s">
        <v>1059</v>
      </c>
      <c r="E314" s="1908"/>
      <c r="F314" s="1908"/>
      <c r="G314" s="12"/>
    </row>
    <row r="315" spans="1:7" s="719" customFormat="1" ht="13" thickTop="1">
      <c r="A315" s="731"/>
      <c r="B315" s="731"/>
      <c r="C315" s="731"/>
      <c r="D315" s="1909" t="s">
        <v>1311</v>
      </c>
      <c r="E315" s="1909"/>
      <c r="F315" s="1909"/>
    </row>
    <row r="316" spans="1:7">
      <c r="A316" s="325"/>
      <c r="B316" s="325"/>
      <c r="C316" s="325"/>
      <c r="D316" s="467"/>
      <c r="E316" s="467"/>
      <c r="F316" s="135"/>
      <c r="G316" s="12"/>
    </row>
    <row r="317" spans="1:7" ht="13">
      <c r="A317" s="261"/>
      <c r="B317" s="679" t="s">
        <v>316</v>
      </c>
      <c r="C317" s="325"/>
      <c r="D317" s="1910" t="s">
        <v>1312</v>
      </c>
      <c r="E317" s="1910"/>
      <c r="F317" s="1910"/>
      <c r="G317" s="12"/>
    </row>
    <row r="318" spans="1:7">
      <c r="A318" s="325"/>
      <c r="B318" s="325"/>
      <c r="C318" s="325"/>
      <c r="D318" s="467"/>
      <c r="E318" s="467"/>
      <c r="F318" s="135"/>
      <c r="G318" s="12"/>
    </row>
    <row r="319" spans="1:7">
      <c r="A319" s="325"/>
      <c r="B319" s="679" t="s">
        <v>316</v>
      </c>
      <c r="C319" s="325"/>
      <c r="D319" s="1905" t="s">
        <v>1313</v>
      </c>
      <c r="E319" s="1905"/>
      <c r="F319" s="1905"/>
      <c r="G319" s="12"/>
    </row>
    <row r="320" spans="1:7">
      <c r="A320" s="325"/>
      <c r="B320" s="325"/>
      <c r="C320" s="325"/>
      <c r="D320" s="1905"/>
      <c r="E320" s="1905"/>
      <c r="F320" s="1905"/>
      <c r="G320" s="12"/>
    </row>
    <row r="321" spans="1:7">
      <c r="A321" s="325"/>
      <c r="B321" s="325"/>
      <c r="C321" s="325"/>
      <c r="D321" s="1905"/>
      <c r="E321" s="1905"/>
      <c r="F321" s="1905"/>
      <c r="G321" s="12"/>
    </row>
    <row r="322" spans="1:7">
      <c r="A322" s="325"/>
      <c r="B322" s="325"/>
      <c r="C322" s="325"/>
      <c r="D322" s="1905"/>
      <c r="E322" s="1905"/>
      <c r="F322" s="1905"/>
      <c r="G322" s="12"/>
    </row>
    <row r="323" spans="1:7" s="719" customFormat="1">
      <c r="A323" s="325"/>
      <c r="B323" s="325"/>
      <c r="C323" s="325"/>
      <c r="D323" s="1905"/>
      <c r="E323" s="1905"/>
      <c r="F323" s="1905"/>
    </row>
    <row r="324" spans="1:7" s="719" customFormat="1">
      <c r="A324" s="325"/>
      <c r="B324" s="325"/>
      <c r="C324" s="325"/>
      <c r="D324" s="1905"/>
      <c r="E324" s="1905"/>
      <c r="F324" s="1905"/>
    </row>
    <row r="325" spans="1:7" s="719" customFormat="1">
      <c r="A325" s="325"/>
      <c r="B325" s="325"/>
      <c r="C325" s="325"/>
      <c r="D325" s="1905"/>
      <c r="E325" s="1905"/>
      <c r="F325" s="1905"/>
    </row>
    <row r="326" spans="1:7" s="719" customFormat="1">
      <c r="A326" s="325"/>
      <c r="B326" s="325"/>
      <c r="C326" s="325"/>
      <c r="D326" s="1905"/>
      <c r="E326" s="1905"/>
      <c r="F326" s="1905"/>
    </row>
    <row r="327" spans="1:7">
      <c r="A327" s="325"/>
      <c r="B327" s="325"/>
      <c r="C327" s="325"/>
      <c r="D327" s="1905"/>
      <c r="E327" s="1905"/>
      <c r="F327" s="1905"/>
      <c r="G327" s="12"/>
    </row>
    <row r="328" spans="1:7">
      <c r="A328" s="325"/>
      <c r="B328" s="325"/>
      <c r="C328" s="325"/>
      <c r="D328" s="1905"/>
      <c r="E328" s="1905"/>
      <c r="F328" s="1905"/>
      <c r="G328" s="12"/>
    </row>
    <row r="329" spans="1:7">
      <c r="A329" s="325"/>
      <c r="B329" s="325"/>
      <c r="C329" s="325"/>
      <c r="D329" s="1905"/>
      <c r="E329" s="1905"/>
      <c r="F329" s="1905"/>
      <c r="G329" s="12"/>
    </row>
    <row r="330" spans="1:7">
      <c r="A330" s="325"/>
      <c r="B330" s="325"/>
      <c r="C330" s="325"/>
      <c r="D330" s="12"/>
      <c r="E330" s="467"/>
      <c r="F330" s="135"/>
      <c r="G330" s="12"/>
    </row>
    <row r="331" spans="1:7" ht="13">
      <c r="A331" s="261"/>
      <c r="B331" s="679" t="s">
        <v>316</v>
      </c>
      <c r="C331" s="325"/>
      <c r="D331" s="1903" t="s">
        <v>1314</v>
      </c>
      <c r="E331" s="1903"/>
      <c r="F331" s="1903"/>
      <c r="G331" s="12"/>
    </row>
    <row r="332" spans="1:7">
      <c r="A332" s="325"/>
      <c r="B332" s="325"/>
      <c r="C332" s="325"/>
      <c r="D332" s="1903"/>
      <c r="E332" s="1903"/>
      <c r="F332" s="1903"/>
      <c r="G332" s="12"/>
    </row>
    <row r="333" spans="1:7">
      <c r="A333" s="325"/>
      <c r="B333" s="325"/>
      <c r="C333" s="325"/>
      <c r="D333" s="1903"/>
      <c r="E333" s="1903"/>
      <c r="F333" s="1903"/>
      <c r="G333" s="12"/>
    </row>
    <row r="334" spans="1:7">
      <c r="A334" s="325"/>
      <c r="B334" s="325"/>
      <c r="C334" s="325"/>
      <c r="D334" s="1903"/>
      <c r="E334" s="1903"/>
      <c r="F334" s="1903"/>
      <c r="G334" s="12"/>
    </row>
    <row r="335" spans="1:7">
      <c r="A335" s="325"/>
      <c r="B335" s="325"/>
      <c r="C335" s="325"/>
      <c r="D335" s="505"/>
      <c r="E335" s="467"/>
      <c r="F335" s="135"/>
      <c r="G335" s="12"/>
    </row>
    <row r="336" spans="1:7">
      <c r="A336" s="325"/>
      <c r="B336" s="325"/>
      <c r="C336" s="325"/>
      <c r="D336" s="1903" t="s">
        <v>1315</v>
      </c>
      <c r="E336" s="1903"/>
      <c r="F336" s="1903"/>
      <c r="G336" s="12"/>
    </row>
    <row r="337" spans="1:7">
      <c r="A337" s="325"/>
      <c r="B337" s="325"/>
      <c r="C337" s="325"/>
      <c r="D337" s="1903"/>
      <c r="E337" s="1903"/>
      <c r="F337" s="1903"/>
      <c r="G337" s="12"/>
    </row>
    <row r="338" spans="1:7">
      <c r="A338" s="325"/>
      <c r="B338" s="325"/>
      <c r="C338" s="325"/>
      <c r="D338" s="1903"/>
      <c r="E338" s="1903"/>
      <c r="F338" s="1903"/>
      <c r="G338" s="12"/>
    </row>
    <row r="339" spans="1:7">
      <c r="A339" s="325"/>
      <c r="B339" s="325"/>
      <c r="C339" s="325"/>
      <c r="D339" s="1903"/>
      <c r="E339" s="1903"/>
      <c r="F339" s="1903"/>
      <c r="G339" s="12"/>
    </row>
    <row r="340" spans="1:7" ht="18" customHeight="1">
      <c r="A340" s="325"/>
      <c r="B340" s="325"/>
      <c r="C340" s="325"/>
      <c r="D340" s="1903"/>
      <c r="E340" s="1903"/>
      <c r="F340" s="1903"/>
      <c r="G340" s="12"/>
    </row>
    <row r="341" spans="1:7">
      <c r="A341" s="325"/>
      <c r="B341" s="325"/>
      <c r="C341" s="325"/>
      <c r="D341" s="1903"/>
      <c r="E341" s="1903"/>
      <c r="F341" s="1903"/>
      <c r="G341" s="12"/>
    </row>
    <row r="342" spans="1:7">
      <c r="A342" s="325"/>
      <c r="B342" s="325"/>
      <c r="C342" s="325"/>
      <c r="D342" s="1903"/>
      <c r="E342" s="1903"/>
      <c r="F342" s="1903"/>
      <c r="G342" s="12"/>
    </row>
    <row r="343" spans="1:7">
      <c r="A343" s="325"/>
      <c r="B343" s="325"/>
      <c r="C343" s="325"/>
      <c r="D343" s="1903"/>
      <c r="E343" s="1903"/>
      <c r="F343" s="1903"/>
      <c r="G343" s="12"/>
    </row>
    <row r="344" spans="1:7" ht="8.25" customHeight="1">
      <c r="A344" s="325"/>
      <c r="B344" s="325"/>
      <c r="C344" s="325"/>
      <c r="D344" s="1903"/>
      <c r="E344" s="1903"/>
      <c r="F344" s="1903"/>
      <c r="G344" s="12"/>
    </row>
    <row r="345" spans="1:7" ht="13.15" customHeight="1">
      <c r="A345" s="325"/>
      <c r="B345" s="325"/>
      <c r="C345" s="325"/>
      <c r="D345" s="1904" t="s">
        <v>1316</v>
      </c>
      <c r="E345" s="1904"/>
      <c r="F345" s="1904"/>
      <c r="G345" s="12"/>
    </row>
    <row r="346" spans="1:7">
      <c r="A346" s="325"/>
      <c r="B346" s="325"/>
      <c r="C346" s="325"/>
      <c r="D346" s="1904"/>
      <c r="E346" s="1904"/>
      <c r="F346" s="1904"/>
      <c r="G346" s="12"/>
    </row>
    <row r="347" spans="1:7">
      <c r="A347" s="325"/>
      <c r="B347" s="325"/>
      <c r="C347" s="325"/>
      <c r="D347" s="1904"/>
      <c r="E347" s="1904"/>
      <c r="F347" s="1904"/>
      <c r="G347" s="12"/>
    </row>
    <row r="348" spans="1:7" s="719" customFormat="1">
      <c r="A348" s="325"/>
      <c r="B348" s="325"/>
      <c r="C348" s="325"/>
      <c r="D348" s="1904"/>
      <c r="E348" s="1904"/>
      <c r="F348" s="1904"/>
    </row>
    <row r="349" spans="1:7" s="719" customFormat="1">
      <c r="A349" s="325"/>
      <c r="B349" s="325"/>
      <c r="C349" s="325"/>
      <c r="D349" s="1904"/>
      <c r="E349" s="1904"/>
      <c r="F349" s="1904"/>
    </row>
    <row r="350" spans="1:7" s="719" customFormat="1">
      <c r="A350" s="325"/>
      <c r="B350" s="325"/>
      <c r="C350" s="325"/>
      <c r="D350" s="1904"/>
      <c r="E350" s="1904"/>
      <c r="F350" s="1904"/>
    </row>
    <row r="351" spans="1:7" s="719" customFormat="1">
      <c r="A351" s="325"/>
      <c r="B351" s="325"/>
      <c r="C351" s="325"/>
      <c r="D351" s="1904"/>
      <c r="E351" s="1904"/>
      <c r="F351" s="1904"/>
    </row>
    <row r="352" spans="1:7" s="719" customFormat="1">
      <c r="A352" s="325"/>
      <c r="B352" s="325"/>
      <c r="C352" s="325"/>
      <c r="D352" s="1904"/>
      <c r="E352" s="1904"/>
      <c r="F352" s="1904"/>
    </row>
    <row r="353" spans="1:7">
      <c r="A353" s="325"/>
      <c r="B353" s="325"/>
      <c r="C353" s="325"/>
      <c r="D353" s="1904"/>
      <c r="E353" s="1904"/>
      <c r="F353" s="1904"/>
      <c r="G353" s="12"/>
    </row>
    <row r="354" spans="1:7">
      <c r="A354" s="325"/>
      <c r="B354" s="325"/>
      <c r="C354" s="325"/>
      <c r="D354" s="1904"/>
      <c r="E354" s="1904"/>
      <c r="F354" s="1904"/>
      <c r="G354" s="12"/>
    </row>
    <row r="355" spans="1:7">
      <c r="A355" s="325"/>
      <c r="B355" s="325"/>
      <c r="C355" s="325"/>
      <c r="D355" s="1904"/>
      <c r="E355" s="1904"/>
      <c r="F355" s="1904"/>
      <c r="G355" s="12"/>
    </row>
    <row r="356" spans="1:7">
      <c r="A356" s="325"/>
      <c r="B356" s="325"/>
      <c r="C356" s="325"/>
      <c r="D356" s="1904"/>
      <c r="E356" s="1904"/>
      <c r="F356" s="1904"/>
      <c r="G356" s="12"/>
    </row>
    <row r="357" spans="1:7">
      <c r="A357" s="325"/>
      <c r="B357" s="325"/>
      <c r="C357" s="507"/>
      <c r="D357" s="1904"/>
      <c r="E357" s="1904"/>
      <c r="F357" s="1904"/>
      <c r="G357" s="12"/>
    </row>
    <row r="358" spans="1:7">
      <c r="A358" s="325"/>
      <c r="B358" s="325"/>
      <c r="C358" s="507"/>
      <c r="D358" s="1904"/>
      <c r="E358" s="1904"/>
      <c r="F358" s="1904"/>
      <c r="G358" s="12"/>
    </row>
    <row r="359" spans="1:7">
      <c r="A359" s="325"/>
      <c r="B359" s="325"/>
      <c r="C359" s="325"/>
      <c r="D359" s="1904"/>
      <c r="E359" s="1904"/>
      <c r="F359" s="1904"/>
      <c r="G359" s="12"/>
    </row>
    <row r="360" spans="1:7">
      <c r="A360" s="325"/>
      <c r="B360" s="325"/>
      <c r="C360" s="507"/>
      <c r="D360" s="1904"/>
      <c r="E360" s="1904"/>
      <c r="F360" s="1904"/>
      <c r="G360" s="12"/>
    </row>
    <row r="361" spans="1:7">
      <c r="A361" s="325"/>
      <c r="B361" s="325"/>
      <c r="C361" s="507"/>
      <c r="D361" s="1904"/>
      <c r="E361" s="1904"/>
      <c r="F361" s="1904"/>
      <c r="G361" s="12"/>
    </row>
    <row r="362" spans="1:7">
      <c r="A362" s="325"/>
      <c r="B362" s="325"/>
      <c r="C362" s="507"/>
      <c r="D362" s="1904"/>
      <c r="E362" s="1904"/>
      <c r="F362" s="1904"/>
      <c r="G362" s="12"/>
    </row>
    <row r="363" spans="1:7">
      <c r="A363" s="325"/>
      <c r="B363" s="325"/>
      <c r="C363" s="325"/>
      <c r="D363" s="505"/>
      <c r="E363" s="467"/>
      <c r="F363" s="135"/>
      <c r="G363" s="12"/>
    </row>
    <row r="364" spans="1:7">
      <c r="A364" s="325"/>
      <c r="B364" s="679" t="s">
        <v>316</v>
      </c>
      <c r="C364" s="325"/>
      <c r="D364" s="1904" t="s">
        <v>1317</v>
      </c>
      <c r="E364" s="1904"/>
      <c r="F364" s="1904"/>
      <c r="G364" s="12"/>
    </row>
    <row r="365" spans="1:7">
      <c r="A365" s="325"/>
      <c r="B365" s="325"/>
      <c r="C365" s="325"/>
      <c r="D365" s="1904"/>
      <c r="E365" s="1904"/>
      <c r="F365" s="1904"/>
      <c r="G365" s="12"/>
    </row>
    <row r="366" spans="1:7">
      <c r="A366" s="325"/>
      <c r="B366" s="325"/>
      <c r="C366" s="325"/>
      <c r="D366" s="467"/>
      <c r="E366" s="467"/>
      <c r="F366" s="135"/>
      <c r="G366" s="12"/>
    </row>
    <row r="367" spans="1:7" ht="13">
      <c r="A367" s="261"/>
      <c r="B367" s="679" t="s">
        <v>316</v>
      </c>
      <c r="C367" s="325"/>
      <c r="D367" s="1905" t="s">
        <v>1318</v>
      </c>
      <c r="E367" s="1905"/>
      <c r="F367" s="1905"/>
      <c r="G367" s="12"/>
    </row>
    <row r="368" spans="1:7" ht="13">
      <c r="A368" s="506"/>
      <c r="B368" s="506"/>
      <c r="C368" s="325"/>
      <c r="D368" s="1905"/>
      <c r="E368" s="1905"/>
      <c r="F368" s="1905"/>
      <c r="G368" s="12"/>
    </row>
    <row r="369" spans="1:7" ht="13">
      <c r="A369" s="506"/>
      <c r="B369" s="506"/>
      <c r="C369" s="325"/>
      <c r="D369" s="1905"/>
      <c r="E369" s="1905"/>
      <c r="F369" s="1905"/>
      <c r="G369" s="12"/>
    </row>
    <row r="370" spans="1:7" ht="13">
      <c r="A370" s="506"/>
      <c r="B370" s="506"/>
      <c r="C370" s="325"/>
      <c r="D370" s="1905"/>
      <c r="E370" s="1905"/>
      <c r="F370" s="1905"/>
      <c r="G370" s="12"/>
    </row>
    <row r="371" spans="1:7" ht="13">
      <c r="A371" s="506"/>
      <c r="B371" s="506"/>
      <c r="C371" s="325"/>
      <c r="D371" s="1905"/>
      <c r="E371" s="1905"/>
      <c r="F371" s="1905"/>
      <c r="G371" s="12"/>
    </row>
    <row r="372" spans="1:7">
      <c r="D372" s="135"/>
      <c r="E372" s="135"/>
      <c r="F372" s="135"/>
      <c r="G372" s="12"/>
    </row>
    <row r="373" spans="1:7" ht="13">
      <c r="A373" s="261"/>
      <c r="B373" s="679" t="s">
        <v>316</v>
      </c>
      <c r="C373" s="266"/>
      <c r="D373" s="1876" t="s">
        <v>1319</v>
      </c>
      <c r="E373" s="1876"/>
      <c r="F373" s="1876"/>
      <c r="G373" s="12"/>
    </row>
    <row r="374" spans="1:7" ht="13">
      <c r="A374" s="261"/>
      <c r="B374" s="261"/>
      <c r="D374" s="1876"/>
      <c r="E374" s="1876"/>
      <c r="F374" s="1876"/>
      <c r="G374" s="12"/>
    </row>
    <row r="375" spans="1:7">
      <c r="D375" s="1876"/>
      <c r="E375" s="1876"/>
      <c r="F375" s="1876"/>
      <c r="G375" s="12"/>
    </row>
    <row r="376" spans="1:7">
      <c r="D376" s="1876"/>
      <c r="E376" s="1876"/>
      <c r="F376" s="1876"/>
      <c r="G376" s="12"/>
    </row>
    <row r="377" spans="1:7">
      <c r="D377" s="1876"/>
      <c r="E377" s="1876"/>
      <c r="F377" s="1876"/>
      <c r="G377" s="12"/>
    </row>
    <row r="378" spans="1:7">
      <c r="D378" s="1876"/>
      <c r="E378" s="1876"/>
      <c r="F378" s="1876"/>
      <c r="G378" s="12"/>
    </row>
    <row r="379" spans="1:7">
      <c r="D379" s="1876"/>
      <c r="E379" s="1876"/>
      <c r="F379" s="1876"/>
      <c r="G379" s="12"/>
    </row>
    <row r="380" spans="1:7">
      <c r="D380" s="1876"/>
      <c r="E380" s="1876"/>
      <c r="F380" s="1876"/>
      <c r="G380" s="12"/>
    </row>
    <row r="381" spans="1:7">
      <c r="D381" s="1876"/>
      <c r="E381" s="1876"/>
      <c r="F381" s="1876"/>
      <c r="G381" s="12"/>
    </row>
    <row r="382" spans="1:7">
      <c r="D382" s="1876"/>
      <c r="E382" s="1876"/>
      <c r="F382" s="1876"/>
      <c r="G382" s="12"/>
    </row>
    <row r="383" spans="1:7">
      <c r="D383" s="1876"/>
      <c r="E383" s="1876"/>
      <c r="F383" s="1876"/>
      <c r="G383" s="12"/>
    </row>
    <row r="384" spans="1:7">
      <c r="D384" s="1876"/>
      <c r="E384" s="1876"/>
      <c r="F384" s="1876"/>
      <c r="G384" s="12"/>
    </row>
    <row r="385" spans="1:7">
      <c r="D385" s="1876"/>
      <c r="E385" s="1876"/>
      <c r="F385" s="1876"/>
      <c r="G385" s="12"/>
    </row>
    <row r="386" spans="1:7">
      <c r="A386" s="12"/>
      <c r="B386" s="12"/>
      <c r="C386" s="12"/>
      <c r="D386" s="1876"/>
      <c r="E386" s="1876"/>
      <c r="F386" s="1876"/>
      <c r="G386" s="12"/>
    </row>
    <row r="387" spans="1:7">
      <c r="A387" s="12"/>
      <c r="B387" s="12"/>
      <c r="C387" s="12"/>
      <c r="D387" s="1876"/>
      <c r="E387" s="1876"/>
      <c r="F387" s="1876"/>
      <c r="G387" s="12"/>
    </row>
    <row r="388" spans="1:7">
      <c r="A388" s="12"/>
      <c r="B388" s="12"/>
      <c r="C388" s="12"/>
      <c r="D388" s="1876"/>
      <c r="E388" s="1876"/>
      <c r="F388" s="1876"/>
      <c r="G388" s="12"/>
    </row>
    <row r="389" spans="1:7">
      <c r="A389" s="12"/>
      <c r="B389" s="12"/>
      <c r="C389" s="12"/>
      <c r="D389" s="1876"/>
      <c r="E389" s="1876"/>
      <c r="F389" s="1876"/>
      <c r="G389" s="12"/>
    </row>
    <row r="390" spans="1:7">
      <c r="A390" s="12"/>
      <c r="B390" s="12"/>
      <c r="C390" s="12"/>
      <c r="D390" s="1876"/>
      <c r="E390" s="1876"/>
      <c r="F390" s="1876"/>
      <c r="G390" s="12"/>
    </row>
    <row r="391" spans="1:7">
      <c r="A391" s="12"/>
      <c r="B391" s="12"/>
      <c r="C391" s="12"/>
      <c r="D391" s="1876"/>
      <c r="E391" s="1876"/>
      <c r="F391" s="1876"/>
      <c r="G391" s="12"/>
    </row>
    <row r="392" spans="1:7">
      <c r="A392" s="12"/>
      <c r="B392" s="12"/>
      <c r="C392" s="12"/>
      <c r="D392" s="1876"/>
      <c r="E392" s="1876"/>
      <c r="F392" s="1876"/>
      <c r="G392" s="12"/>
    </row>
    <row r="393" spans="1:7">
      <c r="A393" s="12"/>
      <c r="B393" s="12"/>
      <c r="C393" s="12"/>
      <c r="D393" s="1876"/>
      <c r="E393" s="1876"/>
      <c r="F393" s="1876"/>
      <c r="G393" s="12"/>
    </row>
    <row r="394" spans="1:7">
      <c r="A394" s="12"/>
      <c r="B394" s="12"/>
      <c r="C394" s="12"/>
      <c r="D394" s="1876"/>
      <c r="E394" s="1876"/>
      <c r="F394" s="1876"/>
      <c r="G394" s="12"/>
    </row>
    <row r="395" spans="1:7">
      <c r="A395" s="12"/>
      <c r="B395" s="12"/>
      <c r="C395" s="12"/>
      <c r="D395" s="1876"/>
      <c r="E395" s="1876"/>
      <c r="F395" s="1876"/>
      <c r="G395" s="12"/>
    </row>
    <row r="396" spans="1:7">
      <c r="A396" s="12"/>
      <c r="B396" s="12"/>
      <c r="C396" s="12"/>
      <c r="D396" s="1876"/>
      <c r="E396" s="1876"/>
      <c r="F396" s="1876"/>
      <c r="G396" s="12"/>
    </row>
    <row r="397" spans="1:7">
      <c r="A397" s="12"/>
      <c r="B397" s="12"/>
      <c r="C397" s="12"/>
      <c r="D397" s="1876"/>
      <c r="E397" s="1876"/>
      <c r="F397" s="1876"/>
      <c r="G397" s="12"/>
    </row>
    <row r="398" spans="1:7">
      <c r="A398" s="12"/>
      <c r="B398" s="12"/>
      <c r="C398" s="12"/>
      <c r="D398" s="1876"/>
      <c r="E398" s="1876"/>
      <c r="F398" s="1876"/>
      <c r="G398" s="12"/>
    </row>
    <row r="399" spans="1:7">
      <c r="A399" s="12"/>
      <c r="B399" s="12"/>
      <c r="C399" s="12"/>
      <c r="D399" s="1876"/>
      <c r="E399" s="1876"/>
      <c r="F399" s="1876"/>
      <c r="G399" s="12"/>
    </row>
    <row r="400" spans="1:7">
      <c r="A400" s="12"/>
      <c r="B400" s="12"/>
      <c r="C400" s="12"/>
      <c r="D400" s="1876"/>
      <c r="E400" s="1876"/>
      <c r="F400" s="1876"/>
      <c r="G400" s="12"/>
    </row>
    <row r="401" spans="1:7">
      <c r="A401" s="12"/>
      <c r="B401" s="12"/>
      <c r="C401" s="12"/>
      <c r="D401" s="1876"/>
      <c r="E401" s="1876"/>
      <c r="F401" s="1876"/>
      <c r="G401" s="12"/>
    </row>
    <row r="402" spans="1:7" s="32" customFormat="1">
      <c r="A402" s="132"/>
      <c r="B402" s="676"/>
      <c r="C402" s="132"/>
      <c r="D402" s="1876"/>
      <c r="E402" s="1876"/>
      <c r="F402" s="1876"/>
      <c r="G402" s="30"/>
    </row>
    <row r="403" spans="1:7" s="32" customFormat="1" ht="40.75" customHeight="1">
      <c r="A403" s="132"/>
      <c r="B403" s="676"/>
      <c r="C403" s="132"/>
      <c r="D403" s="1876"/>
      <c r="E403" s="1876"/>
      <c r="F403" s="1876"/>
      <c r="G403" s="30"/>
    </row>
    <row r="404" spans="1:7" s="32" customFormat="1">
      <c r="A404" s="132"/>
      <c r="B404" s="676"/>
      <c r="C404" s="132"/>
      <c r="D404" s="135"/>
      <c r="E404" s="135"/>
      <c r="F404" s="135"/>
      <c r="G404" s="30"/>
    </row>
    <row r="405" spans="1:7" ht="13">
      <c r="A405" s="261"/>
      <c r="B405" s="679" t="s">
        <v>316</v>
      </c>
      <c r="C405" s="266"/>
      <c r="D405" s="1889" t="s">
        <v>1320</v>
      </c>
      <c r="E405" s="1889"/>
      <c r="F405" s="1889"/>
    </row>
    <row r="406" spans="1:7">
      <c r="D406" s="1906" t="s">
        <v>1084</v>
      </c>
      <c r="E406" s="1906"/>
      <c r="F406" s="1906"/>
    </row>
    <row r="407" spans="1:7">
      <c r="D407" s="1890" t="s">
        <v>1321</v>
      </c>
      <c r="E407" s="1890"/>
      <c r="F407" s="1890"/>
    </row>
    <row r="408" spans="1:7">
      <c r="D408" s="1890"/>
      <c r="E408" s="1890"/>
      <c r="F408" s="1890"/>
    </row>
    <row r="409" spans="1:7">
      <c r="D409" s="1890"/>
      <c r="E409" s="1890"/>
      <c r="F409" s="1890"/>
    </row>
    <row r="410" spans="1:7">
      <c r="D410" s="1890"/>
      <c r="E410" s="1890"/>
      <c r="F410" s="1890"/>
    </row>
    <row r="411" spans="1:7">
      <c r="D411" s="135"/>
      <c r="E411" s="135"/>
      <c r="F411" s="135"/>
      <c r="G411" s="12"/>
    </row>
    <row r="412" spans="1:7" ht="13">
      <c r="A412" s="261"/>
      <c r="B412" s="679" t="s">
        <v>316</v>
      </c>
      <c r="C412" s="266"/>
      <c r="D412" s="1876" t="s">
        <v>1322</v>
      </c>
      <c r="E412" s="1876"/>
      <c r="F412" s="1876"/>
      <c r="G412" s="12"/>
    </row>
    <row r="413" spans="1:7">
      <c r="D413" s="1876"/>
      <c r="E413" s="1876"/>
      <c r="F413" s="1876"/>
      <c r="G413" s="12"/>
    </row>
    <row r="414" spans="1:7">
      <c r="D414" s="1876"/>
      <c r="E414" s="1876"/>
      <c r="F414" s="1876"/>
      <c r="G414" s="12"/>
    </row>
    <row r="415" spans="1:7" s="719" customFormat="1">
      <c r="A415" s="731"/>
      <c r="B415" s="731"/>
      <c r="C415" s="731"/>
      <c r="D415" s="728"/>
      <c r="E415" s="728"/>
      <c r="F415" s="728"/>
    </row>
    <row r="416" spans="1:7" ht="13">
      <c r="B416" s="679" t="s">
        <v>316</v>
      </c>
      <c r="C416" s="261"/>
      <c r="D416" s="1890" t="s">
        <v>1323</v>
      </c>
      <c r="E416" s="1890"/>
      <c r="F416" s="1890"/>
      <c r="G416" s="12"/>
    </row>
    <row r="417" spans="1:7">
      <c r="D417" s="1890"/>
      <c r="E417" s="1890"/>
      <c r="F417" s="1890"/>
      <c r="G417" s="12"/>
    </row>
    <row r="418" spans="1:7">
      <c r="D418" s="135"/>
      <c r="E418" s="135"/>
      <c r="F418" s="135"/>
      <c r="G418" s="12"/>
    </row>
    <row r="419" spans="1:7" ht="13">
      <c r="B419" s="679" t="s">
        <v>316</v>
      </c>
      <c r="C419" s="261"/>
      <c r="D419" s="1890" t="s">
        <v>1324</v>
      </c>
      <c r="E419" s="1890"/>
      <c r="F419" s="1890"/>
      <c r="G419" s="12"/>
    </row>
    <row r="420" spans="1:7">
      <c r="D420" s="1890"/>
      <c r="E420" s="1890"/>
      <c r="F420" s="1890"/>
      <c r="G420" s="12"/>
    </row>
    <row r="421" spans="1:7">
      <c r="D421" s="1890"/>
      <c r="E421" s="1890"/>
      <c r="F421" s="1890"/>
      <c r="G421" s="12"/>
    </row>
    <row r="422" spans="1:7">
      <c r="D422" s="1890"/>
      <c r="E422" s="1890"/>
      <c r="F422" s="1890"/>
      <c r="G422" s="12"/>
    </row>
    <row r="423" spans="1:7">
      <c r="B423" s="679" t="s">
        <v>316</v>
      </c>
      <c r="D423" s="1890"/>
      <c r="E423" s="1890"/>
      <c r="F423" s="1890"/>
      <c r="G423" s="12"/>
    </row>
    <row r="424" spans="1:7">
      <c r="A424" s="12"/>
      <c r="B424" s="12"/>
      <c r="C424" s="12"/>
      <c r="D424" s="1890"/>
      <c r="E424" s="1890"/>
      <c r="F424" s="1890"/>
      <c r="G424" s="12"/>
    </row>
    <row r="425" spans="1:7">
      <c r="A425" s="12"/>
      <c r="C425" s="12"/>
      <c r="D425" s="1890"/>
      <c r="E425" s="1890"/>
      <c r="F425" s="1890"/>
      <c r="G425" s="12"/>
    </row>
    <row r="426" spans="1:7">
      <c r="A426" s="12"/>
      <c r="B426" s="679" t="s">
        <v>316</v>
      </c>
      <c r="C426" s="12"/>
      <c r="D426" s="1890"/>
      <c r="E426" s="1890"/>
      <c r="F426" s="1890"/>
      <c r="G426" s="12"/>
    </row>
    <row r="427" spans="1:7">
      <c r="A427" s="12"/>
      <c r="B427" s="12"/>
      <c r="C427" s="12"/>
      <c r="D427" s="1890"/>
      <c r="E427" s="1890"/>
      <c r="F427" s="1890"/>
      <c r="G427" s="12"/>
    </row>
    <row r="428" spans="1:7">
      <c r="A428" s="12"/>
      <c r="C428" s="12"/>
      <c r="D428" s="1890"/>
      <c r="E428" s="1890"/>
      <c r="F428" s="1890"/>
      <c r="G428" s="12"/>
    </row>
    <row r="429" spans="1:7">
      <c r="A429" s="12"/>
      <c r="C429" s="12"/>
      <c r="D429" s="1890"/>
      <c r="E429" s="1890"/>
      <c r="F429" s="1890"/>
      <c r="G429" s="12"/>
    </row>
    <row r="430" spans="1:7">
      <c r="A430" s="12"/>
      <c r="B430" s="679" t="s">
        <v>316</v>
      </c>
      <c r="C430" s="12"/>
      <c r="D430" s="1890"/>
      <c r="E430" s="1890"/>
      <c r="F430" s="1890"/>
      <c r="G430" s="12"/>
    </row>
    <row r="431" spans="1:7">
      <c r="A431" s="12"/>
      <c r="B431" s="12"/>
      <c r="C431" s="12"/>
      <c r="D431" s="1890"/>
      <c r="E431" s="1890"/>
      <c r="F431" s="1890"/>
      <c r="G431" s="12"/>
    </row>
    <row r="432" spans="1:7">
      <c r="A432" s="12"/>
      <c r="B432" s="679" t="s">
        <v>316</v>
      </c>
      <c r="C432" s="12"/>
      <c r="D432" s="1890"/>
      <c r="E432" s="1890"/>
      <c r="F432" s="1890"/>
      <c r="G432" s="12"/>
    </row>
    <row r="433" spans="1:7" s="719" customFormat="1">
      <c r="D433" s="729"/>
      <c r="E433" s="729"/>
      <c r="F433" s="729"/>
    </row>
    <row r="434" spans="1:7">
      <c r="A434" s="12"/>
      <c r="B434" s="718" t="s">
        <v>316</v>
      </c>
      <c r="C434" s="12"/>
      <c r="D434" s="1890" t="s">
        <v>1325</v>
      </c>
      <c r="E434" s="1890"/>
      <c r="F434" s="1890"/>
      <c r="G434" s="12"/>
    </row>
    <row r="435" spans="1:7">
      <c r="A435" s="12"/>
      <c r="B435" s="12"/>
      <c r="C435" s="12"/>
      <c r="D435" s="1890"/>
      <c r="E435" s="1890"/>
      <c r="F435" s="1890"/>
      <c r="G435" s="12"/>
    </row>
    <row r="436" spans="1:7">
      <c r="A436" s="12"/>
      <c r="B436" s="12"/>
      <c r="C436" s="12"/>
      <c r="D436" s="1890"/>
      <c r="E436" s="1890"/>
      <c r="F436" s="1890"/>
      <c r="G436" s="12"/>
    </row>
    <row r="437" spans="1:7">
      <c r="A437" s="12"/>
      <c r="B437" s="12"/>
      <c r="C437" s="12"/>
      <c r="D437" s="1890"/>
      <c r="E437" s="1890"/>
      <c r="F437" s="1890"/>
      <c r="G437" s="12"/>
    </row>
    <row r="438" spans="1:7">
      <c r="D438" s="1890"/>
      <c r="E438" s="1890"/>
      <c r="F438" s="1890"/>
    </row>
    <row r="439" spans="1:7">
      <c r="D439" s="135"/>
      <c r="E439" s="135"/>
      <c r="F439" s="135"/>
    </row>
    <row r="440" spans="1:7">
      <c r="B440" s="679" t="s">
        <v>316</v>
      </c>
      <c r="D440" s="1891" t="s">
        <v>1326</v>
      </c>
      <c r="E440" s="1891"/>
      <c r="F440" s="1891"/>
    </row>
    <row r="441" spans="1:7">
      <c r="A441" s="135"/>
      <c r="B441" s="135"/>
    </row>
    <row r="442" spans="1:7" ht="13">
      <c r="A442" s="1896" t="s">
        <v>1167</v>
      </c>
      <c r="B442" s="1896"/>
      <c r="C442" s="1896"/>
      <c r="D442" s="1896"/>
      <c r="E442" s="1896"/>
      <c r="F442" s="1896"/>
      <c r="G442" s="1896"/>
    </row>
    <row r="443" spans="1:7">
      <c r="A443" s="135"/>
      <c r="B443" s="135"/>
    </row>
    <row r="444" spans="1:7" ht="13">
      <c r="D444" s="1892" t="s">
        <v>948</v>
      </c>
      <c r="E444" s="1892"/>
      <c r="F444" s="1892"/>
    </row>
    <row r="445" spans="1:7" s="39" customFormat="1" ht="13">
      <c r="A445" s="403"/>
      <c r="B445" s="403"/>
      <c r="C445" s="273"/>
      <c r="D445" s="1893" t="s">
        <v>1327</v>
      </c>
      <c r="E445" s="1893"/>
      <c r="F445" s="1893"/>
      <c r="G445" s="130"/>
    </row>
    <row r="446" spans="1:7" s="39" customFormat="1" ht="13">
      <c r="A446" s="403"/>
      <c r="B446" s="403"/>
      <c r="C446" s="273"/>
      <c r="D446" s="732"/>
      <c r="E446" s="6"/>
      <c r="F446" s="6"/>
      <c r="G446" s="130"/>
    </row>
    <row r="447" spans="1:7" s="39" customFormat="1" ht="13">
      <c r="A447" s="261"/>
      <c r="B447" s="679" t="s">
        <v>316</v>
      </c>
      <c r="C447" s="273"/>
      <c r="D447" s="1894" t="s">
        <v>1328</v>
      </c>
      <c r="E447" s="1894"/>
      <c r="F447" s="1894"/>
      <c r="G447" s="130"/>
    </row>
    <row r="448" spans="1:7" s="39" customFormat="1" ht="13">
      <c r="A448" s="261"/>
      <c r="B448" s="261"/>
      <c r="C448" s="273"/>
      <c r="D448" s="1894"/>
      <c r="E448" s="1894"/>
      <c r="F448" s="1894"/>
      <c r="G448" s="130"/>
    </row>
    <row r="449" spans="1:7" s="39" customFormat="1" ht="13">
      <c r="A449" s="261"/>
      <c r="B449" s="261"/>
      <c r="C449" s="273"/>
      <c r="D449" s="730"/>
      <c r="E449" s="6"/>
      <c r="F449" s="6"/>
      <c r="G449" s="130"/>
    </row>
    <row r="450" spans="1:7">
      <c r="B450" s="679" t="s">
        <v>316</v>
      </c>
      <c r="D450" s="1895" t="s">
        <v>1329</v>
      </c>
      <c r="E450" s="1895"/>
      <c r="F450" s="1895"/>
    </row>
    <row r="451" spans="1:7" ht="13">
      <c r="A451" s="261"/>
      <c r="D451" s="1895"/>
      <c r="E451" s="1895"/>
      <c r="F451" s="1895"/>
    </row>
    <row r="452" spans="1:7" ht="13">
      <c r="A452" s="261"/>
      <c r="B452" s="261"/>
      <c r="D452" s="1895"/>
      <c r="E452" s="1895"/>
      <c r="F452" s="1895"/>
    </row>
    <row r="453" spans="1:7" ht="13">
      <c r="A453" s="261"/>
      <c r="B453" s="261"/>
      <c r="D453" s="1895"/>
      <c r="E453" s="1895"/>
      <c r="F453" s="1895"/>
    </row>
    <row r="454" spans="1:7">
      <c r="D454" s="678"/>
      <c r="E454" s="678"/>
      <c r="F454" s="678"/>
      <c r="G454" s="12"/>
    </row>
    <row r="455" spans="1:7" ht="13">
      <c r="A455" s="261"/>
      <c r="B455" s="679" t="s">
        <v>316</v>
      </c>
      <c r="D455" s="1877" t="s">
        <v>1330</v>
      </c>
      <c r="E455" s="1877"/>
      <c r="F455" s="1877"/>
      <c r="G455" s="12"/>
    </row>
    <row r="456" spans="1:7" ht="13">
      <c r="A456" s="261"/>
      <c r="B456" s="261"/>
      <c r="D456" s="1877"/>
      <c r="E456" s="1877"/>
      <c r="F456" s="1877"/>
      <c r="G456" s="12"/>
    </row>
    <row r="457" spans="1:7" ht="13">
      <c r="A457" s="261"/>
      <c r="D457" s="1877"/>
      <c r="E457" s="1877"/>
      <c r="F457" s="1877"/>
      <c r="G457" s="12"/>
    </row>
    <row r="458" spans="1:7" ht="13">
      <c r="A458" s="261"/>
      <c r="B458" s="261"/>
      <c r="D458" s="678"/>
      <c r="E458" s="678"/>
      <c r="F458" s="678"/>
      <c r="G458" s="12"/>
    </row>
    <row r="459" spans="1:7" ht="13">
      <c r="A459" s="261"/>
      <c r="B459" s="718" t="s">
        <v>316</v>
      </c>
      <c r="D459" s="1889" t="s">
        <v>1331</v>
      </c>
      <c r="E459" s="1889"/>
      <c r="F459" s="1889"/>
      <c r="G459" s="12"/>
    </row>
    <row r="460" spans="1:7" ht="13">
      <c r="A460" s="261"/>
      <c r="B460" s="261"/>
      <c r="D460" s="730"/>
      <c r="E460" s="6"/>
      <c r="F460" s="6"/>
      <c r="G460" s="12"/>
    </row>
    <row r="461" spans="1:7" ht="13">
      <c r="A461" s="261"/>
      <c r="B461" s="679" t="s">
        <v>316</v>
      </c>
      <c r="D461" s="1876" t="s">
        <v>1332</v>
      </c>
      <c r="E461" s="1876"/>
      <c r="F461" s="1876"/>
      <c r="G461" s="12"/>
    </row>
    <row r="462" spans="1:7" ht="13">
      <c r="A462" s="261"/>
      <c r="D462" s="1876"/>
      <c r="E462" s="1876"/>
      <c r="F462" s="1876"/>
      <c r="G462" s="12"/>
    </row>
    <row r="463" spans="1:7" ht="13">
      <c r="A463" s="23"/>
      <c r="B463" s="675"/>
      <c r="D463" s="733"/>
      <c r="E463" s="6"/>
      <c r="F463" s="6"/>
      <c r="G463" s="12"/>
    </row>
    <row r="464" spans="1:7" ht="13">
      <c r="A464" s="23"/>
      <c r="B464" s="718" t="s">
        <v>316</v>
      </c>
      <c r="D464" s="1889" t="s">
        <v>1333</v>
      </c>
      <c r="E464" s="1889"/>
      <c r="F464" s="1889"/>
      <c r="G464" s="12"/>
    </row>
    <row r="465" spans="1:7" ht="13">
      <c r="A465" s="261"/>
      <c r="B465" s="261"/>
      <c r="D465" s="135"/>
    </row>
    <row r="466" spans="1:7" ht="13">
      <c r="A466" s="1896" t="s">
        <v>1168</v>
      </c>
      <c r="B466" s="1896"/>
      <c r="C466" s="1896"/>
      <c r="D466" s="1896"/>
      <c r="E466" s="1896"/>
      <c r="F466" s="1896"/>
      <c r="G466" s="1896"/>
    </row>
    <row r="467" spans="1:7" customFormat="1" ht="12" customHeight="1">
      <c r="A467" s="261"/>
      <c r="B467" s="261"/>
      <c r="C467" s="10"/>
      <c r="D467" s="151"/>
      <c r="E467" s="149"/>
      <c r="F467" s="149"/>
      <c r="G467" s="149"/>
    </row>
    <row r="468" spans="1:7" customFormat="1" ht="13">
      <c r="A468" s="273"/>
      <c r="B468" s="273"/>
      <c r="C468" s="312"/>
      <c r="D468" s="1897" t="s">
        <v>851</v>
      </c>
      <c r="E468" s="1897"/>
      <c r="F468" s="1897"/>
      <c r="G468" s="182"/>
    </row>
    <row r="469" spans="1:7" customFormat="1" ht="13.15" customHeight="1">
      <c r="A469" s="260"/>
      <c r="B469" s="260"/>
      <c r="C469" s="313"/>
      <c r="D469" s="1898" t="s">
        <v>1211</v>
      </c>
      <c r="E469" s="1898"/>
      <c r="F469" s="1898"/>
      <c r="G469" s="149"/>
    </row>
    <row r="470" spans="1:7" customFormat="1" ht="13">
      <c r="A470" s="260"/>
      <c r="B470" s="260"/>
      <c r="C470" s="313"/>
      <c r="D470" s="1898"/>
      <c r="E470" s="1898"/>
      <c r="F470" s="1898"/>
      <c r="G470" s="149"/>
    </row>
    <row r="471" spans="1:7" customFormat="1" ht="13">
      <c r="A471" s="260"/>
      <c r="B471" s="260"/>
      <c r="C471" s="313"/>
      <c r="D471" s="1898"/>
      <c r="E471" s="1898"/>
      <c r="F471" s="1898"/>
      <c r="G471" s="149"/>
    </row>
    <row r="472" spans="1:7" customFormat="1" ht="13">
      <c r="A472" s="260"/>
      <c r="B472" s="260"/>
      <c r="C472" s="313"/>
      <c r="D472" s="1898"/>
      <c r="E472" s="1898"/>
      <c r="F472" s="1898"/>
      <c r="G472" s="149"/>
    </row>
    <row r="473" spans="1:7" customFormat="1" ht="13">
      <c r="A473" s="260"/>
      <c r="B473" s="260"/>
      <c r="C473" s="313"/>
      <c r="D473" s="1898"/>
      <c r="E473" s="1898"/>
      <c r="F473" s="1898"/>
      <c r="G473" s="149"/>
    </row>
    <row r="474" spans="1:7" customFormat="1" ht="13">
      <c r="A474" s="260"/>
      <c r="B474" s="260"/>
      <c r="C474" s="313"/>
      <c r="D474" s="471"/>
      <c r="E474" s="149"/>
      <c r="F474" s="151"/>
      <c r="G474" s="149"/>
    </row>
    <row r="475" spans="1:7" customFormat="1" ht="14.5" customHeight="1">
      <c r="A475" s="261"/>
      <c r="B475" s="679" t="s">
        <v>316</v>
      </c>
      <c r="C475" s="313"/>
      <c r="D475" s="1938" t="s">
        <v>1202</v>
      </c>
      <c r="E475" s="1938"/>
      <c r="F475" s="1938"/>
      <c r="G475" s="149"/>
    </row>
    <row r="476" spans="1:7" customFormat="1" ht="13">
      <c r="A476" s="260"/>
      <c r="B476" s="260"/>
      <c r="C476" s="313"/>
      <c r="D476" s="1938"/>
      <c r="E476" s="1938"/>
      <c r="F476" s="1938"/>
      <c r="G476" s="149"/>
    </row>
    <row r="477" spans="1:7" s="680" customFormat="1" ht="13">
      <c r="A477" s="260"/>
      <c r="B477" s="260"/>
      <c r="C477" s="313"/>
      <c r="D477" s="1938"/>
      <c r="E477" s="1938"/>
      <c r="F477" s="1938"/>
      <c r="G477" s="149"/>
    </row>
    <row r="478" spans="1:7" s="680" customFormat="1" ht="13">
      <c r="A478" s="260"/>
      <c r="B478" s="260"/>
      <c r="C478" s="313"/>
      <c r="D478" s="1938"/>
      <c r="E478" s="1938"/>
      <c r="F478" s="1938"/>
      <c r="G478" s="149"/>
    </row>
    <row r="479" spans="1:7" customFormat="1" ht="13">
      <c r="A479" s="260"/>
      <c r="B479" s="260"/>
      <c r="C479" s="313"/>
      <c r="D479" s="1938"/>
      <c r="E479" s="1938"/>
      <c r="F479" s="1938"/>
      <c r="G479" s="149"/>
    </row>
    <row r="480" spans="1:7" customFormat="1" ht="13">
      <c r="A480" s="260"/>
      <c r="B480" s="260"/>
      <c r="C480" s="313"/>
      <c r="D480" s="443"/>
      <c r="E480" s="149"/>
      <c r="F480" s="151"/>
      <c r="G480" s="149"/>
    </row>
    <row r="481" spans="1:7" customFormat="1" ht="14.5" customHeight="1">
      <c r="A481" s="261"/>
      <c r="B481" s="679" t="s">
        <v>316</v>
      </c>
      <c r="C481" s="313"/>
      <c r="D481" s="1938" t="s">
        <v>1205</v>
      </c>
      <c r="E481" s="1938"/>
      <c r="F481" s="1938"/>
      <c r="G481" s="149"/>
    </row>
    <row r="482" spans="1:7" customFormat="1" ht="13">
      <c r="A482" s="260"/>
      <c r="B482" s="260"/>
      <c r="C482" s="313"/>
      <c r="D482" s="1938"/>
      <c r="E482" s="1938"/>
      <c r="F482" s="1938"/>
      <c r="G482" s="149"/>
    </row>
    <row r="483" spans="1:7" s="680" customFormat="1" ht="13">
      <c r="A483" s="260"/>
      <c r="B483" s="260"/>
      <c r="C483" s="313"/>
      <c r="D483" s="1938"/>
      <c r="E483" s="1938"/>
      <c r="F483" s="1938"/>
      <c r="G483" s="149"/>
    </row>
    <row r="484" spans="1:7" customFormat="1" ht="13">
      <c r="A484" s="260"/>
      <c r="B484" s="260"/>
      <c r="C484" s="313"/>
      <c r="D484" s="1938"/>
      <c r="E484" s="1938"/>
      <c r="F484" s="1938"/>
      <c r="G484" s="149"/>
    </row>
    <row r="485" spans="1:7" customFormat="1" ht="10" customHeight="1">
      <c r="A485" s="260"/>
      <c r="B485" s="260"/>
      <c r="C485" s="313"/>
      <c r="D485" s="443"/>
      <c r="E485" s="149"/>
      <c r="F485" s="151"/>
      <c r="G485" s="149"/>
    </row>
    <row r="486" spans="1:7" customFormat="1" ht="14.5" customHeight="1">
      <c r="A486" s="261"/>
      <c r="B486" s="679" t="s">
        <v>316</v>
      </c>
      <c r="C486" s="313"/>
      <c r="D486" s="1938" t="s">
        <v>1203</v>
      </c>
      <c r="E486" s="1938"/>
      <c r="F486" s="1938"/>
      <c r="G486" s="149"/>
    </row>
    <row r="487" spans="1:7" customFormat="1" ht="13">
      <c r="A487" s="260"/>
      <c r="B487" s="260"/>
      <c r="C487" s="313"/>
      <c r="D487" s="1938"/>
      <c r="E487" s="1938"/>
      <c r="F487" s="1938"/>
      <c r="G487" s="149"/>
    </row>
    <row r="488" spans="1:7" customFormat="1" ht="13">
      <c r="A488" s="260"/>
      <c r="B488" s="260"/>
      <c r="C488" s="313"/>
      <c r="D488" s="1938"/>
      <c r="E488" s="1938"/>
      <c r="F488" s="1938"/>
      <c r="G488" s="149"/>
    </row>
    <row r="489" spans="1:7" s="680" customFormat="1" ht="13">
      <c r="A489" s="260"/>
      <c r="B489" s="260"/>
      <c r="C489" s="313"/>
      <c r="D489" s="700"/>
      <c r="E489" s="700"/>
      <c r="F489" s="700"/>
      <c r="G489" s="149"/>
    </row>
    <row r="490" spans="1:7" customFormat="1" ht="14.5" customHeight="1">
      <c r="A490" s="261"/>
      <c r="B490" s="679" t="s">
        <v>316</v>
      </c>
      <c r="C490" s="313"/>
      <c r="D490" s="1938" t="s">
        <v>1204</v>
      </c>
      <c r="E490" s="1938"/>
      <c r="F490" s="1938"/>
      <c r="G490" s="149"/>
    </row>
    <row r="491" spans="1:7" customFormat="1" ht="13">
      <c r="A491" s="260"/>
      <c r="B491" s="260"/>
      <c r="C491" s="313"/>
      <c r="D491" s="1938"/>
      <c r="E491" s="1938"/>
      <c r="F491" s="1938"/>
      <c r="G491" s="149"/>
    </row>
    <row r="492" spans="1:7" customFormat="1" ht="13">
      <c r="A492" s="260"/>
      <c r="B492" s="260"/>
      <c r="C492" s="313"/>
      <c r="D492" s="1938"/>
      <c r="E492" s="1938"/>
      <c r="F492" s="1938"/>
      <c r="G492" s="149"/>
    </row>
    <row r="493" spans="1:7" customFormat="1" ht="13">
      <c r="A493" s="260"/>
      <c r="B493" s="260"/>
      <c r="C493" s="313"/>
      <c r="D493" s="1938"/>
      <c r="E493" s="1938"/>
      <c r="F493" s="1938"/>
      <c r="G493" s="149"/>
    </row>
    <row r="494" spans="1:7" customFormat="1" ht="13">
      <c r="A494" s="260"/>
      <c r="B494" s="260"/>
      <c r="C494" s="313"/>
      <c r="D494" s="1938"/>
      <c r="E494" s="1938"/>
      <c r="F494" s="1938"/>
      <c r="G494" s="149"/>
    </row>
    <row r="495" spans="1:7" customFormat="1" ht="13">
      <c r="A495" s="260"/>
      <c r="B495" s="260"/>
      <c r="C495" s="313"/>
      <c r="D495" s="1938"/>
      <c r="E495" s="1938"/>
      <c r="F495" s="1938"/>
      <c r="G495" s="149"/>
    </row>
    <row r="496" spans="1:7" customFormat="1" ht="13">
      <c r="A496" s="260"/>
      <c r="B496" s="260"/>
      <c r="C496" s="313"/>
      <c r="D496" s="1938"/>
      <c r="E496" s="1938"/>
      <c r="F496" s="1938"/>
      <c r="G496" s="149"/>
    </row>
    <row r="497" spans="1:7" customFormat="1" ht="13">
      <c r="A497" s="487"/>
      <c r="B497" s="487"/>
      <c r="C497" s="486"/>
      <c r="D497" s="1938"/>
      <c r="E497" s="1938"/>
      <c r="F497" s="1938"/>
      <c r="G497" s="149"/>
    </row>
    <row r="498" spans="1:7" customFormat="1" ht="13">
      <c r="A498" s="487"/>
      <c r="B498" s="487"/>
      <c r="C498" s="486"/>
      <c r="D498" s="1938"/>
      <c r="E498" s="1938"/>
      <c r="F498" s="1938"/>
      <c r="G498" s="149"/>
    </row>
    <row r="499" spans="1:7" customFormat="1" ht="13">
      <c r="A499" s="487"/>
      <c r="B499" s="487"/>
      <c r="C499" s="486"/>
      <c r="D499" s="443"/>
      <c r="E499" s="149"/>
      <c r="F499" s="151"/>
      <c r="G499" s="149"/>
    </row>
    <row r="500" spans="1:7" customFormat="1" ht="13.15" customHeight="1">
      <c r="A500" s="487"/>
      <c r="B500" s="679" t="s">
        <v>316</v>
      </c>
      <c r="C500" s="486"/>
      <c r="D500" s="1888" t="s">
        <v>1348</v>
      </c>
      <c r="E500" s="1888"/>
      <c r="F500" s="1888"/>
      <c r="G500" s="149"/>
    </row>
    <row r="501" spans="1:7" customFormat="1" ht="13">
      <c r="A501" s="487"/>
      <c r="B501" s="487"/>
      <c r="C501" s="486"/>
      <c r="D501" s="1888"/>
      <c r="E501" s="1888"/>
      <c r="F501" s="1888"/>
      <c r="G501" s="149"/>
    </row>
    <row r="502" spans="1:7" customFormat="1" ht="13">
      <c r="A502" s="487"/>
      <c r="B502" s="487"/>
      <c r="C502" s="486"/>
      <c r="D502" s="1888"/>
      <c r="E502" s="1888"/>
      <c r="F502" s="1888"/>
      <c r="G502" s="149"/>
    </row>
    <row r="503" spans="1:7" customFormat="1" ht="13">
      <c r="A503" s="487"/>
      <c r="B503" s="487"/>
      <c r="C503" s="486"/>
      <c r="D503" s="1888"/>
      <c r="E503" s="1888"/>
      <c r="F503" s="1888"/>
      <c r="G503" s="149"/>
    </row>
    <row r="504" spans="1:7" customFormat="1" ht="13">
      <c r="A504" s="260"/>
      <c r="B504" s="260"/>
      <c r="C504" s="313"/>
      <c r="D504" s="1888"/>
      <c r="E504" s="1888"/>
      <c r="F504" s="1888"/>
      <c r="G504" s="149"/>
    </row>
    <row r="505" spans="1:7" s="717" customFormat="1" ht="13">
      <c r="A505" s="720"/>
      <c r="B505" s="720"/>
      <c r="C505" s="313"/>
      <c r="D505" s="741"/>
      <c r="E505" s="741"/>
      <c r="F505" s="741"/>
      <c r="G505" s="149"/>
    </row>
    <row r="506" spans="1:7" customFormat="1" ht="14.5" customHeight="1">
      <c r="A506" s="261"/>
      <c r="B506" s="679" t="s">
        <v>316</v>
      </c>
      <c r="C506" s="10"/>
      <c r="D506" s="1938" t="s">
        <v>1206</v>
      </c>
      <c r="E506" s="1938"/>
      <c r="F506" s="1938"/>
      <c r="G506" s="149"/>
    </row>
    <row r="507" spans="1:7" customFormat="1">
      <c r="A507" s="132"/>
      <c r="B507" s="676"/>
      <c r="C507" s="10"/>
      <c r="D507" s="1938"/>
      <c r="E507" s="1938"/>
      <c r="F507" s="1938"/>
      <c r="G507" s="149"/>
    </row>
    <row r="508" spans="1:7" customFormat="1">
      <c r="A508" s="132"/>
      <c r="B508" s="676"/>
      <c r="C508" s="10"/>
      <c r="D508" s="1938"/>
      <c r="E508" s="1938"/>
      <c r="F508" s="1938"/>
      <c r="G508" s="149"/>
    </row>
    <row r="509" spans="1:7" customFormat="1" ht="12" customHeight="1">
      <c r="A509" s="135"/>
      <c r="B509" s="135"/>
      <c r="C509" s="315"/>
      <c r="D509" s="135"/>
      <c r="E509" s="149"/>
      <c r="F509" s="314"/>
      <c r="G509" s="149"/>
    </row>
    <row r="510" spans="1:7" ht="13">
      <c r="A510" s="1896" t="s">
        <v>1169</v>
      </c>
      <c r="B510" s="1896"/>
      <c r="C510" s="1896"/>
      <c r="D510" s="1896"/>
      <c r="E510" s="1896"/>
      <c r="F510" s="1896"/>
      <c r="G510" s="1896"/>
    </row>
    <row r="511" spans="1:7" ht="13">
      <c r="A511" s="135"/>
      <c r="B511" s="135"/>
      <c r="C511" s="266"/>
      <c r="F511" s="134"/>
    </row>
    <row r="512" spans="1:7">
      <c r="B512" s="1924" t="s">
        <v>470</v>
      </c>
      <c r="C512" s="1924"/>
      <c r="D512" s="1924"/>
      <c r="E512" s="1924"/>
      <c r="F512" s="1924"/>
    </row>
    <row r="513" spans="1:7">
      <c r="A513" s="135"/>
      <c r="B513" s="135"/>
      <c r="C513" s="266"/>
      <c r="D513" s="135"/>
      <c r="F513" s="135"/>
    </row>
    <row r="514" spans="1:7" ht="13">
      <c r="A514" s="1946" t="s">
        <v>1170</v>
      </c>
      <c r="B514" s="1946"/>
      <c r="C514" s="1946"/>
      <c r="D514" s="1946"/>
      <c r="E514" s="1946"/>
      <c r="F514" s="1946"/>
      <c r="G514" s="1946"/>
    </row>
    <row r="515" spans="1:7">
      <c r="A515" s="135"/>
      <c r="B515" s="135"/>
      <c r="C515" s="266"/>
      <c r="D515" s="135"/>
      <c r="F515" s="135"/>
    </row>
    <row r="516" spans="1:7" ht="13">
      <c r="C516" s="266"/>
      <c r="D516" s="1899" t="s">
        <v>720</v>
      </c>
      <c r="E516" s="1899"/>
      <c r="F516" s="1899"/>
    </row>
    <row r="517" spans="1:7" s="682" customFormat="1">
      <c r="A517" s="699"/>
      <c r="B517" s="699"/>
      <c r="C517" s="266"/>
      <c r="D517" s="1889" t="s">
        <v>1227</v>
      </c>
      <c r="E517" s="1889"/>
      <c r="F517" s="1889"/>
      <c r="G517" s="7"/>
    </row>
    <row r="518" spans="1:7" s="682" customFormat="1">
      <c r="A518" s="699"/>
      <c r="B518" s="699"/>
      <c r="C518" s="266"/>
      <c r="D518" s="704"/>
      <c r="E518" s="704"/>
      <c r="F518" s="704"/>
      <c r="G518" s="7"/>
    </row>
    <row r="519" spans="1:7" ht="13.15" customHeight="1">
      <c r="A519" s="261"/>
      <c r="B519" s="679" t="s">
        <v>316</v>
      </c>
      <c r="C519" s="266"/>
      <c r="D519" s="1889" t="s">
        <v>949</v>
      </c>
      <c r="E519" s="1889"/>
      <c r="F519" s="1889"/>
      <c r="G519" s="12"/>
    </row>
    <row r="520" spans="1:7" ht="13.15" customHeight="1">
      <c r="A520" s="266"/>
      <c r="B520" s="266"/>
      <c r="C520" s="266"/>
      <c r="D520" s="704"/>
      <c r="E520" s="677"/>
      <c r="F520" s="677"/>
      <c r="G520" s="12"/>
    </row>
    <row r="521" spans="1:7" ht="13">
      <c r="A521" s="261"/>
      <c r="B521" s="679" t="s">
        <v>316</v>
      </c>
      <c r="C521" s="266"/>
      <c r="D521" s="1876" t="s">
        <v>1228</v>
      </c>
      <c r="E521" s="1876"/>
      <c r="F521" s="1876"/>
      <c r="G521" s="12"/>
    </row>
    <row r="522" spans="1:7">
      <c r="A522" s="266"/>
      <c r="B522" s="266"/>
      <c r="C522" s="266"/>
      <c r="D522" s="1876"/>
      <c r="E522" s="1876"/>
      <c r="F522" s="1876"/>
      <c r="G522" s="12"/>
    </row>
    <row r="523" spans="1:7">
      <c r="A523" s="266"/>
      <c r="B523" s="266"/>
      <c r="C523" s="266"/>
      <c r="D523" s="135"/>
      <c r="E523" s="135"/>
      <c r="F523" s="135"/>
      <c r="G523" s="12"/>
    </row>
    <row r="524" spans="1:7" ht="13">
      <c r="A524" s="261"/>
      <c r="B524" s="679" t="s">
        <v>316</v>
      </c>
      <c r="C524" s="266"/>
      <c r="D524" s="1876" t="s">
        <v>1229</v>
      </c>
      <c r="E524" s="1876"/>
      <c r="F524" s="1876"/>
      <c r="G524" s="12"/>
    </row>
    <row r="525" spans="1:7">
      <c r="A525" s="266"/>
      <c r="B525" s="266"/>
      <c r="C525" s="266"/>
      <c r="D525" s="1876"/>
      <c r="E525" s="1876"/>
      <c r="F525" s="1876"/>
      <c r="G525" s="12"/>
    </row>
    <row r="526" spans="1:7">
      <c r="A526" s="266"/>
      <c r="B526" s="266"/>
      <c r="C526" s="266"/>
      <c r="D526" s="135"/>
      <c r="E526" s="135"/>
      <c r="F526" s="135"/>
      <c r="G526" s="12"/>
    </row>
    <row r="527" spans="1:7" ht="13">
      <c r="A527" s="261"/>
      <c r="B527" s="679" t="s">
        <v>316</v>
      </c>
      <c r="C527" s="266"/>
      <c r="D527" s="1876" t="s">
        <v>1230</v>
      </c>
      <c r="E527" s="1876"/>
      <c r="F527" s="1876"/>
      <c r="G527" s="12"/>
    </row>
    <row r="528" spans="1:7">
      <c r="A528" s="266"/>
      <c r="B528" s="266"/>
      <c r="C528" s="266"/>
      <c r="D528" s="1876"/>
      <c r="E528" s="1876"/>
      <c r="F528" s="1876"/>
      <c r="G528" s="12"/>
    </row>
    <row r="529" spans="1:7">
      <c r="A529" s="266"/>
      <c r="B529" s="266"/>
      <c r="C529" s="266"/>
      <c r="D529" s="135"/>
      <c r="E529" s="135"/>
      <c r="F529" s="135"/>
      <c r="G529" s="12"/>
    </row>
    <row r="530" spans="1:7" ht="13">
      <c r="A530" s="261"/>
      <c r="B530" s="679" t="s">
        <v>316</v>
      </c>
      <c r="C530" s="266"/>
      <c r="D530" s="1876" t="s">
        <v>1231</v>
      </c>
      <c r="E530" s="1876"/>
      <c r="F530" s="1876"/>
      <c r="G530" s="12"/>
    </row>
    <row r="531" spans="1:7">
      <c r="A531" s="266"/>
      <c r="B531" s="266"/>
      <c r="C531" s="266"/>
      <c r="D531" s="1876"/>
      <c r="E531" s="1876"/>
      <c r="F531" s="1876"/>
      <c r="G531" s="12"/>
    </row>
    <row r="532" spans="1:7">
      <c r="A532" s="266"/>
      <c r="B532" s="266"/>
      <c r="C532" s="266"/>
      <c r="D532" s="1876"/>
      <c r="E532" s="1876"/>
      <c r="F532" s="1876"/>
      <c r="G532" s="12"/>
    </row>
    <row r="533" spans="1:7">
      <c r="A533" s="266"/>
      <c r="B533" s="266"/>
      <c r="C533" s="266"/>
      <c r="D533" s="135"/>
      <c r="E533" s="135"/>
      <c r="F533" s="135"/>
    </row>
    <row r="534" spans="1:7" ht="13">
      <c r="A534" s="261"/>
      <c r="B534" s="679" t="s">
        <v>316</v>
      </c>
      <c r="C534" s="266"/>
      <c r="D534" s="1911" t="s">
        <v>1349</v>
      </c>
      <c r="E534" s="1911"/>
      <c r="F534" s="1911"/>
    </row>
    <row r="535" spans="1:7">
      <c r="A535" s="266"/>
      <c r="B535" s="266"/>
      <c r="C535" s="266"/>
      <c r="D535" s="1911"/>
      <c r="E535" s="1911"/>
      <c r="F535" s="1911"/>
    </row>
    <row r="536" spans="1:7">
      <c r="A536" s="266"/>
      <c r="B536" s="266"/>
      <c r="C536" s="266"/>
      <c r="D536" s="135"/>
      <c r="E536" s="135"/>
      <c r="F536" s="135"/>
    </row>
    <row r="537" spans="1:7" ht="13">
      <c r="A537" s="261"/>
      <c r="B537" s="679" t="s">
        <v>316</v>
      </c>
      <c r="C537" s="266"/>
      <c r="D537" s="1911" t="s">
        <v>1232</v>
      </c>
      <c r="E537" s="1911"/>
      <c r="F537" s="1911"/>
    </row>
    <row r="538" spans="1:7">
      <c r="A538" s="266"/>
      <c r="B538" s="266"/>
      <c r="C538" s="266"/>
      <c r="D538" s="1911"/>
      <c r="E538" s="1911"/>
      <c r="F538" s="1911"/>
    </row>
    <row r="539" spans="1:7">
      <c r="A539" s="266"/>
      <c r="B539" s="266"/>
      <c r="C539" s="266"/>
      <c r="D539" s="135"/>
      <c r="E539" s="135"/>
      <c r="F539" s="135"/>
    </row>
    <row r="540" spans="1:7" ht="13">
      <c r="A540" s="261"/>
      <c r="B540" s="679" t="s">
        <v>316</v>
      </c>
      <c r="C540" s="266"/>
      <c r="D540" s="1876" t="s">
        <v>1233</v>
      </c>
      <c r="E540" s="1876"/>
      <c r="F540" s="1876"/>
    </row>
    <row r="541" spans="1:7">
      <c r="A541" s="266"/>
      <c r="B541" s="266"/>
      <c r="C541" s="266"/>
      <c r="D541" s="1876"/>
      <c r="E541" s="1876"/>
      <c r="F541" s="1876"/>
      <c r="G541" s="57"/>
    </row>
    <row r="542" spans="1:7">
      <c r="A542" s="266"/>
      <c r="B542" s="266"/>
      <c r="C542" s="266"/>
      <c r="D542" s="135"/>
      <c r="E542" s="135"/>
      <c r="F542" s="135"/>
      <c r="G542" s="57"/>
    </row>
    <row r="543" spans="1:7" ht="13">
      <c r="A543" s="261"/>
      <c r="B543" s="679" t="s">
        <v>316</v>
      </c>
      <c r="C543" s="266"/>
      <c r="D543" s="1889" t="s">
        <v>1234</v>
      </c>
      <c r="E543" s="1889"/>
      <c r="F543" s="1889"/>
      <c r="G543" s="57"/>
    </row>
    <row r="544" spans="1:7" ht="13">
      <c r="A544" s="23"/>
      <c r="B544" s="675"/>
      <c r="C544" s="266"/>
      <c r="D544" s="1889" t="s">
        <v>881</v>
      </c>
      <c r="E544" s="1889"/>
      <c r="F544" s="1889"/>
      <c r="G544" s="57"/>
    </row>
    <row r="545" spans="1:7" ht="13">
      <c r="A545" s="23"/>
      <c r="B545" s="675"/>
      <c r="C545" s="266"/>
      <c r="D545" s="6"/>
      <c r="E545" s="1907" t="s">
        <v>1235</v>
      </c>
      <c r="F545" s="1907"/>
      <c r="G545" s="57"/>
    </row>
    <row r="546" spans="1:7" ht="13">
      <c r="A546" s="261"/>
      <c r="B546" s="261"/>
      <c r="C546" s="266"/>
      <c r="E546" s="135"/>
      <c r="F546" s="135"/>
      <c r="G546" s="57"/>
    </row>
    <row r="547" spans="1:7" ht="13">
      <c r="A547" s="261"/>
      <c r="B547" s="679" t="s">
        <v>316</v>
      </c>
      <c r="C547" s="266"/>
      <c r="D547" s="1951" t="s">
        <v>1236</v>
      </c>
      <c r="E547" s="1951"/>
      <c r="F547" s="1951"/>
      <c r="G547" s="57"/>
    </row>
    <row r="548" spans="1:7">
      <c r="C548" s="266"/>
      <c r="D548" s="1876" t="s">
        <v>1237</v>
      </c>
      <c r="E548" s="1876"/>
      <c r="F548" s="1876"/>
      <c r="G548" s="57"/>
    </row>
    <row r="549" spans="1:7">
      <c r="A549" s="266"/>
      <c r="B549" s="266"/>
      <c r="C549" s="266"/>
      <c r="D549" s="1876"/>
      <c r="E549" s="1876"/>
      <c r="F549" s="1876"/>
      <c r="G549" s="57"/>
    </row>
    <row r="550" spans="1:7">
      <c r="A550" s="266"/>
      <c r="B550" s="266"/>
      <c r="C550" s="266"/>
      <c r="D550" s="1876"/>
      <c r="E550" s="1876"/>
      <c r="F550" s="1876"/>
      <c r="G550" s="57"/>
    </row>
    <row r="551" spans="1:7">
      <c r="A551" s="266"/>
      <c r="B551" s="266"/>
      <c r="C551" s="266"/>
      <c r="D551" s="135"/>
      <c r="E551" s="135"/>
      <c r="F551" s="135"/>
      <c r="G551" s="57"/>
    </row>
    <row r="552" spans="1:7" ht="13">
      <c r="A552" s="261"/>
      <c r="B552" s="679" t="s">
        <v>316</v>
      </c>
      <c r="C552" s="266"/>
      <c r="D552" s="1876" t="s">
        <v>1238</v>
      </c>
      <c r="E552" s="1876"/>
      <c r="F552" s="1876"/>
      <c r="G552" s="57"/>
    </row>
    <row r="553" spans="1:7" ht="13">
      <c r="A553" s="261"/>
      <c r="B553" s="261"/>
      <c r="C553" s="266"/>
      <c r="D553" s="1876"/>
      <c r="E553" s="1876"/>
      <c r="F553" s="1876"/>
      <c r="G553" s="57"/>
    </row>
    <row r="554" spans="1:7" ht="13">
      <c r="A554" s="261"/>
      <c r="B554" s="261"/>
      <c r="C554" s="266"/>
      <c r="D554" s="1876"/>
      <c r="E554" s="1876"/>
      <c r="F554" s="1876"/>
      <c r="G554" s="57"/>
    </row>
    <row r="555" spans="1:7" ht="13">
      <c r="A555" s="261"/>
      <c r="B555" s="261"/>
      <c r="C555" s="266"/>
      <c r="D555" s="1876"/>
      <c r="E555" s="1876"/>
      <c r="F555" s="1876"/>
      <c r="G555" s="57"/>
    </row>
    <row r="556" spans="1:7" ht="13">
      <c r="A556" s="261"/>
      <c r="B556" s="261"/>
      <c r="C556" s="266"/>
      <c r="D556" s="135"/>
      <c r="E556" s="135"/>
      <c r="F556" s="135"/>
      <c r="G556" s="57"/>
    </row>
    <row r="557" spans="1:7" ht="13">
      <c r="A557" s="1896" t="s">
        <v>1171</v>
      </c>
      <c r="B557" s="1896"/>
      <c r="C557" s="1896"/>
      <c r="D557" s="1896"/>
      <c r="E557" s="1896"/>
      <c r="F557" s="1896"/>
      <c r="G557" s="1896"/>
    </row>
    <row r="558" spans="1:7">
      <c r="A558" s="266"/>
      <c r="B558" s="266"/>
      <c r="C558" s="266"/>
      <c r="E558" s="135"/>
      <c r="F558" s="135"/>
      <c r="G558" s="57"/>
    </row>
    <row r="559" spans="1:7" ht="12.75" customHeight="1">
      <c r="C559" s="255"/>
      <c r="D559" s="1925" t="s">
        <v>216</v>
      </c>
      <c r="E559" s="1925"/>
      <c r="F559" s="1925"/>
      <c r="G559" s="57"/>
    </row>
    <row r="560" spans="1:7" ht="13">
      <c r="A560" s="260"/>
      <c r="B560" s="260"/>
      <c r="C560" s="260"/>
      <c r="D560" s="1919" t="s">
        <v>1187</v>
      </c>
      <c r="E560" s="1919"/>
      <c r="F560" s="1919"/>
      <c r="G560" s="57"/>
    </row>
    <row r="561" spans="1:7" ht="13">
      <c r="A561" s="12"/>
      <c r="B561" s="12"/>
      <c r="C561" s="260"/>
      <c r="D561" s="377"/>
      <c r="G561" s="57"/>
    </row>
    <row r="562" spans="1:7" ht="13">
      <c r="A562" s="260"/>
      <c r="B562" s="679" t="s">
        <v>316</v>
      </c>
      <c r="D562" s="1919" t="s">
        <v>955</v>
      </c>
      <c r="E562" s="1919"/>
      <c r="F562" s="1919"/>
      <c r="G562" s="57"/>
    </row>
    <row r="563" spans="1:7" ht="13">
      <c r="A563" s="23"/>
      <c r="B563" s="675"/>
      <c r="D563" s="325"/>
    </row>
    <row r="564" spans="1:7" ht="13">
      <c r="A564" s="23"/>
      <c r="B564" s="679" t="s">
        <v>316</v>
      </c>
      <c r="D564" s="1895" t="s">
        <v>1188</v>
      </c>
      <c r="E564" s="1895"/>
      <c r="F564" s="1895"/>
    </row>
    <row r="565" spans="1:7" ht="13">
      <c r="A565" s="23"/>
      <c r="B565" s="675"/>
      <c r="D565" s="1895"/>
      <c r="E565" s="1895"/>
      <c r="F565" s="1895"/>
    </row>
    <row r="566" spans="1:7" ht="13">
      <c r="A566" s="23"/>
      <c r="B566" s="688"/>
      <c r="D566" s="1895"/>
      <c r="E566" s="1895"/>
      <c r="F566" s="1895"/>
    </row>
    <row r="567" spans="1:7" ht="13">
      <c r="A567" s="23"/>
      <c r="B567" s="675"/>
      <c r="D567" s="478"/>
    </row>
    <row r="568" spans="1:7" s="682" customFormat="1" ht="13">
      <c r="A568" s="688"/>
      <c r="B568" s="679" t="s">
        <v>316</v>
      </c>
      <c r="C568" s="689"/>
      <c r="D568" s="1895" t="s">
        <v>1189</v>
      </c>
      <c r="E568" s="1895"/>
      <c r="F568" s="1895"/>
      <c r="G568" s="7"/>
    </row>
    <row r="569" spans="1:7" s="682" customFormat="1" ht="13">
      <c r="A569" s="688"/>
      <c r="B569" s="688"/>
      <c r="C569" s="689"/>
      <c r="D569" s="1895"/>
      <c r="E569" s="1895"/>
      <c r="F569" s="1895"/>
      <c r="G569" s="7"/>
    </row>
    <row r="570" spans="1:7" s="682" customFormat="1" ht="13">
      <c r="A570" s="688"/>
      <c r="B570" s="688"/>
      <c r="C570" s="689"/>
      <c r="D570" s="1895"/>
      <c r="E570" s="1895"/>
      <c r="F570" s="1895"/>
      <c r="G570" s="7"/>
    </row>
    <row r="571" spans="1:7" s="682" customFormat="1" ht="13">
      <c r="A571" s="688"/>
      <c r="B571" s="688"/>
      <c r="C571" s="689"/>
      <c r="D571" s="1895"/>
      <c r="E571" s="1895"/>
      <c r="F571" s="1895"/>
      <c r="G571" s="7"/>
    </row>
    <row r="572" spans="1:7" s="682" customFormat="1" ht="13">
      <c r="A572" s="688"/>
      <c r="B572" s="688"/>
      <c r="C572" s="689"/>
      <c r="D572" s="694"/>
      <c r="E572" s="694"/>
      <c r="F572" s="694"/>
      <c r="G572" s="7"/>
    </row>
    <row r="573" spans="1:7" ht="13">
      <c r="A573" s="23"/>
      <c r="B573" s="679" t="s">
        <v>316</v>
      </c>
      <c r="D573" s="1895" t="s">
        <v>1190</v>
      </c>
      <c r="E573" s="1895"/>
      <c r="F573" s="1895"/>
    </row>
    <row r="574" spans="1:7" ht="13">
      <c r="A574" s="23"/>
      <c r="B574" s="675"/>
      <c r="D574" s="1895"/>
      <c r="E574" s="1895"/>
      <c r="F574" s="1895"/>
    </row>
    <row r="575" spans="1:7" ht="13">
      <c r="A575" s="23"/>
      <c r="B575" s="675"/>
      <c r="D575" s="377"/>
    </row>
    <row r="576" spans="1:7" s="682" customFormat="1" ht="13">
      <c r="A576" s="688"/>
      <c r="B576" s="679" t="s">
        <v>316</v>
      </c>
      <c r="C576" s="689"/>
      <c r="D576" s="1919" t="s">
        <v>1191</v>
      </c>
      <c r="E576" s="1919"/>
      <c r="F576" s="1919"/>
      <c r="G576" s="7"/>
    </row>
    <row r="577" spans="1:7" s="682" customFormat="1" ht="13">
      <c r="A577" s="688"/>
      <c r="B577" s="688"/>
      <c r="C577" s="689"/>
      <c r="D577" s="1919"/>
      <c r="E577" s="1919"/>
      <c r="F577" s="1919"/>
      <c r="G577" s="7"/>
    </row>
    <row r="578" spans="1:7" s="682" customFormat="1" ht="13">
      <c r="A578" s="688"/>
      <c r="B578" s="688"/>
      <c r="C578" s="689"/>
      <c r="D578" s="377"/>
      <c r="E578" s="7"/>
      <c r="F578" s="7"/>
      <c r="G578" s="7"/>
    </row>
    <row r="579" spans="1:7" ht="13">
      <c r="A579" s="261"/>
      <c r="B579" s="679" t="s">
        <v>316</v>
      </c>
      <c r="D579" s="1919" t="s">
        <v>950</v>
      </c>
      <c r="E579" s="1919"/>
      <c r="F579" s="1919"/>
    </row>
    <row r="580" spans="1:7" ht="13">
      <c r="A580" s="261"/>
      <c r="B580" s="261"/>
      <c r="D580" s="377"/>
    </row>
    <row r="581" spans="1:7" ht="13">
      <c r="A581" s="261"/>
      <c r="B581" s="679" t="s">
        <v>316</v>
      </c>
      <c r="D581" s="1919" t="s">
        <v>1192</v>
      </c>
      <c r="E581" s="1919"/>
      <c r="F581" s="1919"/>
    </row>
    <row r="582" spans="1:7" ht="13">
      <c r="A582" s="261"/>
      <c r="B582" s="261"/>
      <c r="D582" s="1919"/>
      <c r="E582" s="1919"/>
      <c r="F582" s="1919"/>
    </row>
    <row r="583" spans="1:7">
      <c r="D583" s="1919"/>
      <c r="E583" s="1919"/>
      <c r="F583" s="1919"/>
    </row>
    <row r="584" spans="1:7">
      <c r="D584" s="1919"/>
      <c r="E584" s="1919"/>
      <c r="F584" s="1919"/>
    </row>
    <row r="585" spans="1:7" s="682" customFormat="1">
      <c r="A585" s="689"/>
      <c r="B585" s="689"/>
      <c r="C585" s="689"/>
      <c r="D585" s="1919"/>
      <c r="E585" s="1919"/>
      <c r="F585" s="1919"/>
      <c r="G585" s="7"/>
    </row>
    <row r="586" spans="1:7" s="682" customFormat="1">
      <c r="A586" s="689"/>
      <c r="B586" s="689"/>
      <c r="C586" s="689"/>
      <c r="D586" s="1919"/>
      <c r="E586" s="1919"/>
      <c r="F586" s="1919"/>
      <c r="G586" s="7"/>
    </row>
    <row r="587" spans="1:7"/>
    <row r="588" spans="1:7" ht="13">
      <c r="A588" s="1896" t="s">
        <v>1172</v>
      </c>
      <c r="B588" s="1896"/>
      <c r="C588" s="1896"/>
      <c r="D588" s="1896"/>
      <c r="E588" s="1896"/>
      <c r="F588" s="1896"/>
      <c r="G588" s="1896"/>
    </row>
    <row r="589" spans="1:7"/>
    <row r="590" spans="1:7" ht="13">
      <c r="D590" s="1913" t="s">
        <v>1272</v>
      </c>
      <c r="E590" s="1913"/>
      <c r="F590" s="1913"/>
    </row>
    <row r="591" spans="1:7">
      <c r="D591" s="1952" t="s">
        <v>1273</v>
      </c>
      <c r="E591" s="1952"/>
      <c r="F591" s="1952"/>
    </row>
    <row r="592" spans="1:7" s="719" customFormat="1">
      <c r="A592" s="705"/>
      <c r="B592" s="705"/>
      <c r="C592" s="705"/>
      <c r="D592" s="723"/>
      <c r="E592" s="722"/>
      <c r="F592" s="722"/>
      <c r="G592" s="7"/>
    </row>
    <row r="593" spans="1:7" s="39" customFormat="1" ht="13">
      <c r="A593" s="403"/>
      <c r="B593" s="679" t="s">
        <v>316</v>
      </c>
      <c r="C593" s="273"/>
      <c r="D593" s="1915" t="s">
        <v>1274</v>
      </c>
      <c r="E593" s="1915"/>
      <c r="F593" s="1915"/>
      <c r="G593" s="130"/>
    </row>
    <row r="594" spans="1:7">
      <c r="D594" s="1915"/>
      <c r="E594" s="1915"/>
      <c r="F594" s="1915"/>
    </row>
    <row r="595" spans="1:7">
      <c r="D595" s="1915"/>
      <c r="E595" s="1915"/>
      <c r="F595" s="1915"/>
    </row>
    <row r="596" spans="1:7"/>
    <row r="597" spans="1:7" ht="13">
      <c r="A597" s="1896" t="s">
        <v>1173</v>
      </c>
      <c r="B597" s="1896"/>
      <c r="C597" s="1896"/>
      <c r="D597" s="1896"/>
      <c r="E597" s="1896"/>
      <c r="F597" s="1896"/>
      <c r="G597" s="1896"/>
    </row>
    <row r="598" spans="1:7">
      <c r="A598" s="135"/>
      <c r="B598" s="135"/>
      <c r="G598" s="57"/>
    </row>
    <row r="599" spans="1:7" ht="13">
      <c r="A599" s="257"/>
      <c r="B599" s="674"/>
      <c r="C599" s="255"/>
      <c r="D599" s="1953" t="s">
        <v>1275</v>
      </c>
      <c r="E599" s="1953"/>
      <c r="F599" s="1953"/>
      <c r="G599" s="57"/>
    </row>
    <row r="600" spans="1:7" ht="13">
      <c r="A600" s="257"/>
      <c r="B600" s="674"/>
      <c r="C600" s="255"/>
      <c r="D600" s="1953"/>
      <c r="E600" s="1953"/>
      <c r="F600" s="1953"/>
      <c r="G600" s="57"/>
    </row>
    <row r="601" spans="1:7" ht="13">
      <c r="C601" s="260"/>
      <c r="D601" s="1952" t="s">
        <v>1276</v>
      </c>
      <c r="E601" s="1952"/>
      <c r="F601" s="1952"/>
      <c r="G601" s="57"/>
    </row>
    <row r="602" spans="1:7" s="719" customFormat="1" ht="13">
      <c r="A602" s="705"/>
      <c r="B602" s="705"/>
      <c r="C602" s="720"/>
      <c r="D602" s="724"/>
      <c r="E602" s="724"/>
      <c r="F602" s="724"/>
      <c r="G602" s="57"/>
    </row>
    <row r="603" spans="1:7" ht="13">
      <c r="A603" s="23"/>
      <c r="B603" s="679" t="s">
        <v>316</v>
      </c>
      <c r="D603" s="1952" t="s">
        <v>453</v>
      </c>
      <c r="E603" s="1952"/>
      <c r="F603" s="1952"/>
      <c r="G603" s="57"/>
    </row>
    <row r="604" spans="1:7" ht="13">
      <c r="C604" s="268"/>
      <c r="E604" s="12"/>
      <c r="G604" s="57"/>
    </row>
    <row r="605" spans="1:7" ht="13">
      <c r="A605" s="23"/>
      <c r="B605" s="679" t="s">
        <v>316</v>
      </c>
      <c r="D605" s="1912" t="s">
        <v>1277</v>
      </c>
      <c r="E605" s="1912"/>
      <c r="F605" s="1912"/>
      <c r="G605" s="57"/>
    </row>
    <row r="606" spans="1:7">
      <c r="D606" s="1912"/>
      <c r="E606" s="1912"/>
      <c r="F606" s="1912"/>
      <c r="G606" s="57"/>
    </row>
    <row r="607" spans="1:7">
      <c r="D607" s="12"/>
      <c r="G607" s="57"/>
    </row>
    <row r="608" spans="1:7">
      <c r="B608" s="679" t="s">
        <v>316</v>
      </c>
      <c r="D608" s="1912" t="s">
        <v>1278</v>
      </c>
      <c r="E608" s="1912"/>
      <c r="F608" s="1912"/>
      <c r="G608" s="57"/>
    </row>
    <row r="609" spans="1:7" ht="13">
      <c r="C609" s="268"/>
      <c r="D609" s="1912"/>
      <c r="E609" s="1912"/>
      <c r="F609" s="1912"/>
      <c r="G609" s="57"/>
    </row>
    <row r="610" spans="1:7" ht="13">
      <c r="C610" s="268"/>
      <c r="G610" s="57"/>
    </row>
    <row r="611" spans="1:7" ht="13">
      <c r="B611" s="679" t="s">
        <v>316</v>
      </c>
      <c r="C611" s="268"/>
      <c r="D611" s="1912" t="s">
        <v>1279</v>
      </c>
      <c r="E611" s="1912"/>
      <c r="F611" s="1912"/>
      <c r="G611" s="57"/>
    </row>
    <row r="612" spans="1:7" ht="13">
      <c r="C612" s="268"/>
      <c r="D612" s="1912"/>
      <c r="E612" s="1912"/>
      <c r="F612" s="1912"/>
      <c r="G612" s="57"/>
    </row>
    <row r="613" spans="1:7" ht="13">
      <c r="C613" s="268"/>
      <c r="G613" s="57"/>
    </row>
    <row r="614" spans="1:7" ht="13">
      <c r="A614" s="1896" t="s">
        <v>1174</v>
      </c>
      <c r="B614" s="1896"/>
      <c r="C614" s="1896"/>
      <c r="D614" s="1896"/>
      <c r="E614" s="1896"/>
      <c r="F614" s="1896"/>
      <c r="G614" s="1896"/>
    </row>
    <row r="615" spans="1:7" ht="13">
      <c r="A615" s="267"/>
      <c r="B615" s="267"/>
      <c r="C615" s="267"/>
      <c r="G615" s="57"/>
    </row>
    <row r="616" spans="1:7" ht="13">
      <c r="C616" s="23"/>
      <c r="D616" s="1913" t="s">
        <v>1280</v>
      </c>
      <c r="E616" s="1913"/>
      <c r="F616" s="1913"/>
      <c r="G616" s="57"/>
    </row>
    <row r="617" spans="1:7" ht="13">
      <c r="A617" s="23"/>
      <c r="B617" s="675"/>
      <c r="C617" s="265"/>
      <c r="D617" s="50"/>
      <c r="G617" s="57"/>
    </row>
    <row r="618" spans="1:7" ht="13">
      <c r="A618" s="261"/>
      <c r="B618" s="679" t="s">
        <v>316</v>
      </c>
      <c r="C618" s="265"/>
      <c r="D618" s="1914" t="s">
        <v>1281</v>
      </c>
      <c r="E618" s="1914"/>
      <c r="F618" s="1914"/>
      <c r="G618" s="57"/>
    </row>
    <row r="619" spans="1:7">
      <c r="C619" s="265"/>
      <c r="D619" s="1914"/>
      <c r="E619" s="1914"/>
      <c r="F619" s="1914"/>
      <c r="G619" s="57"/>
    </row>
    <row r="620" spans="1:7">
      <c r="C620" s="265"/>
      <c r="D620" s="1914"/>
      <c r="E620" s="1914"/>
      <c r="F620" s="1914"/>
      <c r="G620" s="57"/>
    </row>
    <row r="621" spans="1:7">
      <c r="C621" s="265"/>
      <c r="D621" s="1914"/>
      <c r="E621" s="1914"/>
      <c r="F621" s="1914"/>
      <c r="G621" s="57"/>
    </row>
    <row r="622" spans="1:7">
      <c r="C622" s="265"/>
      <c r="D622" s="1914"/>
      <c r="E622" s="1914"/>
      <c r="F622" s="1914"/>
      <c r="G622" s="57"/>
    </row>
    <row r="623" spans="1:7">
      <c r="C623" s="265"/>
      <c r="D623" s="1914"/>
      <c r="E623" s="1914"/>
      <c r="F623" s="1914"/>
      <c r="G623" s="57"/>
    </row>
    <row r="624" spans="1:7" s="719" customFormat="1">
      <c r="A624" s="705"/>
      <c r="B624" s="705"/>
      <c r="C624" s="265"/>
      <c r="D624" s="725"/>
      <c r="E624" s="725"/>
      <c r="F624" s="725"/>
      <c r="G624" s="57"/>
    </row>
    <row r="625" spans="1:7" ht="13">
      <c r="A625" s="261"/>
      <c r="B625" s="679" t="s">
        <v>316</v>
      </c>
      <c r="C625" s="265"/>
      <c r="D625" s="1914" t="s">
        <v>1282</v>
      </c>
      <c r="E625" s="1914"/>
      <c r="F625" s="1914"/>
      <c r="G625" s="57"/>
    </row>
    <row r="626" spans="1:7">
      <c r="A626" s="266"/>
      <c r="B626" s="266"/>
      <c r="C626" s="266"/>
      <c r="D626" s="1914"/>
      <c r="E626" s="1914"/>
      <c r="F626" s="1914"/>
      <c r="G626" s="57"/>
    </row>
    <row r="627" spans="1:7">
      <c r="A627" s="266"/>
      <c r="B627" s="266"/>
      <c r="C627" s="266"/>
      <c r="D627" s="151"/>
      <c r="E627" s="147"/>
      <c r="F627" s="147"/>
      <c r="G627" s="57"/>
    </row>
    <row r="628" spans="1:7" ht="13">
      <c r="A628" s="261"/>
      <c r="B628" s="679" t="s">
        <v>316</v>
      </c>
      <c r="C628" s="266"/>
      <c r="D628" s="1915" t="s">
        <v>1283</v>
      </c>
      <c r="E628" s="1915"/>
      <c r="F628" s="1915"/>
      <c r="G628" s="57"/>
    </row>
    <row r="629" spans="1:7" ht="13">
      <c r="A629" s="261"/>
      <c r="B629" s="261"/>
      <c r="C629" s="266"/>
      <c r="D629" s="1915"/>
      <c r="E629" s="1915"/>
      <c r="F629" s="1915"/>
      <c r="G629" s="57"/>
    </row>
    <row r="630" spans="1:7" ht="13">
      <c r="A630" s="261"/>
      <c r="B630" s="261"/>
      <c r="C630" s="266"/>
      <c r="D630" s="1915"/>
      <c r="E630" s="1915"/>
      <c r="F630" s="1915"/>
      <c r="G630" s="57"/>
    </row>
    <row r="631" spans="1:7">
      <c r="A631" s="266"/>
      <c r="B631" s="266"/>
      <c r="C631" s="266"/>
      <c r="D631" s="1915"/>
      <c r="E631" s="1915"/>
      <c r="F631" s="1915"/>
      <c r="G631" s="57"/>
    </row>
    <row r="632" spans="1:7" s="719" customFormat="1">
      <c r="A632" s="266"/>
      <c r="B632" s="266"/>
      <c r="C632" s="266"/>
      <c r="D632" s="726"/>
      <c r="E632" s="726"/>
      <c r="F632" s="726"/>
      <c r="G632" s="57"/>
    </row>
    <row r="633" spans="1:7">
      <c r="A633" s="266"/>
      <c r="B633" s="679" t="s">
        <v>316</v>
      </c>
      <c r="C633" s="266"/>
      <c r="D633" s="1916" t="s">
        <v>1284</v>
      </c>
      <c r="E633" s="1916"/>
      <c r="F633" s="1916"/>
      <c r="G633" s="57"/>
    </row>
    <row r="634" spans="1:7">
      <c r="A634" s="266"/>
      <c r="B634" s="266"/>
      <c r="C634" s="266"/>
      <c r="D634" s="727"/>
      <c r="E634" s="727"/>
      <c r="F634" s="727"/>
      <c r="G634" s="57"/>
    </row>
    <row r="635" spans="1:7" ht="13">
      <c r="A635" s="1896" t="s">
        <v>1175</v>
      </c>
      <c r="B635" s="1896"/>
      <c r="C635" s="1896"/>
      <c r="D635" s="1896"/>
      <c r="E635" s="1896"/>
      <c r="F635" s="1896"/>
      <c r="G635" s="1896"/>
    </row>
    <row r="636" spans="1:7">
      <c r="A636" s="135"/>
      <c r="B636" s="135"/>
      <c r="C636" s="266"/>
      <c r="D636" s="147"/>
      <c r="E636" s="147"/>
      <c r="F636" s="147"/>
      <c r="G636" s="57"/>
    </row>
    <row r="637" spans="1:7" ht="13">
      <c r="C637" s="267"/>
      <c r="D637" s="1917" t="s">
        <v>1334</v>
      </c>
      <c r="E637" s="1917"/>
      <c r="F637" s="1917"/>
      <c r="G637" s="57"/>
    </row>
    <row r="638" spans="1:7" ht="13">
      <c r="A638" s="260"/>
      <c r="B638" s="260"/>
      <c r="C638" s="260"/>
      <c r="D638" s="1918" t="s">
        <v>1335</v>
      </c>
      <c r="E638" s="1918"/>
      <c r="F638" s="1918"/>
      <c r="G638" s="57"/>
    </row>
    <row r="639" spans="1:7" s="719" customFormat="1" ht="13">
      <c r="A639" s="720"/>
      <c r="B639" s="720"/>
      <c r="C639" s="720"/>
      <c r="D639" s="734"/>
      <c r="E639" s="734"/>
      <c r="F639" s="734"/>
      <c r="G639" s="57"/>
    </row>
    <row r="640" spans="1:7" ht="14.5" customHeight="1">
      <c r="A640" s="261"/>
      <c r="B640" s="679" t="s">
        <v>316</v>
      </c>
      <c r="C640" s="266"/>
      <c r="D640" s="1874" t="s">
        <v>1336</v>
      </c>
      <c r="E640" s="1874"/>
      <c r="F640" s="1874"/>
      <c r="G640" s="57"/>
    </row>
    <row r="641" spans="1:11" ht="13">
      <c r="A641" s="261"/>
      <c r="B641" s="261"/>
      <c r="C641" s="266"/>
      <c r="D641" s="1874"/>
      <c r="E641" s="1874"/>
      <c r="F641" s="1874"/>
      <c r="G641" s="57"/>
    </row>
    <row r="642" spans="1:11" ht="13">
      <c r="A642" s="261"/>
      <c r="B642" s="261"/>
      <c r="C642" s="266"/>
      <c r="D642" s="1874"/>
      <c r="E642" s="1874"/>
      <c r="F642" s="1874"/>
      <c r="G642" s="57"/>
    </row>
    <row r="643" spans="1:11" ht="13">
      <c r="A643" s="261"/>
      <c r="B643" s="261"/>
      <c r="C643" s="266"/>
      <c r="D643" s="1874"/>
      <c r="E643" s="1874"/>
      <c r="F643" s="1874"/>
      <c r="G643" s="57"/>
    </row>
    <row r="644" spans="1:11" s="682" customFormat="1" ht="13">
      <c r="A644" s="261"/>
      <c r="B644" s="261"/>
      <c r="C644" s="266"/>
      <c r="D644" s="1874"/>
      <c r="E644" s="1874"/>
      <c r="F644" s="1874"/>
      <c r="G644" s="57"/>
    </row>
    <row r="645" spans="1:11" s="719" customFormat="1" ht="13">
      <c r="A645" s="714"/>
      <c r="B645" s="714"/>
      <c r="C645" s="266"/>
      <c r="D645" s="736"/>
      <c r="E645" s="736"/>
      <c r="F645" s="736"/>
      <c r="G645" s="57"/>
    </row>
    <row r="646" spans="1:11" s="682" customFormat="1" ht="13">
      <c r="A646" s="261"/>
      <c r="B646" s="679" t="s">
        <v>316</v>
      </c>
      <c r="C646" s="266"/>
      <c r="D646" s="1935" t="s">
        <v>1186</v>
      </c>
      <c r="E646" s="1935"/>
      <c r="F646" s="1935"/>
      <c r="G646" s="57"/>
    </row>
    <row r="647" spans="1:11" s="682" customFormat="1" ht="13">
      <c r="A647" s="261"/>
      <c r="B647" s="261"/>
      <c r="C647" s="266"/>
      <c r="D647" s="1936" t="s">
        <v>1337</v>
      </c>
      <c r="E647" s="1936"/>
      <c r="F647" s="1936"/>
      <c r="G647" s="57"/>
    </row>
    <row r="648" spans="1:11" s="682" customFormat="1" ht="13">
      <c r="A648" s="261"/>
      <c r="B648" s="261"/>
      <c r="C648" s="266"/>
      <c r="D648" s="1936"/>
      <c r="E648" s="1936"/>
      <c r="F648" s="1936"/>
      <c r="G648" s="57"/>
    </row>
    <row r="649" spans="1:11" s="682" customFormat="1" ht="13">
      <c r="A649" s="261"/>
      <c r="B649" s="261"/>
      <c r="C649" s="266"/>
      <c r="D649" s="1936"/>
      <c r="E649" s="1936"/>
      <c r="F649" s="1936"/>
      <c r="G649" s="57"/>
    </row>
    <row r="650" spans="1:11" s="682" customFormat="1" ht="13">
      <c r="A650" s="261"/>
      <c r="B650" s="261"/>
      <c r="C650" s="266"/>
      <c r="D650" s="1936"/>
      <c r="E650" s="1936"/>
      <c r="F650" s="1936"/>
      <c r="G650" s="57"/>
    </row>
    <row r="651" spans="1:11" s="682" customFormat="1" ht="13">
      <c r="A651" s="261"/>
      <c r="B651" s="261"/>
      <c r="C651" s="266"/>
      <c r="D651" s="1936"/>
      <c r="E651" s="1936"/>
      <c r="F651" s="1936"/>
      <c r="G651" s="57"/>
    </row>
    <row r="652" spans="1:11" s="682" customFormat="1" ht="13">
      <c r="A652" s="261"/>
      <c r="B652" s="261"/>
      <c r="C652" s="266"/>
      <c r="D652" s="1937" t="s">
        <v>1338</v>
      </c>
      <c r="E652" s="1937"/>
      <c r="F652" s="1937"/>
      <c r="G652" s="57"/>
    </row>
    <row r="653" spans="1:11">
      <c r="A653" s="266"/>
      <c r="B653" s="266"/>
      <c r="C653" s="266"/>
      <c r="D653" s="147"/>
      <c r="E653" s="147"/>
      <c r="F653" s="147"/>
      <c r="G653" s="57"/>
    </row>
    <row r="654" spans="1:11" ht="13">
      <c r="A654" s="1896" t="s">
        <v>1176</v>
      </c>
      <c r="B654" s="1896"/>
      <c r="C654" s="1896"/>
      <c r="D654" s="1896"/>
      <c r="E654" s="1896"/>
      <c r="F654" s="1896"/>
      <c r="G654" s="1896"/>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99" t="s">
        <v>104</v>
      </c>
      <c r="E656" s="1899"/>
      <c r="F656" s="1899"/>
      <c r="G656" s="57"/>
      <c r="H656" s="269"/>
      <c r="I656" s="269"/>
      <c r="J656" s="269"/>
      <c r="K656" s="269"/>
    </row>
    <row r="657" spans="1:11" ht="13">
      <c r="A657" s="267"/>
      <c r="B657" s="267"/>
      <c r="C657" s="267"/>
      <c r="D657" s="1899" t="s">
        <v>128</v>
      </c>
      <c r="E657" s="1899"/>
      <c r="F657" s="1899"/>
      <c r="G657" s="57"/>
      <c r="H657" s="269"/>
      <c r="I657" s="269"/>
      <c r="J657" s="269"/>
      <c r="K657" s="269"/>
    </row>
    <row r="658" spans="1:11" ht="13">
      <c r="A658" s="260"/>
      <c r="B658" s="260"/>
      <c r="C658" s="260"/>
      <c r="D658" s="1889" t="s">
        <v>1212</v>
      </c>
      <c r="E658" s="1889"/>
      <c r="F658" s="1889"/>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9" t="s">
        <v>951</v>
      </c>
      <c r="E660" s="1889"/>
      <c r="F660" s="1889"/>
      <c r="G660" s="57"/>
      <c r="H660" s="269"/>
      <c r="I660" s="269"/>
      <c r="J660" s="269"/>
      <c r="K660" s="269"/>
    </row>
    <row r="661" spans="1:11" ht="13">
      <c r="A661" s="260"/>
      <c r="B661" s="260"/>
      <c r="C661" s="260"/>
      <c r="D661" s="1889" t="s">
        <v>962</v>
      </c>
      <c r="E661" s="1889"/>
      <c r="F661" s="1889"/>
      <c r="G661" s="57"/>
      <c r="H661" s="269"/>
      <c r="I661" s="269"/>
      <c r="J661" s="269"/>
      <c r="K661" s="269"/>
    </row>
    <row r="662" spans="1:11" ht="13">
      <c r="A662" s="260"/>
      <c r="B662" s="260"/>
      <c r="C662" s="260"/>
      <c r="D662" s="6"/>
      <c r="E662" s="1885" t="s">
        <v>1213</v>
      </c>
      <c r="F662" s="1885"/>
      <c r="G662" s="57"/>
      <c r="H662" s="269"/>
      <c r="I662" s="269"/>
      <c r="J662" s="269"/>
      <c r="K662" s="269"/>
    </row>
    <row r="663" spans="1:11" ht="13">
      <c r="A663" s="260"/>
      <c r="B663" s="260"/>
      <c r="C663" s="260"/>
      <c r="D663" s="6"/>
      <c r="E663" s="1885"/>
      <c r="F663" s="1885"/>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76" t="s">
        <v>1214</v>
      </c>
      <c r="E665" s="1876"/>
      <c r="F665" s="1876"/>
      <c r="G665" s="57"/>
      <c r="H665" s="269"/>
      <c r="I665" s="269"/>
      <c r="J665" s="269"/>
      <c r="K665" s="269"/>
    </row>
    <row r="666" spans="1:11" ht="13">
      <c r="A666" s="23"/>
      <c r="B666" s="675"/>
      <c r="C666" s="260"/>
      <c r="D666" s="1876"/>
      <c r="E666" s="1876"/>
      <c r="F666" s="1876"/>
      <c r="G666" s="57"/>
      <c r="H666" s="269"/>
      <c r="I666" s="269"/>
      <c r="J666" s="269"/>
      <c r="K666" s="269"/>
    </row>
    <row r="667" spans="1:11" ht="13">
      <c r="A667" s="260"/>
      <c r="B667" s="260"/>
      <c r="C667" s="260"/>
      <c r="D667" s="1876"/>
      <c r="E667" s="1876"/>
      <c r="F667" s="1876"/>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9" t="s">
        <v>991</v>
      </c>
      <c r="E669" s="1889"/>
      <c r="F669" s="1889"/>
      <c r="G669" s="57"/>
      <c r="H669" s="269"/>
      <c r="I669" s="269"/>
      <c r="J669" s="269"/>
      <c r="K669" s="269"/>
    </row>
    <row r="670" spans="1:11" ht="13">
      <c r="A670" s="261"/>
      <c r="B670" s="261"/>
      <c r="C670" s="260"/>
      <c r="D670" s="1889" t="s">
        <v>962</v>
      </c>
      <c r="E670" s="1889"/>
      <c r="F670" s="1889"/>
      <c r="G670" s="57"/>
      <c r="H670" s="269"/>
      <c r="I670" s="269"/>
      <c r="J670" s="269"/>
      <c r="K670" s="269"/>
    </row>
    <row r="671" spans="1:11" ht="13">
      <c r="A671" s="260"/>
      <c r="B671" s="260"/>
      <c r="C671" s="260"/>
      <c r="D671" s="6"/>
      <c r="E671" s="1907" t="s">
        <v>1215</v>
      </c>
      <c r="F671" s="1907"/>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911" t="s">
        <v>1225</v>
      </c>
      <c r="E673" s="1911"/>
      <c r="F673" s="1911"/>
      <c r="G673" s="57"/>
      <c r="H673" s="269"/>
      <c r="I673" s="269"/>
      <c r="J673" s="269"/>
      <c r="K673" s="269"/>
    </row>
    <row r="674" spans="1:11" ht="13">
      <c r="A674" s="260"/>
      <c r="B674" s="260"/>
      <c r="C674" s="260"/>
      <c r="D674" s="1911"/>
      <c r="E674" s="1911"/>
      <c r="F674" s="1911"/>
      <c r="G674" s="57"/>
      <c r="H674" s="269"/>
      <c r="I674" s="269"/>
      <c r="J674" s="269"/>
      <c r="K674" s="269"/>
    </row>
    <row r="675" spans="1:11" ht="13">
      <c r="A675" s="260"/>
      <c r="B675" s="260"/>
      <c r="C675" s="260"/>
      <c r="D675" s="1911"/>
      <c r="E675" s="1911"/>
      <c r="F675" s="1911"/>
      <c r="G675" s="57"/>
      <c r="H675" s="269"/>
      <c r="I675" s="269"/>
      <c r="J675" s="269"/>
      <c r="K675" s="269"/>
    </row>
    <row r="676" spans="1:11" ht="13">
      <c r="A676" s="260"/>
      <c r="B676" s="260"/>
      <c r="C676" s="260"/>
      <c r="D676" s="1911"/>
      <c r="E676" s="1911"/>
      <c r="F676" s="1911"/>
      <c r="G676" s="57"/>
      <c r="H676" s="269"/>
      <c r="I676" s="269"/>
      <c r="J676" s="269"/>
      <c r="K676" s="269"/>
    </row>
    <row r="677" spans="1:11" ht="13">
      <c r="A677" s="260"/>
      <c r="B677" s="260"/>
      <c r="C677" s="260"/>
      <c r="D677" s="1911"/>
      <c r="E677" s="1911"/>
      <c r="F677" s="1911"/>
      <c r="G677" s="57"/>
      <c r="H677" s="269"/>
      <c r="I677" s="269"/>
      <c r="J677" s="269"/>
      <c r="K677" s="269"/>
    </row>
    <row r="678" spans="1:11" s="39" customFormat="1" ht="13">
      <c r="A678" s="487"/>
      <c r="B678" s="487"/>
      <c r="C678" s="487"/>
      <c r="D678" s="1911"/>
      <c r="E678" s="1911"/>
      <c r="F678" s="1911"/>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911" t="s">
        <v>1216</v>
      </c>
      <c r="E680" s="1911"/>
      <c r="F680" s="1911"/>
      <c r="G680" s="57"/>
      <c r="H680" s="269"/>
      <c r="I680" s="269"/>
      <c r="J680" s="269"/>
      <c r="K680" s="269"/>
    </row>
    <row r="681" spans="1:11" ht="13">
      <c r="A681" s="260"/>
      <c r="B681" s="260"/>
      <c r="C681" s="260"/>
      <c r="D681" s="1911"/>
      <c r="E681" s="1911"/>
      <c r="F681" s="1911"/>
      <c r="G681" s="57"/>
      <c r="H681" s="269"/>
      <c r="I681" s="269"/>
      <c r="J681" s="269"/>
      <c r="K681" s="269"/>
    </row>
    <row r="682" spans="1:11" ht="13">
      <c r="A682" s="260"/>
      <c r="B682" s="260"/>
      <c r="C682" s="260"/>
      <c r="D682" s="1911"/>
      <c r="E682" s="1911"/>
      <c r="F682" s="1911"/>
      <c r="G682" s="57"/>
      <c r="H682" s="269"/>
      <c r="I682" s="269"/>
      <c r="J682" s="269"/>
      <c r="K682" s="269"/>
    </row>
    <row r="683" spans="1:11" ht="15" customHeight="1">
      <c r="A683" s="260"/>
      <c r="B683" s="260"/>
      <c r="C683" s="260"/>
      <c r="D683" s="1911"/>
      <c r="E683" s="1911"/>
      <c r="F683" s="1911"/>
      <c r="G683" s="57"/>
      <c r="H683" s="269"/>
      <c r="I683" s="269"/>
      <c r="J683" s="269"/>
      <c r="K683" s="269"/>
    </row>
    <row r="684" spans="1:11" ht="15" customHeight="1">
      <c r="A684" s="260"/>
      <c r="B684" s="260"/>
      <c r="C684" s="260"/>
      <c r="D684" s="1911"/>
      <c r="E684" s="1911"/>
      <c r="F684" s="1911"/>
      <c r="G684" s="57"/>
      <c r="H684" s="269"/>
      <c r="I684" s="269"/>
      <c r="J684" s="269"/>
      <c r="K684" s="269"/>
    </row>
    <row r="685" spans="1:11" ht="13">
      <c r="A685" s="260"/>
      <c r="B685" s="260"/>
      <c r="C685" s="260"/>
      <c r="D685" s="1911"/>
      <c r="E685" s="1911"/>
      <c r="F685" s="1911"/>
      <c r="G685" s="57"/>
      <c r="H685" s="269"/>
      <c r="I685" s="269"/>
      <c r="J685" s="269"/>
      <c r="K685" s="269"/>
    </row>
    <row r="686" spans="1:11" ht="13">
      <c r="A686" s="260"/>
      <c r="B686" s="260"/>
      <c r="C686" s="260"/>
      <c r="D686" s="1911"/>
      <c r="E686" s="1911"/>
      <c r="F686" s="1911"/>
      <c r="G686" s="57"/>
      <c r="H686" s="269"/>
      <c r="I686" s="269"/>
      <c r="J686" s="269"/>
      <c r="K686" s="269"/>
    </row>
    <row r="687" spans="1:11" ht="13">
      <c r="A687" s="260"/>
      <c r="B687" s="260"/>
      <c r="C687" s="260"/>
      <c r="D687" s="1911"/>
      <c r="E687" s="1911"/>
      <c r="F687" s="1911"/>
      <c r="G687" s="57"/>
      <c r="H687" s="269"/>
      <c r="I687" s="269"/>
      <c r="J687" s="269"/>
      <c r="K687" s="269"/>
    </row>
    <row r="688" spans="1:11" ht="15" customHeight="1">
      <c r="A688" s="260"/>
      <c r="B688" s="260"/>
      <c r="C688" s="260"/>
      <c r="D688" s="1911"/>
      <c r="E688" s="1911"/>
      <c r="F688" s="1911"/>
      <c r="G688" s="57"/>
      <c r="H688" s="269"/>
      <c r="I688" s="269"/>
      <c r="J688" s="269"/>
      <c r="K688" s="269"/>
    </row>
    <row r="689" spans="1:11" ht="13">
      <c r="A689" s="260"/>
      <c r="B689" s="260"/>
      <c r="C689" s="260"/>
      <c r="D689" s="1911"/>
      <c r="E689" s="1911"/>
      <c r="F689" s="1911"/>
      <c r="G689" s="57"/>
      <c r="H689" s="269"/>
      <c r="I689" s="269"/>
      <c r="J689" s="269"/>
      <c r="K689" s="269"/>
    </row>
    <row r="690" spans="1:11" ht="13">
      <c r="A690" s="260"/>
      <c r="B690" s="260"/>
      <c r="C690" s="260"/>
      <c r="D690" s="1911"/>
      <c r="E690" s="1911"/>
      <c r="F690" s="1911"/>
      <c r="G690" s="57"/>
      <c r="H690" s="269"/>
      <c r="I690" s="269"/>
      <c r="J690" s="269"/>
      <c r="K690" s="269"/>
    </row>
    <row r="691" spans="1:11" ht="13">
      <c r="A691" s="260"/>
      <c r="B691" s="260"/>
      <c r="C691" s="260"/>
      <c r="D691" s="1911"/>
      <c r="E691" s="1911"/>
      <c r="F691" s="1911"/>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911" t="s">
        <v>1226</v>
      </c>
      <c r="E693" s="1911"/>
      <c r="F693" s="1911"/>
      <c r="G693" s="57"/>
      <c r="H693" s="269"/>
      <c r="I693" s="269"/>
      <c r="J693" s="269"/>
      <c r="K693" s="269"/>
    </row>
    <row r="694" spans="1:11" ht="13">
      <c r="A694" s="260"/>
      <c r="B694" s="260"/>
      <c r="C694" s="260"/>
      <c r="D694" s="1911"/>
      <c r="E694" s="1911"/>
      <c r="F694" s="1911"/>
      <c r="G694" s="57"/>
      <c r="H694" s="269"/>
      <c r="I694" s="269"/>
      <c r="J694" s="269"/>
      <c r="K694" s="269"/>
    </row>
    <row r="695" spans="1:11" ht="13">
      <c r="A695" s="260"/>
      <c r="B695" s="260"/>
      <c r="C695" s="260"/>
      <c r="D695" s="1911"/>
      <c r="E695" s="1911"/>
      <c r="F695" s="1911"/>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911" t="s">
        <v>1223</v>
      </c>
      <c r="E697" s="1911"/>
      <c r="F697" s="1911"/>
      <c r="G697" s="57"/>
      <c r="H697" s="269"/>
      <c r="I697" s="269"/>
      <c r="J697" s="269"/>
      <c r="K697" s="269"/>
    </row>
    <row r="698" spans="1:11" s="682" customFormat="1" ht="13">
      <c r="A698" s="260"/>
      <c r="B698" s="260"/>
      <c r="C698" s="260"/>
      <c r="D698" s="1911"/>
      <c r="E698" s="1911"/>
      <c r="F698" s="1911"/>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911" t="s">
        <v>1224</v>
      </c>
      <c r="E700" s="1911"/>
      <c r="F700" s="1911"/>
      <c r="G700" s="57"/>
      <c r="H700" s="269"/>
      <c r="I700" s="269"/>
      <c r="J700" s="269"/>
      <c r="K700" s="269"/>
    </row>
    <row r="701" spans="1:11" s="682" customFormat="1" ht="13">
      <c r="A701" s="260"/>
      <c r="B701" s="260"/>
      <c r="C701" s="260"/>
      <c r="D701" s="1911"/>
      <c r="E701" s="1911"/>
      <c r="F701" s="1911"/>
      <c r="G701" s="57"/>
      <c r="H701" s="269"/>
      <c r="I701" s="269"/>
      <c r="J701" s="269"/>
      <c r="K701" s="269"/>
    </row>
    <row r="702" spans="1:11" s="682" customFormat="1" ht="13">
      <c r="A702" s="260"/>
      <c r="B702" s="260"/>
      <c r="C702" s="260"/>
      <c r="D702" s="1911"/>
      <c r="E702" s="1911"/>
      <c r="F702" s="1911"/>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911" t="s">
        <v>1217</v>
      </c>
      <c r="E704" s="1911"/>
      <c r="F704" s="1911"/>
      <c r="G704" s="57"/>
      <c r="H704" s="269"/>
      <c r="I704" s="269"/>
      <c r="J704" s="269"/>
      <c r="K704" s="269"/>
    </row>
    <row r="705" spans="1:11" ht="13">
      <c r="A705" s="260"/>
      <c r="B705" s="260"/>
      <c r="C705" s="260"/>
      <c r="D705" s="1911"/>
      <c r="E705" s="1911"/>
      <c r="F705" s="1911"/>
      <c r="G705" s="57"/>
      <c r="H705" s="269"/>
      <c r="I705" s="269"/>
      <c r="J705" s="269"/>
      <c r="K705" s="269"/>
    </row>
    <row r="706" spans="1:11" ht="13">
      <c r="A706" s="260"/>
      <c r="B706" s="260"/>
      <c r="C706" s="260"/>
      <c r="D706" s="1911"/>
      <c r="E706" s="1911"/>
      <c r="F706" s="1911"/>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911" t="s">
        <v>1218</v>
      </c>
      <c r="E708" s="1911"/>
      <c r="F708" s="1911"/>
      <c r="G708" s="57"/>
      <c r="H708" s="269"/>
      <c r="I708" s="269"/>
      <c r="J708" s="269"/>
      <c r="K708" s="269"/>
    </row>
    <row r="709" spans="1:11" ht="13">
      <c r="A709" s="260"/>
      <c r="B709" s="260"/>
      <c r="C709" s="260"/>
      <c r="D709" s="1911"/>
      <c r="E709" s="1911"/>
      <c r="F709" s="1911"/>
      <c r="G709" s="57"/>
      <c r="H709" s="269"/>
      <c r="I709" s="269"/>
      <c r="J709" s="269"/>
      <c r="K709" s="269"/>
    </row>
    <row r="710" spans="1:11" ht="13">
      <c r="A710" s="260"/>
      <c r="B710" s="260"/>
      <c r="C710" s="260"/>
      <c r="D710" s="1911"/>
      <c r="E710" s="1911"/>
      <c r="F710" s="1911"/>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76" t="s">
        <v>1219</v>
      </c>
      <c r="E712" s="1876"/>
      <c r="F712" s="1876"/>
      <c r="G712" s="57"/>
      <c r="H712" s="269"/>
      <c r="I712" s="269"/>
      <c r="J712" s="269"/>
      <c r="K712" s="269"/>
    </row>
    <row r="713" spans="1:11" ht="13">
      <c r="A713" s="260"/>
      <c r="B713" s="260"/>
      <c r="C713" s="260"/>
      <c r="D713" s="1876"/>
      <c r="E713" s="1876"/>
      <c r="F713" s="1876"/>
      <c r="G713" s="57"/>
      <c r="H713" s="269"/>
      <c r="I713" s="269"/>
      <c r="J713" s="269"/>
      <c r="K713" s="269"/>
    </row>
    <row r="714" spans="1:11" ht="13">
      <c r="A714" s="260"/>
      <c r="B714" s="260"/>
      <c r="C714" s="260"/>
      <c r="D714" s="1876"/>
      <c r="E714" s="1876"/>
      <c r="F714" s="1876"/>
      <c r="G714" s="57"/>
      <c r="H714" s="269"/>
      <c r="I714" s="269"/>
      <c r="J714" s="269"/>
      <c r="K714" s="269"/>
    </row>
    <row r="715" spans="1:11" ht="13">
      <c r="A715" s="260"/>
      <c r="B715" s="260"/>
      <c r="C715" s="260"/>
      <c r="D715" s="1876"/>
      <c r="E715" s="1876"/>
      <c r="F715" s="1876"/>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911" t="s">
        <v>1352</v>
      </c>
      <c r="E717" s="1911"/>
      <c r="F717" s="1911"/>
      <c r="G717" s="57"/>
      <c r="H717" s="269"/>
      <c r="I717" s="269"/>
      <c r="J717" s="269"/>
      <c r="K717" s="269"/>
    </row>
    <row r="718" spans="1:11" ht="13">
      <c r="A718" s="260"/>
      <c r="B718" s="260"/>
      <c r="C718" s="260"/>
      <c r="D718" s="1911"/>
      <c r="E718" s="1911"/>
      <c r="F718" s="1911"/>
      <c r="G718" s="57"/>
      <c r="H718" s="269"/>
      <c r="I718" s="269"/>
      <c r="J718" s="269"/>
      <c r="K718" s="269"/>
    </row>
    <row r="719" spans="1:11" ht="13">
      <c r="A719" s="260"/>
      <c r="B719" s="260"/>
      <c r="C719" s="260"/>
      <c r="D719" s="1911"/>
      <c r="E719" s="1911"/>
      <c r="F719" s="1911"/>
      <c r="G719" s="57"/>
      <c r="H719" s="269"/>
      <c r="I719" s="269"/>
      <c r="J719" s="269"/>
      <c r="K719" s="269"/>
    </row>
    <row r="720" spans="1:11" ht="13">
      <c r="A720" s="260"/>
      <c r="B720" s="260"/>
      <c r="C720" s="260"/>
      <c r="D720" s="1911"/>
      <c r="E720" s="1911"/>
      <c r="F720" s="1911"/>
      <c r="G720" s="57"/>
      <c r="H720" s="269"/>
      <c r="I720" s="269"/>
      <c r="J720" s="269"/>
      <c r="K720" s="269"/>
    </row>
    <row r="721" spans="1:11" ht="13">
      <c r="A721" s="260"/>
      <c r="B721" s="260"/>
      <c r="C721" s="260"/>
      <c r="D721" s="1911"/>
      <c r="E721" s="1911"/>
      <c r="F721" s="1911"/>
      <c r="G721" s="57"/>
      <c r="H721" s="269"/>
      <c r="I721" s="269"/>
      <c r="J721" s="269"/>
      <c r="K721" s="269"/>
    </row>
    <row r="722" spans="1:11" ht="13">
      <c r="A722" s="260"/>
      <c r="B722" s="260"/>
      <c r="C722" s="260"/>
      <c r="D722" s="1911"/>
      <c r="E722" s="1911"/>
      <c r="F722" s="1911"/>
      <c r="G722" s="57"/>
      <c r="H722" s="269"/>
      <c r="I722" s="269"/>
      <c r="J722" s="269"/>
      <c r="K722" s="269"/>
    </row>
    <row r="723" spans="1:11" ht="13">
      <c r="A723" s="260"/>
      <c r="B723" s="260"/>
      <c r="C723" s="260"/>
      <c r="D723" s="1911"/>
      <c r="E723" s="1911"/>
      <c r="F723" s="1911"/>
      <c r="G723" s="57"/>
      <c r="H723" s="269"/>
      <c r="I723" s="269"/>
      <c r="J723" s="269"/>
      <c r="K723" s="269"/>
    </row>
    <row r="724" spans="1:11" ht="13">
      <c r="A724" s="260"/>
      <c r="B724" s="260"/>
      <c r="C724" s="260"/>
      <c r="D724" s="1944" t="s">
        <v>1220</v>
      </c>
      <c r="E724" s="1944"/>
      <c r="F724" s="1944"/>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46" t="s">
        <v>1177</v>
      </c>
      <c r="B726" s="1946"/>
      <c r="C726" s="1946"/>
      <c r="D726" s="1946"/>
      <c r="E726" s="1946"/>
      <c r="F726" s="1946"/>
      <c r="G726" s="1946"/>
      <c r="H726" s="269"/>
      <c r="I726" s="269"/>
      <c r="J726" s="269"/>
      <c r="K726" s="269"/>
    </row>
    <row r="727" spans="1:11" ht="13">
      <c r="A727" s="260"/>
      <c r="B727" s="260"/>
      <c r="C727" s="260"/>
      <c r="D727" s="263"/>
      <c r="G727" s="271"/>
      <c r="H727" s="269"/>
      <c r="I727" s="269"/>
      <c r="J727" s="269"/>
      <c r="K727" s="269"/>
    </row>
    <row r="728" spans="1:11" ht="13.15" customHeight="1">
      <c r="C728" s="260"/>
      <c r="D728" s="1925" t="s">
        <v>1193</v>
      </c>
      <c r="E728" s="1925"/>
      <c r="F728" s="1925"/>
      <c r="G728" s="271"/>
      <c r="H728" s="269"/>
      <c r="I728" s="269"/>
      <c r="J728" s="269"/>
      <c r="K728" s="269"/>
    </row>
    <row r="729" spans="1:11" ht="13">
      <c r="A729" s="260"/>
      <c r="B729" s="260"/>
      <c r="C729" s="260"/>
      <c r="D729" s="1942" t="s">
        <v>1194</v>
      </c>
      <c r="E729" s="1942"/>
      <c r="F729" s="1942"/>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76" t="s">
        <v>1195</v>
      </c>
      <c r="E731" s="1876"/>
      <c r="F731" s="1876"/>
      <c r="G731" s="271"/>
      <c r="H731" s="272"/>
      <c r="I731" s="272"/>
      <c r="J731" s="272"/>
      <c r="K731" s="272"/>
    </row>
    <row r="732" spans="1:11" s="39" customFormat="1" ht="10.5" customHeight="1">
      <c r="A732" s="132"/>
      <c r="B732" s="676"/>
      <c r="C732" s="132"/>
      <c r="D732" s="1876"/>
      <c r="E732" s="1876"/>
      <c r="F732" s="1876"/>
      <c r="G732" s="271"/>
      <c r="H732" s="272"/>
      <c r="I732" s="272"/>
      <c r="J732" s="272"/>
      <c r="K732" s="272"/>
    </row>
    <row r="733" spans="1:11" s="39" customFormat="1">
      <c r="A733" s="132"/>
      <c r="B733" s="676"/>
      <c r="C733" s="132"/>
      <c r="D733" s="1876"/>
      <c r="E733" s="1876"/>
      <c r="F733" s="1876"/>
      <c r="G733" s="271"/>
      <c r="H733" s="272"/>
      <c r="I733" s="272"/>
      <c r="J733" s="272"/>
      <c r="K733" s="272"/>
    </row>
    <row r="734" spans="1:11">
      <c r="D734" s="1876"/>
      <c r="E734" s="1876"/>
      <c r="F734" s="1876"/>
      <c r="G734" s="271"/>
      <c r="H734" s="269"/>
      <c r="I734" s="269"/>
      <c r="J734" s="269"/>
      <c r="K734" s="269"/>
    </row>
    <row r="735" spans="1:11">
      <c r="A735" s="273"/>
      <c r="B735" s="273"/>
      <c r="C735" s="273"/>
      <c r="D735" s="1876"/>
      <c r="E735" s="1876"/>
      <c r="F735" s="1876"/>
      <c r="G735" s="275"/>
      <c r="H735" s="269"/>
      <c r="I735" s="269"/>
      <c r="J735" s="269"/>
      <c r="K735" s="269"/>
    </row>
    <row r="736" spans="1:11" ht="15.65" customHeight="1">
      <c r="A736" s="273"/>
      <c r="B736" s="273"/>
      <c r="C736" s="273"/>
      <c r="D736" s="1876"/>
      <c r="E736" s="1876"/>
      <c r="F736" s="1876"/>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77" t="s">
        <v>1196</v>
      </c>
      <c r="E738" s="1877"/>
      <c r="F738" s="1877"/>
      <c r="G738" s="311"/>
    </row>
    <row r="739" spans="1:11" s="409" customFormat="1">
      <c r="A739" s="408"/>
      <c r="B739" s="408"/>
      <c r="C739" s="408"/>
      <c r="D739" s="1877"/>
      <c r="E739" s="1877"/>
      <c r="F739" s="1877"/>
      <c r="G739" s="311"/>
    </row>
    <row r="740" spans="1:11" s="409" customFormat="1">
      <c r="A740" s="408"/>
      <c r="B740" s="408"/>
      <c r="C740" s="408"/>
      <c r="D740" s="1877"/>
      <c r="E740" s="1877"/>
      <c r="F740" s="1877"/>
      <c r="G740" s="311"/>
    </row>
    <row r="741" spans="1:11" s="409" customFormat="1">
      <c r="A741" s="408"/>
      <c r="B741" s="408"/>
      <c r="C741" s="408"/>
      <c r="D741" s="1877"/>
      <c r="E741" s="1877"/>
      <c r="F741" s="1877"/>
      <c r="G741" s="311"/>
    </row>
    <row r="742" spans="1:11" s="409" customFormat="1">
      <c r="A742" s="408"/>
      <c r="B742" s="408"/>
      <c r="C742" s="408"/>
      <c r="D742" s="377"/>
      <c r="E742" s="311"/>
      <c r="F742" s="311"/>
      <c r="G742" s="311"/>
    </row>
    <row r="743" spans="1:11" s="409" customFormat="1" ht="13">
      <c r="A743" s="261"/>
      <c r="B743" s="679" t="s">
        <v>316</v>
      </c>
      <c r="C743" s="408"/>
      <c r="D743" s="1943" t="s">
        <v>1197</v>
      </c>
      <c r="E743" s="1943"/>
      <c r="F743" s="1943"/>
      <c r="G743" s="311"/>
    </row>
    <row r="744" spans="1:11" s="409" customFormat="1">
      <c r="A744" s="408"/>
      <c r="B744" s="408"/>
      <c r="C744" s="408"/>
      <c r="D744" s="1943"/>
      <c r="E744" s="1943"/>
      <c r="F744" s="1943"/>
      <c r="G744" s="311"/>
    </row>
    <row r="745" spans="1:11" s="409" customFormat="1">
      <c r="A745" s="408"/>
      <c r="B745" s="408"/>
      <c r="C745" s="408"/>
      <c r="D745" s="1943"/>
      <c r="E745" s="1943"/>
      <c r="F745" s="1943"/>
      <c r="G745" s="311"/>
    </row>
    <row r="746" spans="1:11">
      <c r="A746" s="273"/>
      <c r="B746" s="273"/>
      <c r="C746" s="273"/>
      <c r="D746" s="377"/>
      <c r="E746" s="274"/>
      <c r="F746" s="274"/>
      <c r="G746" s="275"/>
      <c r="H746" s="269"/>
      <c r="I746" s="269"/>
      <c r="J746" s="269"/>
      <c r="K746" s="269"/>
    </row>
    <row r="747" spans="1:11" ht="13">
      <c r="A747" s="261"/>
      <c r="B747" s="679" t="s">
        <v>316</v>
      </c>
      <c r="C747" s="273"/>
      <c r="D747" s="1877" t="s">
        <v>1198</v>
      </c>
      <c r="E747" s="1877"/>
      <c r="F747" s="1877"/>
      <c r="G747" s="275"/>
      <c r="H747" s="269"/>
      <c r="I747" s="269"/>
      <c r="J747" s="269"/>
      <c r="K747" s="269"/>
    </row>
    <row r="748" spans="1:11">
      <c r="A748" s="273"/>
      <c r="B748" s="273"/>
      <c r="C748" s="273"/>
      <c r="D748" s="1877"/>
      <c r="E748" s="1877"/>
      <c r="F748" s="187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77" t="s">
        <v>1199</v>
      </c>
      <c r="E750" s="1877"/>
      <c r="F750" s="1877"/>
      <c r="G750" s="275"/>
      <c r="H750" s="269"/>
      <c r="I750" s="269"/>
      <c r="J750" s="269"/>
      <c r="K750" s="269"/>
    </row>
    <row r="751" spans="1:11" s="682" customFormat="1">
      <c r="A751" s="273"/>
      <c r="B751" s="273"/>
      <c r="C751" s="273"/>
      <c r="D751" s="1877"/>
      <c r="E751" s="1877"/>
      <c r="F751" s="1877"/>
      <c r="G751" s="275"/>
      <c r="H751" s="269"/>
      <c r="I751" s="269"/>
      <c r="J751" s="269"/>
      <c r="K751" s="269"/>
    </row>
    <row r="752" spans="1:11" s="682" customFormat="1">
      <c r="A752" s="273"/>
      <c r="B752" s="273"/>
      <c r="C752" s="273"/>
      <c r="D752" s="1877"/>
      <c r="E752" s="1877"/>
      <c r="F752" s="1877"/>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48" t="s">
        <v>1200</v>
      </c>
      <c r="B754" s="1948"/>
      <c r="C754" s="1948"/>
      <c r="D754" s="1948"/>
      <c r="E754" s="1948"/>
      <c r="F754" s="1948"/>
      <c r="G754" s="1948"/>
    </row>
    <row r="755" spans="1:11" ht="13">
      <c r="A755" s="260"/>
      <c r="B755" s="260"/>
      <c r="C755" s="260"/>
      <c r="D755" s="276"/>
      <c r="F755" s="147"/>
      <c r="G755" s="271"/>
    </row>
    <row r="756" spans="1:11" ht="13">
      <c r="A756" s="273"/>
      <c r="B756" s="273"/>
      <c r="C756" s="442"/>
      <c r="D756" s="1949" t="s">
        <v>1184</v>
      </c>
      <c r="E756" s="1949"/>
      <c r="F756" s="1949"/>
      <c r="G756" s="271"/>
    </row>
    <row r="757" spans="1:11">
      <c r="A757" s="503"/>
      <c r="B757" s="503"/>
      <c r="C757" s="502"/>
      <c r="D757" s="1939" t="s">
        <v>1201</v>
      </c>
      <c r="E757" s="1939"/>
      <c r="F757" s="1939"/>
      <c r="G757" s="271"/>
    </row>
    <row r="758" spans="1:11">
      <c r="A758" s="273"/>
      <c r="B758" s="273"/>
      <c r="C758" s="442"/>
      <c r="D758" s="693"/>
      <c r="E758" s="693"/>
      <c r="F758" s="693"/>
      <c r="G758" s="271"/>
    </row>
    <row r="759" spans="1:11" ht="13">
      <c r="A759" s="261"/>
      <c r="B759" s="679" t="s">
        <v>316</v>
      </c>
      <c r="C759" s="442"/>
      <c r="D759" s="1940" t="s">
        <v>1069</v>
      </c>
      <c r="E759" s="1940"/>
      <c r="F759" s="1940"/>
      <c r="G759" s="271"/>
    </row>
    <row r="760" spans="1:11" ht="13">
      <c r="A760" s="273"/>
      <c r="B760" s="273"/>
      <c r="C760" s="442"/>
      <c r="D760" s="692"/>
      <c r="E760" s="1941" t="s">
        <v>1185</v>
      </c>
      <c r="F760" s="1941"/>
      <c r="G760" s="271"/>
    </row>
    <row r="761" spans="1:11" ht="13">
      <c r="A761" s="267"/>
      <c r="B761" s="267"/>
      <c r="C761" s="267"/>
      <c r="D761" s="135"/>
      <c r="F761" s="57"/>
      <c r="G761" s="271"/>
    </row>
    <row r="762" spans="1:11" ht="13">
      <c r="A762" s="1945" t="s">
        <v>471</v>
      </c>
      <c r="B762" s="1945"/>
      <c r="C762" s="1945"/>
      <c r="D762" s="1945"/>
      <c r="E762" s="1945"/>
      <c r="F762" s="1945"/>
      <c r="G762" s="1945"/>
    </row>
    <row r="763" spans="1:11" ht="13">
      <c r="A763" s="255"/>
      <c r="B763" s="673"/>
      <c r="C763" s="266"/>
      <c r="D763" s="271"/>
      <c r="E763" s="271"/>
      <c r="F763" s="271"/>
      <c r="G763" s="271"/>
    </row>
    <row r="764" spans="1:11">
      <c r="A764" s="135"/>
      <c r="B764" s="1947" t="s">
        <v>1068</v>
      </c>
      <c r="C764" s="1947"/>
      <c r="D764" s="1947"/>
      <c r="E764" s="1947"/>
      <c r="F764" s="1947"/>
      <c r="G764" s="271"/>
    </row>
    <row r="765" spans="1:11" ht="13">
      <c r="A765" s="23"/>
      <c r="B765" s="675"/>
      <c r="G765" s="271"/>
    </row>
    <row r="766" spans="1:11" ht="13">
      <c r="A766" s="1945" t="s">
        <v>472</v>
      </c>
      <c r="B766" s="1945"/>
      <c r="C766" s="1945"/>
      <c r="D766" s="1945"/>
      <c r="E766" s="1945"/>
      <c r="F766" s="1945"/>
      <c r="G766" s="1945"/>
    </row>
    <row r="767" spans="1:11" ht="13">
      <c r="A767" s="255"/>
      <c r="B767" s="673"/>
      <c r="C767" s="255"/>
      <c r="D767" s="263"/>
      <c r="G767" s="271"/>
    </row>
    <row r="768" spans="1:11">
      <c r="A768" s="135"/>
      <c r="B768" s="1891" t="s">
        <v>470</v>
      </c>
      <c r="C768" s="1891"/>
      <c r="D768" s="1891"/>
      <c r="E768" s="1891"/>
      <c r="F768" s="1891"/>
      <c r="G768" s="271"/>
    </row>
    <row r="769" spans="1:7" ht="13">
      <c r="A769" s="261"/>
      <c r="B769" s="261"/>
      <c r="D769" s="135"/>
      <c r="E769" s="135"/>
      <c r="F769" s="271"/>
      <c r="G769" s="271"/>
    </row>
    <row r="770" spans="1:7" ht="13">
      <c r="A770" s="1945" t="s">
        <v>473</v>
      </c>
      <c r="B770" s="1945"/>
      <c r="C770" s="1945"/>
      <c r="D770" s="1945"/>
      <c r="E770" s="1945"/>
      <c r="F770" s="1945"/>
      <c r="G770" s="1945"/>
    </row>
    <row r="771" spans="1:7" ht="13">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ht="13">
      <c r="A774" s="1945" t="s">
        <v>474</v>
      </c>
      <c r="B774" s="1945"/>
      <c r="C774" s="1945"/>
      <c r="D774" s="1945"/>
      <c r="E774" s="1945"/>
      <c r="F774" s="1945"/>
      <c r="G774" s="1945"/>
    </row>
    <row r="775" spans="1:7">
      <c r="A775" s="135"/>
      <c r="B775" s="135"/>
    </row>
    <row r="776" spans="1:7">
      <c r="A776" s="135"/>
      <c r="B776" s="1891" t="s">
        <v>470</v>
      </c>
      <c r="C776" s="1891"/>
      <c r="D776" s="1891"/>
      <c r="E776" s="1891"/>
      <c r="F776" s="1891"/>
    </row>
    <row r="777" spans="1:7" ht="13">
      <c r="A777" s="266"/>
      <c r="B777" s="266"/>
      <c r="C777" s="266"/>
      <c r="D777" s="258"/>
      <c r="F777" s="271"/>
    </row>
    <row r="778" spans="1:7" ht="13">
      <c r="A778" s="1945" t="s">
        <v>475</v>
      </c>
      <c r="B778" s="1945"/>
      <c r="C778" s="1945"/>
      <c r="D778" s="1945"/>
      <c r="E778" s="1945"/>
      <c r="F778" s="1945"/>
      <c r="G778" s="1945"/>
    </row>
    <row r="779" spans="1:7">
      <c r="A779" s="135"/>
      <c r="B779" s="135"/>
    </row>
    <row r="780" spans="1:7">
      <c r="A780" s="135"/>
      <c r="B780" s="1891" t="s">
        <v>470</v>
      </c>
      <c r="C780" s="1891"/>
      <c r="D780" s="1891"/>
      <c r="E780" s="1891"/>
      <c r="F780" s="1891"/>
    </row>
    <row r="781" spans="1:7" ht="13">
      <c r="A781" s="266"/>
      <c r="B781" s="266"/>
      <c r="C781" s="266"/>
      <c r="D781" s="258"/>
      <c r="F781" s="271"/>
    </row>
    <row r="782" spans="1:7" ht="13">
      <c r="A782" s="1945" t="s">
        <v>476</v>
      </c>
      <c r="B782" s="1945"/>
      <c r="C782" s="1945"/>
      <c r="D782" s="1945"/>
      <c r="E782" s="1945"/>
      <c r="F782" s="1945"/>
      <c r="G782" s="1945"/>
    </row>
    <row r="783" spans="1:7">
      <c r="A783" s="135"/>
      <c r="B783" s="135"/>
    </row>
    <row r="784" spans="1:7">
      <c r="A784" s="135"/>
      <c r="B784" s="1891" t="s">
        <v>470</v>
      </c>
      <c r="C784" s="1891"/>
      <c r="D784" s="1891"/>
      <c r="E784" s="1891"/>
      <c r="F784" s="1891"/>
    </row>
    <row r="785" spans="1:7" ht="13">
      <c r="A785" s="265"/>
      <c r="B785" s="265"/>
      <c r="C785" s="265"/>
      <c r="D785" s="277"/>
      <c r="E785" s="57"/>
      <c r="F785" s="57"/>
      <c r="G785" s="57"/>
    </row>
    <row r="786" spans="1:7" ht="13">
      <c r="A786" s="1945" t="s">
        <v>192</v>
      </c>
      <c r="B786" s="1945"/>
      <c r="C786" s="1945"/>
      <c r="D786" s="1945"/>
      <c r="E786" s="1945"/>
      <c r="F786" s="1945"/>
      <c r="G786" s="1945"/>
    </row>
    <row r="787" spans="1:7">
      <c r="A787" s="135"/>
      <c r="B787" s="135"/>
    </row>
    <row r="788" spans="1:7">
      <c r="A788" s="135"/>
      <c r="B788" s="1891" t="s">
        <v>470</v>
      </c>
      <c r="C788" s="1891"/>
      <c r="D788" s="1891"/>
      <c r="E788" s="1891"/>
      <c r="F788" s="1891"/>
    </row>
    <row r="789" spans="1:7" ht="13">
      <c r="A789" s="135"/>
      <c r="B789" s="135"/>
      <c r="D789" s="258"/>
    </row>
    <row r="790" spans="1:7" ht="13">
      <c r="A790" s="1945" t="s">
        <v>938</v>
      </c>
      <c r="B790" s="1945"/>
      <c r="C790" s="1945"/>
      <c r="D790" s="1945"/>
      <c r="E790" s="1945"/>
      <c r="F790" s="1945"/>
      <c r="G790" s="1945"/>
    </row>
    <row r="791" spans="1:7">
      <c r="A791" s="135"/>
      <c r="B791" s="135"/>
    </row>
    <row r="792" spans="1:7">
      <c r="A792" s="135"/>
      <c r="B792" s="1891" t="s">
        <v>470</v>
      </c>
      <c r="C792" s="1891"/>
      <c r="D792" s="1891"/>
      <c r="E792" s="1891"/>
      <c r="F792" s="1891"/>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54" t="s">
        <v>2400</v>
      </c>
      <c r="B2" s="1955"/>
      <c r="C2" s="1955"/>
      <c r="D2" s="1955"/>
      <c r="E2" s="1955"/>
      <c r="F2" s="1955"/>
      <c r="G2" s="1955"/>
      <c r="H2" s="1955"/>
      <c r="I2" s="1955"/>
      <c r="J2" s="1955"/>
    </row>
    <row r="3" spans="1:10" ht="15.5">
      <c r="A3" s="1959" t="s">
        <v>1500</v>
      </c>
      <c r="B3" s="1960"/>
      <c r="C3" s="1960"/>
      <c r="D3" s="1960"/>
      <c r="E3" s="1960"/>
      <c r="F3" s="1960"/>
      <c r="G3" s="1960"/>
      <c r="H3" s="1960"/>
      <c r="I3" s="1960"/>
      <c r="J3" s="1960"/>
    </row>
    <row r="4" spans="1:10" ht="12.5"/>
    <row r="5" spans="1:10" ht="12.75" customHeight="1">
      <c r="A5" s="1956" t="s">
        <v>2403</v>
      </c>
      <c r="B5" s="1956"/>
      <c r="C5" s="1956"/>
      <c r="D5" s="1956"/>
      <c r="E5" s="1956"/>
      <c r="F5" s="1956"/>
      <c r="G5" s="1956"/>
      <c r="H5" s="1956"/>
      <c r="I5" s="1956"/>
      <c r="J5" s="1956"/>
    </row>
    <row r="6" spans="1:10" ht="12.5">
      <c r="A6" s="1956"/>
      <c r="B6" s="1956"/>
      <c r="C6" s="1956"/>
      <c r="D6" s="1956"/>
      <c r="E6" s="1956"/>
      <c r="F6" s="1956"/>
      <c r="G6" s="1956"/>
      <c r="H6" s="1956"/>
      <c r="I6" s="1956"/>
      <c r="J6" s="1956"/>
    </row>
    <row r="7" spans="1:10" ht="30" customHeight="1">
      <c r="A7" s="1956"/>
      <c r="B7" s="1956"/>
      <c r="C7" s="1956"/>
      <c r="D7" s="1956"/>
      <c r="E7" s="1956"/>
      <c r="F7" s="1956"/>
      <c r="G7" s="1956"/>
      <c r="H7" s="1956"/>
      <c r="I7" s="1956"/>
      <c r="J7" s="1956"/>
    </row>
    <row r="8" spans="1:10" ht="12.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5"/>
    <row r="11" spans="1:10" ht="12.75" customHeight="1">
      <c r="A11" s="1961" t="s">
        <v>2406</v>
      </c>
      <c r="B11" s="1961"/>
      <c r="C11" s="1961"/>
      <c r="D11" s="1961"/>
      <c r="E11" s="1961"/>
      <c r="F11" s="1961"/>
      <c r="G11" s="1961"/>
      <c r="H11" s="1961"/>
      <c r="I11" s="1961"/>
      <c r="J11" s="1961"/>
    </row>
    <row r="12" spans="1:10" ht="12.5">
      <c r="A12" s="1961"/>
      <c r="B12" s="1961"/>
      <c r="C12" s="1961"/>
      <c r="D12" s="1961"/>
      <c r="E12" s="1961"/>
      <c r="F12" s="1961"/>
      <c r="G12" s="1961"/>
      <c r="H12" s="1961"/>
      <c r="I12" s="1961"/>
      <c r="J12" s="1961"/>
    </row>
    <row r="13" spans="1:10" s="1769" customFormat="1" ht="12.5">
      <c r="A13" s="1961"/>
      <c r="B13" s="1961"/>
      <c r="C13" s="1961"/>
      <c r="D13" s="1961"/>
      <c r="E13" s="1961"/>
      <c r="F13" s="1961"/>
      <c r="G13" s="1961"/>
      <c r="H13" s="1961"/>
      <c r="I13" s="1961"/>
      <c r="J13" s="1961"/>
    </row>
    <row r="14" spans="1:10" ht="12.5">
      <c r="A14" s="1962"/>
      <c r="B14" s="1962"/>
      <c r="C14" s="1962"/>
      <c r="D14" s="1962"/>
      <c r="E14" s="1962"/>
      <c r="F14" s="1962"/>
      <c r="G14" s="1962"/>
      <c r="H14" s="1962"/>
      <c r="I14" s="1962"/>
      <c r="J14" s="1962"/>
    </row>
    <row r="15" spans="1:10" ht="12.5">
      <c r="A15" s="1962"/>
      <c r="B15" s="1962"/>
      <c r="C15" s="1962"/>
      <c r="D15" s="1962"/>
      <c r="E15" s="1962"/>
      <c r="F15" s="1962"/>
      <c r="G15" s="1962"/>
      <c r="H15" s="1962"/>
      <c r="I15" s="1962"/>
      <c r="J15" s="1962"/>
    </row>
    <row r="16" spans="1:10" ht="12.5">
      <c r="A16" s="1962"/>
      <c r="B16" s="1962"/>
      <c r="C16" s="1962"/>
      <c r="D16" s="1962"/>
      <c r="E16" s="1962"/>
      <c r="F16" s="1962"/>
      <c r="G16" s="1962"/>
      <c r="H16" s="1962"/>
      <c r="I16" s="1962"/>
      <c r="J16" s="1962"/>
    </row>
    <row r="17" spans="1:10" s="1769" customFormat="1" ht="12.5">
      <c r="A17" s="1832"/>
      <c r="B17" s="1832"/>
      <c r="C17" s="1832"/>
      <c r="D17" s="1832"/>
      <c r="E17" s="1832"/>
      <c r="F17" s="1832"/>
      <c r="G17" s="1832"/>
      <c r="H17" s="1832"/>
      <c r="I17" s="1832"/>
      <c r="J17" s="1832"/>
    </row>
    <row r="18" spans="1:10" ht="12.5">
      <c r="A18" s="773" t="s">
        <v>2405</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63" t="s">
        <v>1390</v>
      </c>
      <c r="B20" s="1960"/>
      <c r="C20" s="1960"/>
      <c r="D20" s="1960"/>
      <c r="E20" s="1960"/>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56" t="s">
        <v>1391</v>
      </c>
      <c r="B57" s="1957"/>
      <c r="C57" s="1957"/>
      <c r="D57" s="1957"/>
      <c r="E57" s="1957"/>
      <c r="F57" s="1957"/>
      <c r="G57" s="1957"/>
      <c r="H57" s="1957"/>
      <c r="I57" s="1957"/>
      <c r="J57" s="1957"/>
    </row>
    <row r="58" spans="1:10" ht="12.5">
      <c r="A58" s="1957"/>
      <c r="B58" s="1957"/>
      <c r="C58" s="1957"/>
      <c r="D58" s="1957"/>
      <c r="E58" s="1957"/>
      <c r="F58" s="1957"/>
      <c r="G58" s="1957"/>
      <c r="H58" s="1957"/>
      <c r="I58" s="1957"/>
      <c r="J58" s="1957"/>
    </row>
    <row r="59" spans="1:10" ht="12.5">
      <c r="A59" s="1957"/>
      <c r="B59" s="1957"/>
      <c r="C59" s="1957"/>
      <c r="D59" s="1957"/>
      <c r="E59" s="1957"/>
      <c r="F59" s="1957"/>
      <c r="G59" s="1957"/>
      <c r="H59" s="1957"/>
      <c r="I59" s="1957"/>
      <c r="J59" s="1957"/>
    </row>
    <row r="60" spans="1:10" ht="12.5"/>
    <row r="61" spans="1:10" ht="12.5">
      <c r="A61" s="672" t="s">
        <v>1390</v>
      </c>
    </row>
    <row r="62" spans="1:10" ht="12.5"/>
    <row r="63" spans="1:10" ht="12.5"/>
    <row r="64" spans="1:10" ht="12.5"/>
    <row r="65" spans="1:9" ht="12.5"/>
    <row r="66" spans="1:9" ht="12.5"/>
    <row r="67" spans="1:9" ht="12.5"/>
    <row r="68" spans="1:9" ht="12.5"/>
    <row r="69" spans="1:9" ht="12.5"/>
    <row r="70" spans="1:9" ht="12.5"/>
    <row r="71" spans="1:9" ht="12.5"/>
    <row r="72" spans="1:9" ht="13">
      <c r="A72" s="1958" t="s">
        <v>2401</v>
      </c>
      <c r="B72" s="1958"/>
      <c r="C72" s="1958"/>
      <c r="D72" s="1958"/>
      <c r="E72" s="1958"/>
      <c r="F72" s="1958"/>
      <c r="G72" s="1958"/>
      <c r="H72" s="1958"/>
      <c r="I72" s="1958"/>
    </row>
    <row r="73" spans="1:9" ht="12.5">
      <c r="A73" s="1882" t="s">
        <v>1093</v>
      </c>
      <c r="B73" s="1882"/>
      <c r="C73" s="1882"/>
      <c r="D73" s="1882"/>
      <c r="E73" s="1882"/>
    </row>
    <row r="74" spans="1:9" ht="12.5">
      <c r="A74" s="1882" t="s">
        <v>1392</v>
      </c>
      <c r="B74" s="1882"/>
      <c r="C74" s="1882"/>
      <c r="D74" s="1882"/>
      <c r="E74" s="1882"/>
    </row>
    <row r="75" spans="1:9" ht="12.5">
      <c r="A75" s="1882" t="s">
        <v>2402</v>
      </c>
      <c r="B75" s="1882"/>
      <c r="C75" s="1882"/>
      <c r="D75" s="1882"/>
      <c r="E75" s="1882"/>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553" zoomScaleNormal="100" zoomScaleSheetLayoutView="100" workbookViewId="0">
      <selection activeCell="L516" sqref="L516"/>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14" t="s">
        <v>2241</v>
      </c>
      <c r="B2" s="2014"/>
      <c r="C2" s="2014"/>
      <c r="D2" s="2014"/>
      <c r="E2" s="2014"/>
      <c r="F2" s="2014"/>
      <c r="G2" s="2014"/>
      <c r="H2" s="2014"/>
      <c r="I2" s="2014"/>
    </row>
    <row r="3" spans="1:9">
      <c r="A3" s="2015" t="s">
        <v>2242</v>
      </c>
      <c r="B3" s="2015"/>
      <c r="C3" s="2015"/>
      <c r="D3" s="2015"/>
      <c r="E3" s="2015"/>
      <c r="F3" s="2015"/>
      <c r="G3" s="2015"/>
      <c r="H3" s="2015"/>
      <c r="I3" s="2015"/>
    </row>
    <row r="4" spans="1:9">
      <c r="A4" s="1995"/>
      <c r="B4" s="1995"/>
      <c r="C4" s="1996"/>
      <c r="D4" s="1996"/>
      <c r="E4" s="1996"/>
      <c r="F4" s="1996"/>
      <c r="G4" s="1996"/>
      <c r="I4" s="642"/>
    </row>
    <row r="5" spans="1:9" s="791" customFormat="1">
      <c r="A5" s="1995"/>
      <c r="B5" s="1995"/>
      <c r="C5" s="2001"/>
      <c r="D5" s="2001"/>
      <c r="E5" s="2001"/>
      <c r="F5" s="2001"/>
      <c r="G5" s="2001"/>
      <c r="I5" s="1837"/>
    </row>
    <row r="6" spans="1:9" s="791" customFormat="1">
      <c r="A6" s="2003" t="s">
        <v>1254</v>
      </c>
      <c r="B6" s="2003"/>
      <c r="C6" s="2004"/>
      <c r="D6" s="2004"/>
      <c r="E6" s="2004"/>
      <c r="F6" s="2004"/>
      <c r="G6" s="2004"/>
      <c r="I6" s="1836" t="s">
        <v>2416</v>
      </c>
    </row>
    <row r="7" spans="1:9" s="791" customFormat="1">
      <c r="A7" s="2003" t="s">
        <v>1255</v>
      </c>
      <c r="B7" s="2003"/>
      <c r="C7" s="2004"/>
      <c r="D7" s="2004"/>
      <c r="E7" s="2004"/>
      <c r="F7" s="2004"/>
      <c r="G7" s="2004"/>
      <c r="I7" s="1836" t="s">
        <v>2417</v>
      </c>
    </row>
    <row r="8" spans="1:9">
      <c r="A8" s="792"/>
      <c r="B8" s="792"/>
      <c r="C8" s="793"/>
      <c r="D8" s="793"/>
      <c r="E8" s="793"/>
      <c r="F8" s="793"/>
    </row>
    <row r="9" spans="1:9">
      <c r="A9" s="1932" t="s">
        <v>1257</v>
      </c>
      <c r="B9" s="1932"/>
      <c r="C9" s="1932"/>
      <c r="D9" s="1932"/>
      <c r="E9" s="1932"/>
      <c r="F9" s="1932"/>
      <c r="G9" s="1932"/>
      <c r="H9" s="1853"/>
      <c r="I9" s="1854"/>
    </row>
    <row r="10" spans="1:9">
      <c r="A10" s="793"/>
      <c r="B10" s="793"/>
      <c r="E10" s="794"/>
    </row>
    <row r="11" spans="1:9" ht="13.75" customHeight="1">
      <c r="C11" s="793"/>
      <c r="D11" s="2005" t="s">
        <v>1256</v>
      </c>
      <c r="E11" s="2005"/>
      <c r="F11" s="2005"/>
    </row>
    <row r="12" spans="1:9">
      <c r="C12" s="793"/>
      <c r="D12" s="2005"/>
      <c r="E12" s="2005"/>
      <c r="F12" s="2005"/>
    </row>
    <row r="13" spans="1:9">
      <c r="A13" s="795"/>
      <c r="B13" s="795"/>
      <c r="C13" s="795"/>
      <c r="D13" s="1916" t="s">
        <v>1239</v>
      </c>
      <c r="E13" s="1916"/>
      <c r="F13" s="1916"/>
    </row>
    <row r="14" spans="1:9">
      <c r="A14" s="795"/>
      <c r="B14" s="795"/>
      <c r="C14" s="795"/>
      <c r="D14" s="796"/>
    </row>
    <row r="15" spans="1:9">
      <c r="A15" s="797"/>
      <c r="B15" s="798" t="s">
        <v>2679</v>
      </c>
      <c r="C15" s="799"/>
      <c r="D15" s="1914" t="s">
        <v>1240</v>
      </c>
      <c r="E15" s="1914"/>
      <c r="F15" s="1914"/>
      <c r="I15" s="1774" t="s">
        <v>2418</v>
      </c>
    </row>
    <row r="16" spans="1:9">
      <c r="A16" s="795"/>
      <c r="B16" s="795"/>
      <c r="C16" s="799"/>
      <c r="D16" s="1914"/>
      <c r="E16" s="1914"/>
      <c r="F16" s="1914"/>
    </row>
    <row r="17" spans="1:9">
      <c r="A17" s="795"/>
      <c r="B17" s="795"/>
      <c r="C17" s="799"/>
      <c r="D17" s="1914"/>
      <c r="E17" s="1914"/>
      <c r="F17" s="1914"/>
    </row>
    <row r="18" spans="1:9">
      <c r="A18" s="795"/>
      <c r="B18" s="795"/>
      <c r="C18" s="795"/>
    </row>
    <row r="19" spans="1:9">
      <c r="A19" s="797"/>
      <c r="B19" s="798" t="s">
        <v>2679</v>
      </c>
      <c r="D19" s="1940" t="s">
        <v>1241</v>
      </c>
      <c r="E19" s="1940"/>
      <c r="F19" s="1940"/>
      <c r="I19" s="1774" t="s">
        <v>2419</v>
      </c>
    </row>
    <row r="20" spans="1:9">
      <c r="A20" s="797"/>
      <c r="B20" s="797"/>
      <c r="D20" s="800"/>
    </row>
    <row r="21" spans="1:9">
      <c r="A21" s="797"/>
      <c r="B21" s="798" t="s">
        <v>2680</v>
      </c>
      <c r="D21" s="1914" t="s">
        <v>1242</v>
      </c>
      <c r="E21" s="1914"/>
      <c r="F21" s="1914"/>
      <c r="I21" s="1774" t="s">
        <v>2419</v>
      </c>
    </row>
    <row r="22" spans="1:9">
      <c r="A22" s="797"/>
      <c r="B22" s="797"/>
      <c r="D22" s="1914"/>
      <c r="E22" s="1914"/>
      <c r="F22" s="1914"/>
    </row>
    <row r="23" spans="1:9"/>
    <row r="24" spans="1:9">
      <c r="A24" s="797"/>
      <c r="B24" s="798" t="s">
        <v>2679</v>
      </c>
      <c r="D24" s="2000" t="s">
        <v>1243</v>
      </c>
      <c r="E24" s="2000"/>
      <c r="F24" s="2000"/>
      <c r="I24" s="1774" t="s">
        <v>2422</v>
      </c>
    </row>
    <row r="25" spans="1:9">
      <c r="D25" s="2000"/>
      <c r="E25" s="2000"/>
      <c r="F25" s="2000"/>
    </row>
    <row r="26" spans="1:9">
      <c r="D26" s="2000"/>
      <c r="E26" s="2000"/>
      <c r="F26" s="2000"/>
    </row>
    <row r="27" spans="1:9">
      <c r="D27" s="2000"/>
      <c r="E27" s="2000"/>
      <c r="F27" s="2000"/>
    </row>
    <row r="28" spans="1:9">
      <c r="D28" s="2000"/>
      <c r="E28" s="2000"/>
      <c r="F28" s="2000"/>
    </row>
    <row r="29" spans="1:9" s="791" customFormat="1">
      <c r="A29" s="801"/>
      <c r="B29" s="801"/>
      <c r="C29" s="801"/>
      <c r="D29" s="733"/>
      <c r="E29" s="802"/>
      <c r="F29" s="802"/>
      <c r="G29" s="802"/>
      <c r="I29" s="1837"/>
    </row>
    <row r="30" spans="1:9" s="791" customFormat="1">
      <c r="A30" s="801"/>
      <c r="B30" s="798" t="s">
        <v>2680</v>
      </c>
      <c r="C30" s="801"/>
      <c r="D30" s="1915" t="s">
        <v>1244</v>
      </c>
      <c r="E30" s="1915"/>
      <c r="F30" s="1915"/>
      <c r="G30" s="802"/>
      <c r="I30" s="1837" t="s">
        <v>2418</v>
      </c>
    </row>
    <row r="31" spans="1:9" s="791" customFormat="1">
      <c r="A31" s="801"/>
      <c r="B31" s="801"/>
      <c r="C31" s="801"/>
      <c r="D31" s="1915"/>
      <c r="E31" s="1915"/>
      <c r="F31" s="1915"/>
      <c r="G31" s="802"/>
      <c r="I31" s="1837"/>
    </row>
    <row r="32" spans="1:9">
      <c r="A32" s="797"/>
      <c r="B32" s="797"/>
      <c r="D32" s="803"/>
    </row>
    <row r="33" spans="1:9" ht="14.5" customHeight="1">
      <c r="A33" s="797"/>
      <c r="B33" s="798" t="s">
        <v>2679</v>
      </c>
      <c r="D33" s="1915" t="s">
        <v>1423</v>
      </c>
      <c r="E33" s="1915"/>
      <c r="F33" s="1915"/>
      <c r="I33" s="1837" t="s">
        <v>2490</v>
      </c>
    </row>
    <row r="34" spans="1:9">
      <c r="A34" s="797"/>
      <c r="B34" s="797"/>
      <c r="D34" s="1915"/>
      <c r="E34" s="1915"/>
      <c r="F34" s="1915"/>
    </row>
    <row r="35" spans="1:9">
      <c r="A35" s="797"/>
      <c r="B35" s="797"/>
      <c r="D35" s="1915"/>
      <c r="E35" s="1915"/>
      <c r="F35" s="1915"/>
    </row>
    <row r="36" spans="1:9">
      <c r="A36" s="797"/>
      <c r="B36" s="797"/>
      <c r="D36" s="1915"/>
      <c r="E36" s="1915"/>
      <c r="F36" s="1915"/>
    </row>
    <row r="37" spans="1:9">
      <c r="A37" s="797"/>
      <c r="B37" s="797"/>
      <c r="D37" s="790"/>
    </row>
    <row r="38" spans="1:9">
      <c r="A38" s="797"/>
      <c r="B38" s="798" t="s">
        <v>2680</v>
      </c>
      <c r="D38" s="1915" t="s">
        <v>1246</v>
      </c>
      <c r="E38" s="1915"/>
      <c r="F38" s="1915"/>
    </row>
    <row r="39" spans="1:9">
      <c r="A39" s="797"/>
      <c r="B39" s="797"/>
      <c r="D39" s="1915"/>
      <c r="E39" s="1915"/>
      <c r="F39" s="1915"/>
    </row>
    <row r="40" spans="1:9">
      <c r="A40" s="797"/>
      <c r="B40" s="797"/>
      <c r="D40" s="1915"/>
      <c r="E40" s="1915"/>
      <c r="F40" s="1915"/>
    </row>
    <row r="41" spans="1:9">
      <c r="A41" s="797"/>
      <c r="B41" s="797"/>
      <c r="D41" s="1915"/>
      <c r="E41" s="1915"/>
      <c r="F41" s="1915"/>
    </row>
    <row r="42" spans="1:9">
      <c r="A42" s="797"/>
      <c r="B42" s="797"/>
      <c r="D42" s="1915"/>
      <c r="E42" s="1915"/>
      <c r="F42" s="1915"/>
    </row>
    <row r="43" spans="1:9">
      <c r="A43" s="797"/>
      <c r="B43" s="797"/>
      <c r="D43" s="781"/>
      <c r="E43" s="781"/>
      <c r="F43" s="781"/>
    </row>
    <row r="44" spans="1:9">
      <c r="A44" s="797"/>
      <c r="B44" s="798" t="s">
        <v>2679</v>
      </c>
      <c r="D44" s="1915" t="s">
        <v>1247</v>
      </c>
      <c r="E44" s="1915"/>
      <c r="F44" s="1915"/>
      <c r="I44" s="1837" t="s">
        <v>2490</v>
      </c>
    </row>
    <row r="45" spans="1:9">
      <c r="A45" s="797"/>
      <c r="B45" s="797"/>
      <c r="D45" s="1915"/>
      <c r="E45" s="1915"/>
      <c r="F45" s="1915"/>
    </row>
    <row r="46" spans="1:9">
      <c r="A46" s="797"/>
      <c r="B46" s="797"/>
      <c r="D46" s="1915"/>
      <c r="E46" s="1915"/>
      <c r="F46" s="1915"/>
    </row>
    <row r="47" spans="1:9" ht="23.25" customHeight="1">
      <c r="A47" s="797"/>
      <c r="B47" s="797"/>
      <c r="D47" s="1915"/>
      <c r="E47" s="1915"/>
      <c r="F47" s="1915"/>
    </row>
    <row r="48" spans="1:9">
      <c r="A48" s="797"/>
      <c r="B48" s="797"/>
      <c r="D48" s="785"/>
    </row>
    <row r="49" spans="1:9" ht="14.5" customHeight="1">
      <c r="A49" s="797"/>
      <c r="B49" s="798" t="s">
        <v>2680</v>
      </c>
      <c r="D49" s="1915" t="s">
        <v>1248</v>
      </c>
      <c r="E49" s="1915"/>
      <c r="F49" s="1915"/>
      <c r="I49" s="1837" t="s">
        <v>2490</v>
      </c>
    </row>
    <row r="50" spans="1:9">
      <c r="A50" s="797"/>
      <c r="B50" s="797"/>
      <c r="D50" s="1915"/>
      <c r="E50" s="1915"/>
      <c r="F50" s="1915"/>
    </row>
    <row r="51" spans="1:9">
      <c r="A51" s="797"/>
      <c r="B51" s="797"/>
      <c r="D51" s="1915"/>
      <c r="E51" s="1915"/>
      <c r="F51" s="1915"/>
    </row>
    <row r="52" spans="1:9" s="618" customFormat="1">
      <c r="A52" s="797"/>
      <c r="B52" s="797"/>
      <c r="C52" s="804"/>
      <c r="D52" s="802"/>
      <c r="E52" s="693"/>
      <c r="F52" s="693"/>
      <c r="G52" s="693"/>
      <c r="I52" s="642"/>
    </row>
    <row r="53" spans="1:9" s="618" customFormat="1">
      <c r="A53" s="805"/>
      <c r="B53" s="798" t="s">
        <v>2680</v>
      </c>
      <c r="C53" s="806"/>
      <c r="D53" s="1915" t="s">
        <v>1249</v>
      </c>
      <c r="E53" s="1915"/>
      <c r="F53" s="1915"/>
      <c r="G53" s="693"/>
      <c r="I53" s="1774"/>
    </row>
    <row r="54" spans="1:9" s="618" customFormat="1">
      <c r="A54" s="805"/>
      <c r="B54" s="805"/>
      <c r="C54" s="806"/>
      <c r="D54" s="1915"/>
      <c r="E54" s="1915"/>
      <c r="F54" s="1915"/>
      <c r="G54" s="693"/>
      <c r="I54" s="642"/>
    </row>
    <row r="55" spans="1:9" s="791" customFormat="1">
      <c r="A55" s="801"/>
      <c r="B55" s="801"/>
      <c r="C55" s="801"/>
      <c r="D55" s="733"/>
      <c r="E55" s="802"/>
      <c r="F55" s="802"/>
      <c r="G55" s="802"/>
      <c r="I55" s="1837"/>
    </row>
    <row r="56" spans="1:9">
      <c r="A56" s="797"/>
      <c r="B56" s="798" t="s">
        <v>2680</v>
      </c>
      <c r="D56" s="1915" t="s">
        <v>1250</v>
      </c>
      <c r="E56" s="1915"/>
      <c r="F56" s="1915"/>
      <c r="I56" s="1774" t="s">
        <v>2420</v>
      </c>
    </row>
    <row r="57" spans="1:9">
      <c r="D57" s="1915"/>
      <c r="E57" s="1915"/>
      <c r="F57" s="1915"/>
    </row>
    <row r="58" spans="1:9">
      <c r="D58" s="1915"/>
      <c r="E58" s="1915"/>
      <c r="F58" s="1915"/>
    </row>
    <row r="59" spans="1:9">
      <c r="D59" s="693"/>
    </row>
    <row r="60" spans="1:9">
      <c r="A60" s="797"/>
      <c r="B60" s="798" t="s">
        <v>2680</v>
      </c>
      <c r="D60" s="1915" t="s">
        <v>1251</v>
      </c>
      <c r="E60" s="1915"/>
      <c r="F60" s="1915"/>
      <c r="I60" s="1774" t="s">
        <v>2421</v>
      </c>
    </row>
    <row r="61" spans="1:9">
      <c r="D61" s="1915"/>
      <c r="E61" s="1915"/>
      <c r="F61" s="1915"/>
    </row>
    <row r="62" spans="1:9"/>
    <row r="63" spans="1:9">
      <c r="A63" s="797"/>
      <c r="B63" s="798" t="s">
        <v>2679</v>
      </c>
      <c r="D63" s="1915" t="s">
        <v>1252</v>
      </c>
      <c r="E63" s="1915"/>
      <c r="F63" s="1915"/>
    </row>
    <row r="64" spans="1:9">
      <c r="D64" s="1915"/>
      <c r="E64" s="1915"/>
      <c r="F64" s="1915"/>
      <c r="I64" s="1774" t="s">
        <v>2422</v>
      </c>
    </row>
    <row r="65" spans="1:9">
      <c r="D65" s="1915"/>
      <c r="E65" s="1915"/>
      <c r="F65" s="1915"/>
    </row>
    <row r="66" spans="1:9">
      <c r="D66" s="790"/>
    </row>
    <row r="67" spans="1:9">
      <c r="A67" s="797"/>
      <c r="B67" s="798" t="s">
        <v>2679</v>
      </c>
      <c r="D67" s="1914" t="s">
        <v>1253</v>
      </c>
      <c r="E67" s="1914"/>
      <c r="F67" s="1914"/>
      <c r="I67" s="1774" t="s">
        <v>2422</v>
      </c>
    </row>
    <row r="68" spans="1:9">
      <c r="D68" s="1914"/>
      <c r="E68" s="1914"/>
      <c r="F68" s="1914"/>
    </row>
    <row r="69" spans="1:9">
      <c r="A69" s="797"/>
      <c r="B69" s="797"/>
      <c r="D69" s="800"/>
    </row>
    <row r="70" spans="1:9">
      <c r="A70" s="1896" t="s">
        <v>1160</v>
      </c>
      <c r="B70" s="1896"/>
      <c r="C70" s="1896"/>
      <c r="D70" s="1896"/>
      <c r="E70" s="1896"/>
      <c r="F70" s="1896"/>
      <c r="G70" s="1896"/>
      <c r="H70" s="1853"/>
      <c r="I70" s="1854"/>
    </row>
    <row r="71" spans="1:9"/>
    <row r="72" spans="1:9">
      <c r="C72" s="807"/>
      <c r="D72" s="1985" t="s">
        <v>1258</v>
      </c>
      <c r="E72" s="1985"/>
      <c r="F72" s="1985"/>
    </row>
    <row r="73" spans="1:9">
      <c r="A73" s="800"/>
      <c r="B73" s="800"/>
      <c r="D73" s="1914" t="s">
        <v>1285</v>
      </c>
      <c r="E73" s="1914"/>
      <c r="F73" s="1914"/>
    </row>
    <row r="74" spans="1:9">
      <c r="A74" s="800"/>
      <c r="B74" s="800"/>
    </row>
    <row r="75" spans="1:9" ht="13.75" customHeight="1">
      <c r="A75" s="797"/>
      <c r="B75" s="798" t="s">
        <v>2679</v>
      </c>
      <c r="D75" s="1914" t="s">
        <v>1472</v>
      </c>
      <c r="E75" s="1914"/>
      <c r="F75" s="1914"/>
      <c r="I75" s="1774" t="s">
        <v>2423</v>
      </c>
    </row>
    <row r="76" spans="1:9">
      <c r="A76" s="797"/>
      <c r="B76" s="797"/>
      <c r="D76" s="1914"/>
      <c r="E76" s="1914"/>
      <c r="F76" s="1914"/>
    </row>
    <row r="77" spans="1:9">
      <c r="A77" s="797"/>
      <c r="B77" s="797"/>
      <c r="D77" s="1914"/>
      <c r="E77" s="1914"/>
      <c r="F77" s="1914"/>
    </row>
    <row r="78" spans="1:9">
      <c r="A78" s="797"/>
      <c r="B78" s="797"/>
      <c r="D78" s="1914"/>
      <c r="E78" s="1914"/>
      <c r="F78" s="1914"/>
    </row>
    <row r="79" spans="1:9">
      <c r="A79" s="797"/>
      <c r="B79" s="797"/>
      <c r="D79" s="1914"/>
      <c r="E79" s="1914"/>
      <c r="F79" s="1914"/>
    </row>
    <row r="80" spans="1:9">
      <c r="A80" s="797"/>
      <c r="B80" s="797"/>
      <c r="D80" s="1914"/>
      <c r="E80" s="1914"/>
      <c r="F80" s="1914"/>
    </row>
    <row r="81" spans="1:9">
      <c r="A81" s="797"/>
      <c r="B81" s="797"/>
      <c r="D81" s="1914"/>
      <c r="E81" s="1914"/>
      <c r="F81" s="1914"/>
    </row>
    <row r="82" spans="1:9">
      <c r="A82" s="797"/>
      <c r="B82" s="797"/>
      <c r="D82" s="1914"/>
      <c r="E82" s="1914"/>
      <c r="F82" s="1914"/>
    </row>
    <row r="83" spans="1:9">
      <c r="A83" s="797"/>
      <c r="B83" s="797"/>
      <c r="D83" s="878"/>
      <c r="E83" s="878"/>
      <c r="F83" s="878"/>
    </row>
    <row r="84" spans="1:9" ht="15" customHeight="1">
      <c r="A84" s="797"/>
      <c r="B84" s="798" t="s">
        <v>2679</v>
      </c>
      <c r="D84" s="1914" t="s">
        <v>2243</v>
      </c>
      <c r="E84" s="1914"/>
      <c r="F84" s="1914"/>
      <c r="I84" s="1774" t="s">
        <v>2424</v>
      </c>
    </row>
    <row r="85" spans="1:9">
      <c r="A85" s="797"/>
      <c r="B85" s="797"/>
      <c r="D85" s="1914"/>
      <c r="E85" s="1914"/>
      <c r="F85" s="1914"/>
    </row>
    <row r="86" spans="1:9">
      <c r="A86" s="797"/>
      <c r="B86" s="797"/>
      <c r="D86" s="1712"/>
      <c r="E86" s="1712"/>
      <c r="F86" s="1712"/>
    </row>
    <row r="87" spans="1:9">
      <c r="A87" s="797"/>
      <c r="B87" s="798" t="s">
        <v>2679</v>
      </c>
      <c r="D87" s="1914" t="s">
        <v>2247</v>
      </c>
      <c r="E87" s="1914"/>
      <c r="F87" s="1914"/>
      <c r="I87" s="1774" t="s">
        <v>2425</v>
      </c>
    </row>
    <row r="88" spans="1:9">
      <c r="A88" s="797"/>
      <c r="B88" s="797"/>
      <c r="D88" s="1914"/>
      <c r="E88" s="1914"/>
      <c r="F88" s="1914"/>
    </row>
    <row r="89" spans="1:9">
      <c r="A89" s="797"/>
      <c r="B89" s="797"/>
      <c r="D89" s="1914"/>
      <c r="E89" s="1914"/>
      <c r="F89" s="1914"/>
    </row>
    <row r="90" spans="1:9">
      <c r="A90" s="797"/>
      <c r="B90" s="797"/>
      <c r="D90" s="1712"/>
      <c r="E90" s="1712"/>
      <c r="F90" s="1712"/>
    </row>
    <row r="91" spans="1:9">
      <c r="A91" s="797"/>
      <c r="B91" s="798" t="s">
        <v>2679</v>
      </c>
      <c r="D91" s="1914" t="s">
        <v>2245</v>
      </c>
      <c r="E91" s="1914"/>
      <c r="F91" s="1914"/>
      <c r="I91" s="1774" t="s">
        <v>2470</v>
      </c>
    </row>
    <row r="92" spans="1:9" s="1729" customFormat="1">
      <c r="A92" s="1727"/>
      <c r="B92" s="1727"/>
      <c r="C92" s="1728"/>
      <c r="D92" s="1914"/>
      <c r="E92" s="1914"/>
      <c r="F92" s="1914"/>
      <c r="I92" s="1838"/>
    </row>
    <row r="93" spans="1:9">
      <c r="A93" s="797"/>
      <c r="B93" s="797"/>
      <c r="D93" s="1718"/>
      <c r="E93" s="1719" t="s">
        <v>2246</v>
      </c>
      <c r="F93" s="1712"/>
    </row>
    <row r="94" spans="1:9">
      <c r="A94" s="797"/>
      <c r="B94" s="797"/>
      <c r="D94" s="878"/>
      <c r="E94" s="878"/>
      <c r="F94" s="878"/>
    </row>
    <row r="95" spans="1:9">
      <c r="A95" s="797"/>
      <c r="B95" s="798" t="s">
        <v>2680</v>
      </c>
      <c r="D95" s="1914" t="s">
        <v>2244</v>
      </c>
      <c r="E95" s="1914"/>
      <c r="F95" s="1914"/>
      <c r="I95" s="1774" t="s">
        <v>2426</v>
      </c>
    </row>
    <row r="96" spans="1:9">
      <c r="A96" s="797"/>
      <c r="B96" s="797"/>
      <c r="D96" s="1914"/>
      <c r="E96" s="1914"/>
      <c r="F96" s="1914"/>
    </row>
    <row r="97" spans="1:9">
      <c r="A97" s="797"/>
      <c r="B97" s="797"/>
      <c r="D97" s="1712"/>
      <c r="E97" s="1712"/>
      <c r="F97" s="1712"/>
    </row>
    <row r="98" spans="1:9" ht="14.5" customHeight="1">
      <c r="A98" s="797"/>
      <c r="B98" s="798" t="s">
        <v>2680</v>
      </c>
      <c r="D98" s="1914" t="s">
        <v>1398</v>
      </c>
      <c r="E98" s="1914"/>
      <c r="F98" s="1914"/>
      <c r="G98" s="790"/>
      <c r="I98" s="1774" t="s">
        <v>2427</v>
      </c>
    </row>
    <row r="99" spans="1:9">
      <c r="A99" s="797"/>
      <c r="B99" s="797"/>
      <c r="D99" s="1914"/>
      <c r="E99" s="1914"/>
      <c r="F99" s="1914"/>
      <c r="G99" s="790"/>
    </row>
    <row r="100" spans="1:9">
      <c r="A100" s="797"/>
      <c r="B100" s="797"/>
      <c r="D100" s="1914"/>
      <c r="E100" s="1914"/>
      <c r="F100" s="1914"/>
      <c r="G100" s="790"/>
    </row>
    <row r="101" spans="1:9">
      <c r="A101" s="797"/>
      <c r="B101" s="797"/>
      <c r="D101" s="1914"/>
      <c r="E101" s="1914"/>
      <c r="F101" s="1914"/>
      <c r="G101" s="790"/>
    </row>
    <row r="102" spans="1:9">
      <c r="A102" s="797"/>
      <c r="B102" s="797"/>
      <c r="D102" s="1914"/>
      <c r="E102" s="1914"/>
      <c r="F102" s="1914"/>
      <c r="G102" s="790"/>
    </row>
    <row r="103" spans="1:9">
      <c r="A103" s="797"/>
      <c r="B103" s="797"/>
      <c r="D103" s="1914"/>
      <c r="E103" s="1914"/>
      <c r="F103" s="1914"/>
      <c r="G103" s="790"/>
    </row>
    <row r="104" spans="1:9">
      <c r="A104" s="797"/>
      <c r="B104" s="797"/>
      <c r="D104" s="1914"/>
      <c r="E104" s="1914"/>
      <c r="F104" s="1914"/>
      <c r="G104" s="790"/>
    </row>
    <row r="105" spans="1:9">
      <c r="A105" s="797"/>
      <c r="B105" s="797"/>
      <c r="D105" s="1914"/>
      <c r="E105" s="1914"/>
      <c r="F105" s="1914"/>
      <c r="G105" s="790"/>
    </row>
    <row r="106" spans="1:9">
      <c r="A106" s="797"/>
      <c r="B106" s="797"/>
      <c r="D106" s="1914"/>
      <c r="E106" s="1914"/>
      <c r="F106" s="1914"/>
      <c r="G106" s="790"/>
    </row>
    <row r="107" spans="1:9">
      <c r="A107" s="797"/>
      <c r="B107" s="797"/>
      <c r="D107" s="1914"/>
      <c r="E107" s="1914"/>
      <c r="F107" s="1914"/>
      <c r="G107" s="790"/>
    </row>
    <row r="108" spans="1:9">
      <c r="A108" s="797"/>
      <c r="B108" s="797"/>
      <c r="D108" s="1914"/>
      <c r="E108" s="1914"/>
      <c r="F108" s="1914"/>
      <c r="G108" s="790"/>
    </row>
    <row r="109" spans="1:9">
      <c r="A109" s="797"/>
      <c r="B109" s="797"/>
      <c r="D109" s="1914"/>
      <c r="E109" s="1914"/>
      <c r="F109" s="1914"/>
      <c r="G109" s="790"/>
    </row>
    <row r="110" spans="1:9">
      <c r="A110" s="797"/>
      <c r="B110" s="797"/>
      <c r="D110" s="1914"/>
      <c r="E110" s="1914"/>
      <c r="F110" s="1914"/>
      <c r="G110" s="790"/>
    </row>
    <row r="111" spans="1:9">
      <c r="A111" s="797"/>
      <c r="B111" s="797"/>
      <c r="D111" s="1914"/>
      <c r="E111" s="1914"/>
      <c r="F111" s="1914"/>
    </row>
    <row r="112" spans="1:9">
      <c r="A112" s="797"/>
      <c r="B112" s="797"/>
      <c r="D112" s="1914"/>
      <c r="E112" s="1914"/>
      <c r="F112" s="1914"/>
    </row>
    <row r="113" spans="1:11">
      <c r="A113" s="797"/>
      <c r="B113" s="797"/>
      <c r="D113" s="904"/>
      <c r="E113" s="904"/>
      <c r="F113" s="904"/>
    </row>
    <row r="114" spans="1:11" ht="14.25" customHeight="1">
      <c r="A114" s="797"/>
      <c r="B114" s="798" t="s">
        <v>2680</v>
      </c>
      <c r="D114" s="1934" t="s">
        <v>1260</v>
      </c>
      <c r="E114" s="1934"/>
      <c r="F114" s="1934"/>
    </row>
    <row r="115" spans="1:11">
      <c r="A115" s="797"/>
      <c r="B115" s="797"/>
      <c r="D115" s="1934"/>
      <c r="E115" s="1934"/>
      <c r="F115" s="1934"/>
    </row>
    <row r="116" spans="1:11">
      <c r="A116" s="797"/>
      <c r="B116" s="797"/>
      <c r="D116" s="1934"/>
      <c r="E116" s="1934"/>
      <c r="F116" s="1934"/>
    </row>
    <row r="117" spans="1:11">
      <c r="A117" s="797"/>
      <c r="B117" s="797"/>
      <c r="D117" s="1934"/>
      <c r="E117" s="1934"/>
      <c r="F117" s="1934"/>
    </row>
    <row r="118" spans="1:11">
      <c r="A118" s="797"/>
      <c r="B118" s="797"/>
      <c r="D118" s="1934"/>
      <c r="E118" s="1934"/>
      <c r="F118" s="1934"/>
    </row>
    <row r="119" spans="1:11">
      <c r="A119" s="797"/>
      <c r="B119" s="797"/>
      <c r="D119" s="1934"/>
      <c r="E119" s="1934"/>
      <c r="F119" s="1934"/>
    </row>
    <row r="120" spans="1:11">
      <c r="A120" s="797"/>
      <c r="B120" s="797"/>
      <c r="D120" s="1934"/>
      <c r="E120" s="1934"/>
      <c r="F120" s="1934"/>
    </row>
    <row r="121" spans="1:11">
      <c r="A121" s="797"/>
      <c r="B121" s="797"/>
      <c r="D121" s="1934"/>
      <c r="E121" s="1934"/>
      <c r="F121" s="1934"/>
    </row>
    <row r="122" spans="1:11">
      <c r="C122" s="722"/>
      <c r="D122" s="905"/>
      <c r="E122" s="905"/>
      <c r="F122" s="905"/>
      <c r="G122" s="722"/>
      <c r="H122" s="722"/>
      <c r="I122" s="622"/>
      <c r="J122" s="722"/>
      <c r="K122" s="722"/>
    </row>
    <row r="123" spans="1:11">
      <c r="A123" s="797"/>
      <c r="B123" s="798" t="s">
        <v>2679</v>
      </c>
      <c r="C123" s="722"/>
      <c r="D123" s="1934" t="s">
        <v>1262</v>
      </c>
      <c r="E123" s="1934"/>
      <c r="F123" s="1934"/>
      <c r="G123" s="722"/>
      <c r="H123" s="722"/>
      <c r="I123" s="622" t="s">
        <v>2428</v>
      </c>
      <c r="J123" s="722"/>
      <c r="K123" s="722"/>
    </row>
    <row r="124" spans="1:11">
      <c r="A124" s="797"/>
      <c r="B124" s="797"/>
      <c r="C124" s="722"/>
      <c r="D124" s="1934"/>
      <c r="E124" s="1934"/>
      <c r="F124" s="1934"/>
      <c r="G124" s="722"/>
      <c r="H124" s="722"/>
      <c r="I124" s="622"/>
      <c r="J124" s="722"/>
      <c r="K124" s="722"/>
    </row>
    <row r="125" spans="1:11"/>
    <row r="126" spans="1:11">
      <c r="A126" s="797"/>
      <c r="B126" s="798" t="s">
        <v>2679</v>
      </c>
      <c r="C126" s="804"/>
      <c r="D126" s="1914" t="s">
        <v>1263</v>
      </c>
      <c r="E126" s="1914"/>
      <c r="F126" s="1914"/>
      <c r="I126" s="622" t="s">
        <v>2428</v>
      </c>
    </row>
    <row r="127" spans="1:11">
      <c r="C127" s="804"/>
      <c r="D127" s="1914"/>
      <c r="E127" s="1914"/>
      <c r="F127" s="1914"/>
    </row>
    <row r="128" spans="1:11">
      <c r="C128" s="804"/>
      <c r="D128" s="1914"/>
      <c r="E128" s="1914"/>
      <c r="F128" s="1914"/>
    </row>
    <row r="129" spans="1:9">
      <c r="C129" s="804"/>
      <c r="D129" s="1914"/>
      <c r="E129" s="1914"/>
      <c r="F129" s="1914"/>
    </row>
    <row r="130" spans="1:9">
      <c r="C130" s="804"/>
      <c r="D130" s="1914"/>
      <c r="E130" s="1914"/>
      <c r="F130" s="1914"/>
    </row>
    <row r="131" spans="1:9">
      <c r="C131" s="804"/>
      <c r="D131" s="672"/>
      <c r="E131" s="672"/>
      <c r="F131" s="672"/>
    </row>
    <row r="132" spans="1:9" s="722" customFormat="1">
      <c r="A132" s="797"/>
      <c r="B132" s="798" t="s">
        <v>2679</v>
      </c>
      <c r="C132" s="804"/>
      <c r="D132" s="1915" t="s">
        <v>1264</v>
      </c>
      <c r="E132" s="1915"/>
      <c r="F132" s="1915"/>
      <c r="G132" s="672"/>
      <c r="I132" s="622" t="s">
        <v>2429</v>
      </c>
    </row>
    <row r="133" spans="1:9" s="812" customFormat="1" ht="13.75" customHeight="1">
      <c r="A133" s="809"/>
      <c r="B133" s="809"/>
      <c r="C133" s="810"/>
      <c r="D133" s="1915"/>
      <c r="E133" s="1915"/>
      <c r="F133" s="1915"/>
      <c r="G133" s="811"/>
      <c r="I133" s="1839"/>
    </row>
    <row r="134" spans="1:9" s="722" customFormat="1" ht="13.75" customHeight="1">
      <c r="A134" s="788"/>
      <c r="B134" s="788"/>
      <c r="C134" s="804"/>
      <c r="D134" s="1915"/>
      <c r="E134" s="1915"/>
      <c r="F134" s="1915"/>
      <c r="G134" s="672"/>
      <c r="I134" s="622"/>
    </row>
    <row r="135" spans="1:9" s="722" customFormat="1" ht="13.75" customHeight="1">
      <c r="A135" s="788"/>
      <c r="B135" s="788"/>
      <c r="C135" s="804"/>
      <c r="D135" s="1915"/>
      <c r="E135" s="1915"/>
      <c r="F135" s="1915"/>
      <c r="G135" s="672"/>
      <c r="I135" s="622"/>
    </row>
    <row r="136" spans="1:9" s="722" customFormat="1" ht="13.75" customHeight="1">
      <c r="A136" s="788"/>
      <c r="B136" s="788"/>
      <c r="C136" s="804"/>
      <c r="D136" s="1915"/>
      <c r="E136" s="1915"/>
      <c r="F136" s="1915"/>
      <c r="G136" s="672"/>
      <c r="I136" s="622"/>
    </row>
    <row r="137" spans="1:9" s="722" customFormat="1" ht="13.75" customHeight="1">
      <c r="A137" s="813"/>
      <c r="B137" s="813"/>
      <c r="C137" s="804"/>
      <c r="D137" s="1915"/>
      <c r="E137" s="1915"/>
      <c r="F137" s="1915"/>
      <c r="G137" s="672"/>
      <c r="I137" s="622"/>
    </row>
    <row r="138" spans="1:9" s="618" customFormat="1" ht="13.75" customHeight="1">
      <c r="A138" s="801"/>
      <c r="B138" s="801"/>
      <c r="C138" s="806"/>
      <c r="D138" s="1915"/>
      <c r="E138" s="1915"/>
      <c r="F138" s="1915"/>
      <c r="G138" s="693"/>
      <c r="I138" s="642"/>
    </row>
    <row r="139" spans="1:9" s="618" customFormat="1" ht="13.75" customHeight="1">
      <c r="A139" s="801"/>
      <c r="B139" s="801"/>
      <c r="C139" s="806"/>
      <c r="D139" s="1915"/>
      <c r="E139" s="1915"/>
      <c r="F139" s="1915"/>
      <c r="G139" s="693"/>
      <c r="I139" s="642"/>
    </row>
    <row r="140" spans="1:9" s="722" customFormat="1" ht="13.75" customHeight="1">
      <c r="A140" s="788"/>
      <c r="B140" s="788"/>
      <c r="C140" s="804"/>
      <c r="D140" s="1915"/>
      <c r="E140" s="1915"/>
      <c r="F140" s="1915"/>
      <c r="G140" s="672"/>
      <c r="I140" s="622"/>
    </row>
    <row r="141" spans="1:9" s="722" customFormat="1" ht="13.75" customHeight="1">
      <c r="A141" s="788"/>
      <c r="B141" s="788"/>
      <c r="C141" s="804"/>
      <c r="D141" s="1915"/>
      <c r="E141" s="1915"/>
      <c r="F141" s="1915"/>
      <c r="G141" s="672"/>
      <c r="I141" s="622"/>
    </row>
    <row r="142" spans="1:9" s="722" customFormat="1" ht="13.75" customHeight="1">
      <c r="A142" s="788"/>
      <c r="B142" s="788"/>
      <c r="C142" s="804"/>
      <c r="D142" s="1915"/>
      <c r="E142" s="1915"/>
      <c r="F142" s="1915"/>
      <c r="G142" s="672"/>
      <c r="I142" s="622"/>
    </row>
    <row r="143" spans="1:9" s="722" customFormat="1" ht="13.75" customHeight="1">
      <c r="A143" s="788"/>
      <c r="B143" s="788"/>
      <c r="C143" s="804"/>
      <c r="D143" s="1915"/>
      <c r="E143" s="1915"/>
      <c r="F143" s="1915"/>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2680</v>
      </c>
      <c r="C145" s="804"/>
      <c r="D145" s="1998" t="s">
        <v>1372</v>
      </c>
      <c r="E145" s="1998"/>
      <c r="F145" s="1998"/>
      <c r="G145" s="672"/>
      <c r="I145" s="622" t="s">
        <v>2430</v>
      </c>
    </row>
    <row r="146" spans="1:9" s="722" customFormat="1" ht="13.75" customHeight="1">
      <c r="A146" s="788"/>
      <c r="B146" s="788"/>
      <c r="C146" s="804"/>
      <c r="D146" s="1998"/>
      <c r="E146" s="1998"/>
      <c r="F146" s="1998"/>
      <c r="G146" s="672"/>
      <c r="I146" s="622"/>
    </row>
    <row r="147" spans="1:9" s="722" customFormat="1" ht="13.75" customHeight="1">
      <c r="A147" s="788"/>
      <c r="B147" s="788"/>
      <c r="C147" s="804"/>
      <c r="D147" s="1998"/>
      <c r="E147" s="1998"/>
      <c r="F147" s="1998"/>
      <c r="G147" s="672"/>
      <c r="I147" s="622"/>
    </row>
    <row r="148" spans="1:9" s="722" customFormat="1" ht="13.75" customHeight="1">
      <c r="A148" s="788"/>
      <c r="B148" s="788"/>
      <c r="C148" s="804"/>
      <c r="D148" s="1998"/>
      <c r="E148" s="1998"/>
      <c r="F148" s="1998"/>
      <c r="G148" s="672"/>
      <c r="I148" s="622"/>
    </row>
    <row r="149" spans="1:9" s="722" customFormat="1" ht="13.75" customHeight="1">
      <c r="A149" s="788"/>
      <c r="B149" s="788"/>
      <c r="C149" s="804"/>
      <c r="D149" s="1998"/>
      <c r="E149" s="1998"/>
      <c r="F149" s="1998"/>
      <c r="G149" s="672"/>
      <c r="I149" s="622"/>
    </row>
    <row r="150" spans="1:9" s="722" customFormat="1" ht="13.75" customHeight="1">
      <c r="A150" s="788"/>
      <c r="B150" s="788"/>
      <c r="C150" s="804"/>
      <c r="D150" s="1998"/>
      <c r="E150" s="1998"/>
      <c r="F150" s="1998"/>
      <c r="G150" s="672"/>
      <c r="I150" s="622"/>
    </row>
    <row r="151" spans="1:9" s="722" customFormat="1" ht="13.75" customHeight="1">
      <c r="A151" s="788"/>
      <c r="B151" s="788"/>
      <c r="C151" s="804"/>
      <c r="D151" s="1998"/>
      <c r="E151" s="1998"/>
      <c r="F151" s="1998"/>
      <c r="G151" s="672"/>
      <c r="I151" s="622"/>
    </row>
    <row r="152" spans="1:9" s="722" customFormat="1" ht="13.75" customHeight="1">
      <c r="A152" s="788"/>
      <c r="B152" s="788"/>
      <c r="C152" s="804"/>
      <c r="D152" s="1998"/>
      <c r="E152" s="1998"/>
      <c r="F152" s="1998"/>
      <c r="G152" s="672"/>
      <c r="I152" s="622"/>
    </row>
    <row r="153" spans="1:9" s="722" customFormat="1" ht="13.75" customHeight="1">
      <c r="A153" s="788"/>
      <c r="B153" s="788"/>
      <c r="C153" s="804"/>
      <c r="D153" s="1998"/>
      <c r="E153" s="1998"/>
      <c r="F153" s="1998"/>
      <c r="G153" s="672"/>
      <c r="I153" s="622"/>
    </row>
    <row r="154" spans="1:9" s="722" customFormat="1" ht="13.75" customHeight="1">
      <c r="A154" s="788"/>
      <c r="B154" s="788"/>
      <c r="C154" s="804"/>
      <c r="D154" s="1998"/>
      <c r="E154" s="1998"/>
      <c r="F154" s="1998"/>
      <c r="G154" s="672"/>
      <c r="I154" s="622"/>
    </row>
    <row r="155" spans="1:9" s="722" customFormat="1" ht="13.75" customHeight="1">
      <c r="A155" s="788"/>
      <c r="B155" s="788"/>
      <c r="C155" s="804"/>
      <c r="D155" s="1998"/>
      <c r="E155" s="1998"/>
      <c r="F155" s="1998"/>
      <c r="G155" s="672"/>
      <c r="I155" s="622"/>
    </row>
    <row r="156" spans="1:9" s="722" customFormat="1" ht="13.75" customHeight="1">
      <c r="A156" s="788"/>
      <c r="B156" s="788"/>
      <c r="C156" s="804"/>
      <c r="D156" s="1998"/>
      <c r="E156" s="1998"/>
      <c r="F156" s="1998"/>
      <c r="G156" s="672"/>
      <c r="I156" s="622"/>
    </row>
    <row r="157" spans="1:9" s="722" customFormat="1" ht="13.75" customHeight="1">
      <c r="A157" s="788"/>
      <c r="B157" s="788"/>
      <c r="C157" s="804"/>
      <c r="D157" s="1998"/>
      <c r="E157" s="1998"/>
      <c r="F157" s="1998"/>
      <c r="G157" s="672"/>
      <c r="I157" s="622"/>
    </row>
    <row r="158" spans="1:9" s="722" customFormat="1" ht="13.75" customHeight="1">
      <c r="A158" s="788"/>
      <c r="B158" s="788"/>
      <c r="C158" s="804"/>
      <c r="D158" s="1998"/>
      <c r="E158" s="1998"/>
      <c r="F158" s="1998"/>
      <c r="G158" s="672"/>
      <c r="I158" s="622"/>
    </row>
    <row r="159" spans="1:9" s="722" customFormat="1" ht="13.75" customHeight="1">
      <c r="A159" s="788"/>
      <c r="B159" s="788"/>
      <c r="C159" s="804"/>
      <c r="D159" s="1998"/>
      <c r="E159" s="1998"/>
      <c r="F159" s="1998"/>
      <c r="G159" s="672"/>
      <c r="I159" s="622"/>
    </row>
    <row r="160" spans="1:9" s="722" customFormat="1" ht="13.75" customHeight="1">
      <c r="A160" s="788"/>
      <c r="B160" s="788"/>
      <c r="C160" s="804"/>
      <c r="D160" s="1998"/>
      <c r="E160" s="1998"/>
      <c r="F160" s="1998"/>
      <c r="G160" s="672"/>
      <c r="I160" s="622"/>
    </row>
    <row r="161" spans="1:9" s="722" customFormat="1" ht="13.75" customHeight="1">
      <c r="A161" s="788"/>
      <c r="B161" s="788"/>
      <c r="C161" s="804"/>
      <c r="D161" s="1998"/>
      <c r="E161" s="1998"/>
      <c r="F161" s="1998"/>
      <c r="G161" s="672"/>
      <c r="I161" s="622"/>
    </row>
    <row r="162" spans="1:9" s="722" customFormat="1" ht="13.75" customHeight="1">
      <c r="A162" s="788"/>
      <c r="B162" s="788"/>
      <c r="C162" s="804"/>
      <c r="D162" s="1998"/>
      <c r="E162" s="1998"/>
      <c r="F162" s="1998"/>
      <c r="G162" s="672"/>
      <c r="I162" s="622"/>
    </row>
    <row r="163" spans="1:9" s="722" customFormat="1" ht="13.75" customHeight="1">
      <c r="A163" s="788"/>
      <c r="B163" s="788"/>
      <c r="C163" s="804"/>
      <c r="D163" s="1999" t="s">
        <v>1406</v>
      </c>
      <c r="E163" s="1999"/>
      <c r="F163" s="1999"/>
      <c r="G163" s="856"/>
      <c r="I163" s="622"/>
    </row>
    <row r="164" spans="1:9" s="722" customFormat="1" ht="13.75" customHeight="1">
      <c r="A164" s="788"/>
      <c r="B164" s="788"/>
      <c r="C164" s="804"/>
      <c r="D164" s="1997"/>
      <c r="E164" s="1997"/>
      <c r="F164" s="1997"/>
      <c r="G164" s="1997"/>
      <c r="I164" s="622"/>
    </row>
    <row r="165" spans="1:9" s="722" customFormat="1" ht="14.5" customHeight="1">
      <c r="A165" s="813"/>
      <c r="B165" s="798" t="s">
        <v>2680</v>
      </c>
      <c r="C165" s="814"/>
      <c r="D165" s="1888" t="s">
        <v>1434</v>
      </c>
      <c r="E165" s="1888"/>
      <c r="F165" s="1888"/>
      <c r="G165" s="815"/>
      <c r="I165" s="622" t="s">
        <v>2425</v>
      </c>
    </row>
    <row r="166" spans="1:9" s="722" customFormat="1" ht="14.5" customHeight="1">
      <c r="A166" s="813"/>
      <c r="B166" s="813"/>
      <c r="C166" s="814"/>
      <c r="D166" s="1888"/>
      <c r="E166" s="1888"/>
      <c r="F166" s="1888"/>
      <c r="G166" s="815"/>
      <c r="I166" s="622"/>
    </row>
    <row r="167" spans="1:9" s="722" customFormat="1" ht="13.75" customHeight="1">
      <c r="A167" s="813"/>
      <c r="B167" s="813"/>
      <c r="C167" s="814"/>
      <c r="D167" s="1888"/>
      <c r="E167" s="1888"/>
      <c r="F167" s="1888"/>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2680</v>
      </c>
      <c r="C169" s="814"/>
      <c r="D169" s="1884" t="s">
        <v>1266</v>
      </c>
      <c r="E169" s="1884"/>
      <c r="F169" s="1884"/>
      <c r="G169" s="815"/>
      <c r="I169" s="622" t="s">
        <v>2431</v>
      </c>
    </row>
    <row r="170" spans="1:9" s="722" customFormat="1" ht="13.75" customHeight="1">
      <c r="A170" s="813"/>
      <c r="B170" s="813"/>
      <c r="C170" s="814"/>
      <c r="D170" s="1884"/>
      <c r="E170" s="1884"/>
      <c r="F170" s="1884"/>
      <c r="G170" s="815"/>
      <c r="I170" s="622"/>
    </row>
    <row r="171" spans="1:9" s="722" customFormat="1" ht="13.75" customHeight="1">
      <c r="A171" s="813"/>
      <c r="B171" s="813"/>
      <c r="C171" s="814"/>
      <c r="D171" s="1884"/>
      <c r="E171" s="1884"/>
      <c r="F171" s="1884"/>
      <c r="G171" s="815"/>
      <c r="I171" s="622"/>
    </row>
    <row r="172" spans="1:9" s="722" customFormat="1" ht="13.75" customHeight="1">
      <c r="A172" s="813"/>
      <c r="B172" s="813"/>
      <c r="C172" s="814"/>
      <c r="D172" s="1884"/>
      <c r="E172" s="1884"/>
      <c r="F172" s="1884"/>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2679</v>
      </c>
      <c r="C174" s="804"/>
      <c r="D174" s="1919" t="s">
        <v>1267</v>
      </c>
      <c r="E174" s="1919"/>
      <c r="F174" s="1919"/>
      <c r="G174" s="672"/>
      <c r="I174" s="622" t="s">
        <v>2432</v>
      </c>
    </row>
    <row r="175" spans="1:9" s="722" customFormat="1" ht="13.75" customHeight="1">
      <c r="A175" s="788"/>
      <c r="B175" s="788"/>
      <c r="C175" s="804"/>
      <c r="D175" s="1919"/>
      <c r="E175" s="1919"/>
      <c r="F175" s="1919"/>
      <c r="G175" s="672"/>
      <c r="I175" s="622"/>
    </row>
    <row r="176" spans="1:9" s="722" customFormat="1" ht="13.75" customHeight="1">
      <c r="A176" s="788"/>
      <c r="B176" s="788"/>
      <c r="C176" s="804"/>
      <c r="D176" s="1919"/>
      <c r="E176" s="1919"/>
      <c r="F176" s="1919"/>
      <c r="G176" s="672"/>
      <c r="I176" s="622"/>
    </row>
    <row r="177" spans="1:9" s="722" customFormat="1" ht="13.75" customHeight="1">
      <c r="A177" s="816"/>
      <c r="B177" s="816"/>
      <c r="C177" s="804"/>
      <c r="D177" s="789"/>
      <c r="E177" s="785"/>
      <c r="F177" s="785"/>
      <c r="G177" s="672"/>
      <c r="I177" s="622"/>
    </row>
    <row r="178" spans="1:9">
      <c r="A178" s="1896" t="s">
        <v>2407</v>
      </c>
      <c r="B178" s="1896"/>
      <c r="C178" s="1896"/>
      <c r="D178" s="1896"/>
      <c r="E178" s="1896"/>
      <c r="F178" s="1896"/>
      <c r="G178" s="1896"/>
      <c r="H178" s="1853"/>
      <c r="I178" s="1854"/>
    </row>
    <row r="179" spans="1:9" ht="12" customHeight="1">
      <c r="D179" s="800"/>
      <c r="E179" s="800"/>
      <c r="F179" s="800"/>
    </row>
    <row r="180" spans="1:9">
      <c r="B180" s="1986" t="s">
        <v>470</v>
      </c>
      <c r="C180" s="1986"/>
      <c r="D180" s="1986"/>
      <c r="E180" s="1986"/>
      <c r="F180" s="1986"/>
    </row>
    <row r="181" spans="1:9" s="1772" customFormat="1">
      <c r="A181" s="788"/>
      <c r="B181" s="1831" t="s">
        <v>2408</v>
      </c>
      <c r="C181" s="1831"/>
      <c r="D181" s="1831"/>
      <c r="E181" s="1831"/>
      <c r="F181" s="1831"/>
      <c r="G181" s="1771"/>
      <c r="I181" s="1774"/>
    </row>
    <row r="182" spans="1:9" ht="12" customHeight="1">
      <c r="A182" s="793"/>
      <c r="B182" s="793"/>
      <c r="C182" s="793"/>
    </row>
    <row r="183" spans="1:9">
      <c r="A183" s="1896" t="s">
        <v>1162</v>
      </c>
      <c r="B183" s="1896"/>
      <c r="C183" s="1896"/>
      <c r="D183" s="1896"/>
      <c r="E183" s="1896"/>
      <c r="F183" s="1896"/>
      <c r="G183" s="1896"/>
      <c r="H183" s="1853"/>
      <c r="I183" s="1854"/>
    </row>
    <row r="184" spans="1:9" ht="12" customHeight="1">
      <c r="A184" s="817"/>
      <c r="B184" s="817"/>
      <c r="C184" s="818"/>
      <c r="D184" s="819"/>
      <c r="E184" s="820"/>
      <c r="F184" s="819"/>
      <c r="G184" s="819"/>
    </row>
    <row r="185" spans="1:9" ht="13.75"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2680</v>
      </c>
      <c r="C189" s="818"/>
      <c r="D189" s="1889" t="s">
        <v>2249</v>
      </c>
      <c r="E189" s="1889"/>
      <c r="F189" s="1889"/>
      <c r="G189" s="819"/>
      <c r="I189" s="1774" t="s">
        <v>2481</v>
      </c>
    </row>
    <row r="190" spans="1:9">
      <c r="A190" s="817"/>
      <c r="B190" s="817"/>
      <c r="C190" s="818"/>
      <c r="D190" s="1942" t="s">
        <v>2250</v>
      </c>
      <c r="E190" s="1942"/>
      <c r="F190" s="1942"/>
      <c r="G190" s="819"/>
    </row>
    <row r="191" spans="1:9">
      <c r="A191" s="817"/>
      <c r="B191" s="817"/>
      <c r="C191" s="818"/>
      <c r="D191" s="1730" t="s">
        <v>2251</v>
      </c>
      <c r="E191" s="1967" t="s">
        <v>2252</v>
      </c>
      <c r="F191" s="1967"/>
      <c r="G191" s="819"/>
    </row>
    <row r="192" spans="1:9">
      <c r="A192" s="817"/>
      <c r="B192" s="817"/>
      <c r="C192" s="818"/>
      <c r="D192" s="155"/>
      <c r="E192" s="155"/>
      <c r="F192" s="155"/>
      <c r="G192" s="819"/>
    </row>
    <row r="193" spans="1:9">
      <c r="A193" s="817"/>
      <c r="B193" s="798" t="s">
        <v>2679</v>
      </c>
      <c r="C193" s="818"/>
      <c r="D193" s="1942" t="s">
        <v>2253</v>
      </c>
      <c r="E193" s="1942"/>
      <c r="F193" s="1942"/>
      <c r="G193" s="819"/>
      <c r="I193" s="1774" t="s">
        <v>2482</v>
      </c>
    </row>
    <row r="194" spans="1:9">
      <c r="A194" s="817"/>
      <c r="B194" s="817"/>
      <c r="C194" s="818"/>
      <c r="D194" s="1889" t="s">
        <v>2250</v>
      </c>
      <c r="E194" s="1889"/>
      <c r="F194" s="1889"/>
      <c r="G194" s="819"/>
    </row>
    <row r="195" spans="1:9">
      <c r="A195" s="817"/>
      <c r="B195" s="817"/>
      <c r="C195" s="818"/>
      <c r="D195" s="1711" t="s">
        <v>2254</v>
      </c>
      <c r="E195" s="1984" t="s">
        <v>2255</v>
      </c>
      <c r="F195" s="1984"/>
      <c r="G195" s="819"/>
    </row>
    <row r="196" spans="1:9">
      <c r="A196" s="817"/>
      <c r="B196" s="817"/>
      <c r="C196" s="818"/>
      <c r="D196" s="155"/>
      <c r="E196" s="155"/>
      <c r="F196" s="155"/>
      <c r="G196" s="819"/>
    </row>
    <row r="197" spans="1:9">
      <c r="A197" s="817"/>
      <c r="B197" s="798" t="s">
        <v>2680</v>
      </c>
      <c r="C197" s="818"/>
      <c r="D197" s="1942" t="s">
        <v>2256</v>
      </c>
      <c r="E197" s="1942"/>
      <c r="F197" s="1942"/>
      <c r="G197" s="819"/>
      <c r="I197" s="1774" t="s">
        <v>2483</v>
      </c>
    </row>
    <row r="198" spans="1:9">
      <c r="A198" s="817"/>
      <c r="B198" s="817"/>
      <c r="C198" s="818"/>
      <c r="D198" s="1708" t="s">
        <v>2250</v>
      </c>
      <c r="E198" s="155"/>
      <c r="F198" s="155"/>
      <c r="G198" s="819"/>
    </row>
    <row r="199" spans="1:9">
      <c r="A199" s="817"/>
      <c r="B199" s="817"/>
      <c r="C199" s="818"/>
      <c r="D199" s="1711" t="s">
        <v>2251</v>
      </c>
      <c r="E199" s="1984" t="s">
        <v>2257</v>
      </c>
      <c r="F199" s="1984"/>
      <c r="G199" s="819"/>
    </row>
    <row r="200" spans="1:9">
      <c r="A200" s="817"/>
      <c r="B200" s="817"/>
      <c r="C200" s="818"/>
      <c r="D200" s="1713"/>
      <c r="E200" s="1713"/>
      <c r="F200" s="1713"/>
      <c r="G200" s="819"/>
    </row>
    <row r="201" spans="1:9">
      <c r="A201" s="797"/>
      <c r="B201" s="798" t="s">
        <v>2680</v>
      </c>
      <c r="C201" s="818"/>
      <c r="D201" s="1914" t="s">
        <v>2258</v>
      </c>
      <c r="E201" s="1914"/>
      <c r="F201" s="1914"/>
      <c r="G201" s="819"/>
      <c r="I201" s="1774" t="s">
        <v>2484</v>
      </c>
    </row>
    <row r="202" spans="1:9">
      <c r="A202" s="797"/>
      <c r="B202" s="797"/>
      <c r="C202" s="818"/>
      <c r="D202" s="1914"/>
      <c r="E202" s="1914"/>
      <c r="F202" s="1914"/>
      <c r="G202" s="819"/>
    </row>
    <row r="203" spans="1:9">
      <c r="A203" s="818"/>
      <c r="B203" s="818"/>
      <c r="C203" s="818"/>
      <c r="D203" s="1914"/>
      <c r="E203" s="1914"/>
      <c r="F203" s="1914"/>
    </row>
    <row r="204" spans="1:9">
      <c r="A204" s="818"/>
      <c r="B204" s="818"/>
      <c r="C204" s="818"/>
      <c r="D204" s="803"/>
      <c r="E204" s="819"/>
      <c r="F204" s="819"/>
    </row>
    <row r="205" spans="1:9">
      <c r="A205" s="818"/>
      <c r="B205" s="798" t="s">
        <v>2680</v>
      </c>
      <c r="C205" s="818"/>
      <c r="D205" s="1942" t="s">
        <v>2259</v>
      </c>
      <c r="E205" s="1942"/>
      <c r="F205" s="1942"/>
      <c r="I205" s="1774" t="s">
        <v>2485</v>
      </c>
    </row>
    <row r="206" spans="1:9">
      <c r="A206" s="818"/>
      <c r="B206" s="818"/>
      <c r="C206" s="818"/>
      <c r="D206" s="1942" t="s">
        <v>2250</v>
      </c>
      <c r="E206" s="1942"/>
      <c r="F206" s="1942"/>
    </row>
    <row r="207" spans="1:9">
      <c r="A207" s="818"/>
      <c r="B207" s="818"/>
      <c r="C207" s="818"/>
      <c r="D207" s="1711" t="s">
        <v>2251</v>
      </c>
      <c r="E207" s="1984" t="s">
        <v>2260</v>
      </c>
      <c r="F207" s="1984"/>
    </row>
    <row r="208" spans="1:9">
      <c r="A208" s="818"/>
      <c r="B208" s="818"/>
      <c r="C208" s="818"/>
      <c r="D208" s="779"/>
      <c r="E208" s="779"/>
      <c r="F208" s="779"/>
    </row>
    <row r="209" spans="1:9" s="618" customFormat="1">
      <c r="A209" s="797"/>
      <c r="B209" s="798" t="s">
        <v>2680</v>
      </c>
      <c r="C209" s="806"/>
      <c r="D209" s="1914" t="s">
        <v>1425</v>
      </c>
      <c r="E209" s="1914"/>
      <c r="F209" s="1914"/>
      <c r="G209" s="693"/>
      <c r="I209" s="642"/>
    </row>
    <row r="210" spans="1:9" s="618" customFormat="1" ht="14.5" customHeight="1">
      <c r="A210" s="797"/>
      <c r="C210" s="806"/>
      <c r="D210" s="1914"/>
      <c r="E210" s="1914"/>
      <c r="F210" s="1914"/>
      <c r="G210" s="693"/>
      <c r="I210" s="642"/>
    </row>
    <row r="211" spans="1:9" s="618" customFormat="1">
      <c r="A211" s="797"/>
      <c r="B211" s="818"/>
      <c r="C211" s="806"/>
      <c r="D211" s="1914"/>
      <c r="E211" s="1914"/>
      <c r="F211" s="1914"/>
      <c r="G211" s="693"/>
      <c r="I211" s="642"/>
    </row>
    <row r="212" spans="1:9" s="618" customFormat="1">
      <c r="A212" s="797"/>
      <c r="B212" s="818"/>
      <c r="C212" s="806"/>
      <c r="D212" s="1914"/>
      <c r="E212" s="1914"/>
      <c r="F212" s="1914"/>
      <c r="G212" s="693"/>
      <c r="I212" s="642"/>
    </row>
    <row r="213" spans="1:9">
      <c r="A213" s="818"/>
      <c r="B213" s="818"/>
      <c r="C213" s="818"/>
      <c r="D213" s="779"/>
      <c r="E213" s="779"/>
      <c r="F213" s="779"/>
    </row>
    <row r="214" spans="1:9">
      <c r="A214" s="1896" t="s">
        <v>1163</v>
      </c>
      <c r="B214" s="1896"/>
      <c r="C214" s="1896"/>
      <c r="D214" s="1896"/>
      <c r="E214" s="1896"/>
      <c r="F214" s="1896"/>
      <c r="G214" s="1896"/>
      <c r="H214" s="1853"/>
      <c r="I214" s="1854"/>
    </row>
    <row r="215" spans="1:9" ht="12" customHeight="1">
      <c r="D215" s="800"/>
      <c r="E215" s="800"/>
      <c r="F215" s="800"/>
    </row>
    <row r="216" spans="1:9">
      <c r="C216" s="807"/>
      <c r="D216" s="2002" t="s">
        <v>214</v>
      </c>
      <c r="E216" s="2002"/>
      <c r="F216" s="2002"/>
    </row>
    <row r="217" spans="1:9">
      <c r="A217" s="793"/>
      <c r="B217" s="793"/>
      <c r="C217" s="793"/>
      <c r="D217" s="1988" t="s">
        <v>1292</v>
      </c>
      <c r="E217" s="1988"/>
      <c r="F217" s="1988"/>
    </row>
    <row r="218" spans="1:9" ht="12" customHeight="1">
      <c r="A218" s="816"/>
      <c r="B218" s="816"/>
      <c r="C218" s="816"/>
    </row>
    <row r="219" spans="1:9" ht="13.75" customHeight="1">
      <c r="A219" s="816"/>
      <c r="C219" s="816"/>
      <c r="D219" s="1913" t="s">
        <v>579</v>
      </c>
      <c r="E219" s="1913"/>
      <c r="F219" s="1913"/>
      <c r="I219" s="1774" t="s">
        <v>2433</v>
      </c>
    </row>
    <row r="220" spans="1:9">
      <c r="A220" s="797"/>
      <c r="B220" s="798" t="s">
        <v>2679</v>
      </c>
      <c r="D220" s="1914" t="s">
        <v>2261</v>
      </c>
      <c r="E220" s="1914"/>
      <c r="F220" s="1914"/>
    </row>
    <row r="221" spans="1:9" ht="14.25" customHeight="1">
      <c r="A221" s="797"/>
      <c r="B221" s="797"/>
      <c r="D221" s="1914"/>
      <c r="E221" s="1914"/>
      <c r="F221" s="1914"/>
    </row>
    <row r="222" spans="1:9" ht="14.25" customHeight="1">
      <c r="A222" s="797"/>
      <c r="B222" s="797"/>
      <c r="D222" s="1914"/>
      <c r="E222" s="1914"/>
      <c r="F222" s="1914"/>
    </row>
    <row r="223" spans="1:9">
      <c r="A223" s="797"/>
      <c r="B223" s="797"/>
      <c r="D223" s="1914"/>
      <c r="E223" s="1914"/>
      <c r="F223" s="1914"/>
    </row>
    <row r="224" spans="1:9">
      <c r="A224" s="797"/>
      <c r="B224" s="797"/>
      <c r="D224" s="1712"/>
      <c r="E224" s="1712"/>
      <c r="F224" s="1712"/>
    </row>
    <row r="225" spans="1:9">
      <c r="A225" s="797"/>
      <c r="B225" s="798" t="s">
        <v>2679</v>
      </c>
      <c r="D225" s="1914" t="s">
        <v>2262</v>
      </c>
      <c r="E225" s="1914"/>
      <c r="F225" s="1914"/>
      <c r="I225" s="1774" t="s">
        <v>2434</v>
      </c>
    </row>
    <row r="226" spans="1:9">
      <c r="A226" s="797"/>
      <c r="B226" s="797"/>
      <c r="D226" s="1914"/>
      <c r="E226" s="1914"/>
      <c r="F226" s="1914"/>
    </row>
    <row r="227" spans="1:9">
      <c r="A227" s="797"/>
      <c r="B227" s="797"/>
      <c r="D227" s="1914"/>
      <c r="E227" s="1914"/>
      <c r="F227" s="1914"/>
    </row>
    <row r="228" spans="1:9">
      <c r="A228" s="797"/>
      <c r="B228" s="797"/>
      <c r="D228" s="1914"/>
      <c r="E228" s="1914"/>
      <c r="F228" s="1914"/>
    </row>
    <row r="229" spans="1:9" ht="14.25" customHeight="1">
      <c r="A229" s="797"/>
      <c r="B229" s="797"/>
      <c r="D229" s="1914"/>
      <c r="E229" s="1914"/>
      <c r="F229" s="1914"/>
    </row>
    <row r="230" spans="1:9" ht="14.25" customHeight="1">
      <c r="A230" s="797"/>
      <c r="B230" s="797"/>
      <c r="D230" s="1712"/>
      <c r="E230" s="1712"/>
      <c r="F230" s="1712"/>
    </row>
    <row r="231" spans="1:9">
      <c r="A231" s="797"/>
      <c r="B231" s="797"/>
      <c r="D231" s="1914" t="s">
        <v>1288</v>
      </c>
      <c r="E231" s="1914"/>
      <c r="F231" s="1914"/>
      <c r="I231" s="1774" t="s">
        <v>2433</v>
      </c>
    </row>
    <row r="232" spans="1:9">
      <c r="A232" s="797"/>
      <c r="B232" s="797"/>
      <c r="D232" s="1914"/>
      <c r="E232" s="1914"/>
      <c r="F232" s="1914"/>
    </row>
    <row r="233" spans="1:9">
      <c r="A233" s="797"/>
      <c r="B233" s="797"/>
      <c r="D233" s="1914"/>
      <c r="E233" s="1914"/>
      <c r="F233" s="1914"/>
    </row>
    <row r="234" spans="1:9">
      <c r="A234" s="797"/>
      <c r="B234" s="797"/>
      <c r="D234" s="1914"/>
      <c r="E234" s="1914"/>
      <c r="F234" s="1914"/>
    </row>
    <row r="235" spans="1:9">
      <c r="A235" s="797"/>
      <c r="B235" s="797"/>
      <c r="D235" s="1914"/>
      <c r="E235" s="1914"/>
      <c r="F235" s="1914"/>
    </row>
    <row r="236" spans="1:9">
      <c r="A236" s="797"/>
      <c r="B236" s="797"/>
      <c r="D236" s="800"/>
      <c r="E236" s="800"/>
      <c r="F236" s="800"/>
    </row>
    <row r="237" spans="1:9">
      <c r="A237" s="797"/>
      <c r="B237" s="798" t="s">
        <v>2679</v>
      </c>
      <c r="D237" s="1992" t="s">
        <v>2266</v>
      </c>
      <c r="E237" s="1992"/>
      <c r="F237" s="1992"/>
      <c r="I237" s="1774" t="s">
        <v>2472</v>
      </c>
    </row>
    <row r="238" spans="1:9">
      <c r="A238" s="797"/>
      <c r="B238" s="797"/>
      <c r="D238" s="1992"/>
      <c r="E238" s="1992"/>
      <c r="F238" s="1992"/>
    </row>
    <row r="239" spans="1:9">
      <c r="A239" s="797"/>
      <c r="B239" s="797"/>
      <c r="D239" s="1992"/>
      <c r="E239" s="1992"/>
      <c r="F239" s="1992"/>
    </row>
    <row r="240" spans="1:9">
      <c r="A240" s="797"/>
      <c r="B240" s="797"/>
      <c r="D240" s="1986" t="s">
        <v>963</v>
      </c>
      <c r="E240" s="1986"/>
      <c r="F240" s="1986"/>
    </row>
    <row r="241" spans="1:9">
      <c r="A241" s="797"/>
      <c r="B241" s="797"/>
      <c r="D241" s="800"/>
      <c r="E241" s="800"/>
      <c r="F241" s="800"/>
    </row>
    <row r="242" spans="1:9" ht="14.5" customHeight="1">
      <c r="A242" s="797"/>
      <c r="B242" s="798" t="s">
        <v>2679</v>
      </c>
      <c r="D242" s="1992" t="s">
        <v>1291</v>
      </c>
      <c r="E242" s="1992"/>
      <c r="F242" s="1992"/>
      <c r="I242" s="1774" t="s">
        <v>2492</v>
      </c>
    </row>
    <row r="243" spans="1:9">
      <c r="A243" s="797"/>
      <c r="B243" s="797"/>
      <c r="D243" s="1992"/>
      <c r="E243" s="1992"/>
      <c r="F243" s="1992"/>
    </row>
    <row r="244" spans="1:9">
      <c r="A244" s="797"/>
      <c r="B244" s="797"/>
      <c r="D244" s="1992"/>
      <c r="E244" s="1992"/>
      <c r="F244" s="1992"/>
    </row>
    <row r="245" spans="1:9">
      <c r="A245" s="797"/>
      <c r="B245" s="797"/>
      <c r="D245" s="1992"/>
      <c r="E245" s="1992"/>
      <c r="F245" s="1992"/>
    </row>
    <row r="246" spans="1:9">
      <c r="A246" s="797"/>
      <c r="B246" s="797"/>
      <c r="D246" s="1992"/>
      <c r="E246" s="1992"/>
      <c r="F246" s="1992"/>
    </row>
    <row r="247" spans="1:9">
      <c r="A247" s="797"/>
      <c r="B247" s="797"/>
      <c r="D247" s="1724"/>
      <c r="E247" s="1724"/>
      <c r="F247" s="1724"/>
    </row>
    <row r="248" spans="1:9">
      <c r="A248" s="797"/>
      <c r="B248" s="798" t="s">
        <v>2679</v>
      </c>
      <c r="D248" s="1723" t="s">
        <v>2263</v>
      </c>
      <c r="E248" s="1724"/>
      <c r="F248" s="1724"/>
      <c r="I248" s="1774" t="s">
        <v>2471</v>
      </c>
    </row>
    <row r="249" spans="1:9">
      <c r="A249" s="797"/>
      <c r="B249" s="797"/>
      <c r="D249" s="1723"/>
      <c r="E249" s="1731" t="s">
        <v>2264</v>
      </c>
      <c r="F249" s="1724"/>
    </row>
    <row r="250" spans="1:9">
      <c r="D250" s="800"/>
      <c r="E250" s="800"/>
      <c r="F250" s="800"/>
    </row>
    <row r="251" spans="1:9">
      <c r="A251" s="797"/>
      <c r="B251" s="798" t="s">
        <v>2679</v>
      </c>
      <c r="D251" s="1914" t="s">
        <v>1290</v>
      </c>
      <c r="E251" s="1914"/>
      <c r="F251" s="1914"/>
    </row>
    <row r="252" spans="1:9">
      <c r="A252" s="797"/>
      <c r="B252" s="797"/>
      <c r="D252" s="1914"/>
      <c r="E252" s="1914"/>
      <c r="F252" s="1914"/>
    </row>
    <row r="253" spans="1:9">
      <c r="D253" s="821"/>
    </row>
    <row r="254" spans="1:9">
      <c r="A254" s="1896" t="s">
        <v>1164</v>
      </c>
      <c r="B254" s="1896"/>
      <c r="C254" s="1896"/>
      <c r="D254" s="1896"/>
      <c r="E254" s="1896"/>
      <c r="F254" s="1896"/>
      <c r="G254" s="1896"/>
      <c r="H254" s="1853"/>
      <c r="I254" s="1854"/>
    </row>
    <row r="255" spans="1:9">
      <c r="D255" s="821"/>
    </row>
    <row r="256" spans="1:9">
      <c r="C256" s="807"/>
      <c r="D256" s="1913" t="s">
        <v>1293</v>
      </c>
      <c r="E256" s="1913"/>
      <c r="F256" s="1913"/>
    </row>
    <row r="257" spans="1:9">
      <c r="A257" s="793"/>
      <c r="B257" s="793"/>
      <c r="C257" s="793"/>
      <c r="D257" s="800"/>
      <c r="E257" s="800"/>
      <c r="F257" s="800"/>
    </row>
    <row r="258" spans="1:9">
      <c r="A258" s="795"/>
      <c r="B258" s="795"/>
      <c r="C258" s="795"/>
      <c r="D258" s="1913" t="s">
        <v>275</v>
      </c>
      <c r="E258" s="1913"/>
      <c r="F258" s="1913"/>
      <c r="I258" s="1774" t="s">
        <v>2473</v>
      </c>
    </row>
    <row r="259" spans="1:9" ht="14.5" customHeight="1">
      <c r="A259" s="797"/>
      <c r="B259" s="798" t="s">
        <v>2679</v>
      </c>
      <c r="D259" s="1994" t="s">
        <v>1400</v>
      </c>
      <c r="E259" s="1994"/>
      <c r="F259" s="1994"/>
    </row>
    <row r="260" spans="1:9">
      <c r="D260" s="1994"/>
      <c r="E260" s="1994"/>
      <c r="F260" s="1994"/>
    </row>
    <row r="261" spans="1:9">
      <c r="D261" s="1988" t="s">
        <v>954</v>
      </c>
      <c r="E261" s="1988"/>
      <c r="F261" s="1988"/>
    </row>
    <row r="262" spans="1:9">
      <c r="D262" s="800"/>
      <c r="E262" s="800"/>
      <c r="F262" s="800"/>
    </row>
    <row r="263" spans="1:9" ht="14.5" customHeight="1">
      <c r="A263" s="797"/>
      <c r="B263" s="798" t="s">
        <v>2680</v>
      </c>
      <c r="D263" s="1992" t="s">
        <v>2265</v>
      </c>
      <c r="E263" s="1992"/>
      <c r="F263" s="1992"/>
      <c r="I263" s="1774" t="s">
        <v>2493</v>
      </c>
    </row>
    <row r="264" spans="1:9">
      <c r="D264" s="1992"/>
      <c r="E264" s="1992"/>
      <c r="F264" s="1992"/>
    </row>
    <row r="265" spans="1:9">
      <c r="D265" s="1992"/>
      <c r="E265" s="1992"/>
      <c r="F265" s="1992"/>
    </row>
    <row r="266" spans="1:9">
      <c r="D266" s="1992"/>
      <c r="E266" s="1992"/>
      <c r="F266" s="1992"/>
    </row>
    <row r="267" spans="1:9">
      <c r="D267" s="1992"/>
      <c r="E267" s="1992"/>
      <c r="F267" s="1992"/>
    </row>
    <row r="268" spans="1:9">
      <c r="D268" s="1992"/>
      <c r="E268" s="1992"/>
      <c r="F268" s="1992"/>
    </row>
    <row r="269" spans="1:9">
      <c r="D269" s="800"/>
      <c r="E269" s="800"/>
      <c r="F269" s="800"/>
    </row>
    <row r="270" spans="1:9">
      <c r="A270" s="797"/>
      <c r="B270" s="798" t="s">
        <v>2680</v>
      </c>
      <c r="D270" s="1914" t="s">
        <v>1296</v>
      </c>
      <c r="E270" s="1914"/>
      <c r="F270" s="1914"/>
    </row>
    <row r="271" spans="1:9">
      <c r="D271" s="1914"/>
      <c r="E271" s="1914"/>
      <c r="F271" s="1914"/>
    </row>
    <row r="272" spans="1:9">
      <c r="D272" s="1914"/>
      <c r="E272" s="1914"/>
      <c r="F272" s="1914"/>
    </row>
    <row r="273" spans="1:9">
      <c r="D273" s="822"/>
      <c r="E273" s="800"/>
      <c r="F273" s="800"/>
    </row>
    <row r="274" spans="1:9">
      <c r="A274" s="1896" t="s">
        <v>1165</v>
      </c>
      <c r="B274" s="1896"/>
      <c r="C274" s="1896"/>
      <c r="D274" s="1896"/>
      <c r="E274" s="1896"/>
      <c r="F274" s="1896"/>
      <c r="G274" s="1896"/>
      <c r="H274" s="1853"/>
      <c r="I274" s="1854"/>
    </row>
    <row r="275" spans="1:9">
      <c r="D275" s="822"/>
      <c r="E275" s="800"/>
      <c r="F275" s="800"/>
    </row>
    <row r="276" spans="1:9">
      <c r="C276" s="793"/>
      <c r="D276" s="1985" t="s">
        <v>1298</v>
      </c>
      <c r="E276" s="1985"/>
      <c r="F276" s="1985"/>
    </row>
    <row r="277" spans="1:9">
      <c r="C277" s="793"/>
      <c r="D277" s="1985"/>
      <c r="E277" s="1985"/>
      <c r="F277" s="1985"/>
    </row>
    <row r="278" spans="1:9">
      <c r="A278" s="795"/>
      <c r="B278" s="795"/>
      <c r="C278" s="795"/>
      <c r="D278" s="622"/>
      <c r="E278" s="672"/>
      <c r="F278" s="672"/>
    </row>
    <row r="279" spans="1:9">
      <c r="C279" s="795"/>
      <c r="D279" s="1913" t="s">
        <v>215</v>
      </c>
      <c r="E279" s="1913"/>
      <c r="F279" s="1913"/>
    </row>
    <row r="280" spans="1:9" ht="15.75" customHeight="1">
      <c r="A280" s="797"/>
      <c r="B280" s="797"/>
      <c r="D280" s="1987" t="s">
        <v>1299</v>
      </c>
      <c r="E280" s="1987"/>
      <c r="F280" s="1987"/>
    </row>
    <row r="281" spans="1:9">
      <c r="E281" s="800"/>
      <c r="F281" s="800"/>
    </row>
    <row r="282" spans="1:9">
      <c r="A282" s="797"/>
      <c r="B282" s="798" t="s">
        <v>2680</v>
      </c>
      <c r="D282" s="1914" t="s">
        <v>1300</v>
      </c>
      <c r="E282" s="1914"/>
      <c r="F282" s="1914"/>
      <c r="I282" s="1774" t="s">
        <v>2435</v>
      </c>
    </row>
    <row r="283" spans="1:9">
      <c r="A283" s="797"/>
      <c r="B283" s="797"/>
      <c r="D283" s="1914"/>
      <c r="E283" s="1914"/>
      <c r="F283" s="1914"/>
    </row>
    <row r="284" spans="1:9">
      <c r="D284" s="800"/>
      <c r="E284" s="800"/>
      <c r="F284" s="800"/>
    </row>
    <row r="285" spans="1:9">
      <c r="A285" s="797"/>
      <c r="B285" s="798" t="s">
        <v>2680</v>
      </c>
      <c r="D285" s="1992" t="s">
        <v>1301</v>
      </c>
      <c r="E285" s="1992"/>
      <c r="F285" s="1992"/>
      <c r="I285" s="1774" t="s">
        <v>2435</v>
      </c>
    </row>
    <row r="286" spans="1:9">
      <c r="A286" s="797"/>
      <c r="B286" s="797"/>
      <c r="D286" s="1992"/>
      <c r="E286" s="1992"/>
      <c r="F286" s="1992"/>
    </row>
    <row r="287" spans="1:9">
      <c r="A287" s="797"/>
      <c r="B287" s="797"/>
      <c r="D287" s="1992"/>
      <c r="E287" s="1992"/>
      <c r="F287" s="1992"/>
    </row>
    <row r="288" spans="1:9">
      <c r="D288" s="800"/>
      <c r="E288" s="800"/>
      <c r="F288" s="800"/>
    </row>
    <row r="289" spans="1:9">
      <c r="A289" s="797"/>
      <c r="B289" s="798" t="s">
        <v>2680</v>
      </c>
      <c r="D289" s="1914" t="s">
        <v>1302</v>
      </c>
      <c r="E289" s="1914"/>
      <c r="F289" s="1914"/>
      <c r="I289" s="1774" t="s">
        <v>2435</v>
      </c>
    </row>
    <row r="290" spans="1:9">
      <c r="A290" s="797"/>
      <c r="B290" s="797"/>
      <c r="D290" s="1914"/>
      <c r="E290" s="1914"/>
      <c r="F290" s="1914"/>
    </row>
    <row r="291" spans="1:9">
      <c r="A291" s="816"/>
      <c r="B291" s="816"/>
      <c r="E291" s="800"/>
      <c r="F291" s="800"/>
    </row>
    <row r="292" spans="1:9">
      <c r="A292" s="1896" t="s">
        <v>1166</v>
      </c>
      <c r="B292" s="1896"/>
      <c r="C292" s="1896"/>
      <c r="D292" s="1896"/>
      <c r="E292" s="1896"/>
      <c r="F292" s="1896"/>
      <c r="G292" s="1896"/>
      <c r="H292" s="1853"/>
      <c r="I292" s="1854"/>
    </row>
    <row r="293" spans="1:9">
      <c r="A293" s="816"/>
      <c r="B293" s="816"/>
      <c r="D293" s="800"/>
      <c r="E293" s="800"/>
      <c r="F293" s="800"/>
    </row>
    <row r="294" spans="1:9">
      <c r="C294" s="816"/>
      <c r="D294" s="1913" t="s">
        <v>719</v>
      </c>
      <c r="E294" s="1913"/>
      <c r="F294" s="1913"/>
    </row>
    <row r="295" spans="1:9">
      <c r="C295" s="816"/>
      <c r="D295" s="1916" t="s">
        <v>1303</v>
      </c>
      <c r="E295" s="1916"/>
      <c r="F295" s="1916"/>
    </row>
    <row r="296" spans="1:9">
      <c r="C296" s="816"/>
      <c r="D296" s="823"/>
    </row>
    <row r="297" spans="1:9">
      <c r="A297" s="801"/>
      <c r="B297" s="798" t="s">
        <v>2680</v>
      </c>
      <c r="D297" s="1916" t="s">
        <v>1304</v>
      </c>
      <c r="E297" s="1916"/>
      <c r="F297" s="1916"/>
      <c r="I297" s="1774" t="s">
        <v>2436</v>
      </c>
    </row>
    <row r="298" spans="1:9" s="791" customFormat="1">
      <c r="A298" s="805"/>
      <c r="B298" s="805"/>
      <c r="C298" s="801"/>
      <c r="D298" s="824"/>
      <c r="E298" s="825"/>
      <c r="F298" s="825"/>
      <c r="G298" s="802"/>
      <c r="I298" s="1837"/>
    </row>
    <row r="299" spans="1:9" s="791" customFormat="1" ht="13.75" customHeight="1">
      <c r="A299" s="801"/>
      <c r="B299" s="798" t="s">
        <v>2680</v>
      </c>
      <c r="C299" s="801"/>
      <c r="D299" s="2010" t="s">
        <v>1429</v>
      </c>
      <c r="E299" s="2010"/>
      <c r="F299" s="2010"/>
      <c r="G299" s="802"/>
      <c r="I299" s="1837" t="s">
        <v>2436</v>
      </c>
    </row>
    <row r="300" spans="1:9" s="791" customFormat="1">
      <c r="A300" s="805"/>
      <c r="B300" s="805"/>
      <c r="C300" s="801"/>
      <c r="D300" s="2010"/>
      <c r="E300" s="2010"/>
      <c r="F300" s="2010"/>
      <c r="G300" s="802"/>
      <c r="I300" s="1837"/>
    </row>
    <row r="301" spans="1:9" s="791" customFormat="1">
      <c r="A301" s="805"/>
      <c r="B301" s="805"/>
      <c r="C301" s="801"/>
      <c r="D301" s="2010"/>
      <c r="E301" s="2010"/>
      <c r="F301" s="2010"/>
      <c r="G301" s="802"/>
      <c r="I301" s="1837"/>
    </row>
    <row r="302" spans="1:9" s="791" customFormat="1">
      <c r="A302" s="805"/>
      <c r="B302" s="805"/>
      <c r="C302" s="801"/>
      <c r="D302" s="2010"/>
      <c r="E302" s="2010"/>
      <c r="F302" s="2010"/>
      <c r="G302" s="802"/>
      <c r="I302" s="1837"/>
    </row>
    <row r="303" spans="1:9" s="791" customFormat="1">
      <c r="A303" s="805"/>
      <c r="B303" s="805"/>
      <c r="C303" s="801"/>
      <c r="D303" s="2010"/>
      <c r="E303" s="2010"/>
      <c r="F303" s="2010"/>
      <c r="G303" s="802"/>
      <c r="I303" s="1837"/>
    </row>
    <row r="304" spans="1:9" s="791" customFormat="1">
      <c r="A304" s="805"/>
      <c r="B304" s="805"/>
      <c r="C304" s="801"/>
      <c r="D304" s="824"/>
      <c r="E304" s="825"/>
      <c r="F304" s="825"/>
      <c r="G304" s="802"/>
      <c r="I304" s="1837"/>
    </row>
    <row r="305" spans="1:9" s="791" customFormat="1" ht="13.75" customHeight="1">
      <c r="A305" s="801"/>
      <c r="B305" s="798" t="s">
        <v>2680</v>
      </c>
      <c r="C305" s="801"/>
      <c r="D305" s="2010" t="s">
        <v>1306</v>
      </c>
      <c r="E305" s="2010"/>
      <c r="F305" s="2010"/>
      <c r="G305" s="802"/>
      <c r="I305" s="1837" t="s">
        <v>2436</v>
      </c>
    </row>
    <row r="306" spans="1:9" s="791" customFormat="1">
      <c r="A306" s="801"/>
      <c r="B306" s="801"/>
      <c r="C306" s="801"/>
      <c r="D306" s="2010"/>
      <c r="E306" s="2010"/>
      <c r="F306" s="2010"/>
      <c r="G306" s="802"/>
      <c r="I306" s="1837"/>
    </row>
    <row r="307" spans="1:9" s="791" customFormat="1">
      <c r="A307" s="805"/>
      <c r="B307" s="805"/>
      <c r="C307" s="801"/>
      <c r="D307" s="824"/>
      <c r="E307" s="825"/>
      <c r="F307" s="825"/>
      <c r="G307" s="802"/>
      <c r="I307" s="1837"/>
    </row>
    <row r="308" spans="1:9">
      <c r="A308" s="801"/>
      <c r="B308" s="798" t="s">
        <v>2680</v>
      </c>
      <c r="D308" s="1916" t="s">
        <v>1307</v>
      </c>
      <c r="E308" s="1916"/>
      <c r="F308" s="1916"/>
      <c r="I308" s="1774" t="s">
        <v>2422</v>
      </c>
    </row>
    <row r="309" spans="1:9">
      <c r="E309" s="800"/>
      <c r="F309" s="800"/>
    </row>
    <row r="310" spans="1:9">
      <c r="A310" s="797"/>
      <c r="B310" s="798" t="s">
        <v>2680</v>
      </c>
      <c r="D310" s="1992" t="s">
        <v>1456</v>
      </c>
      <c r="E310" s="1992"/>
      <c r="F310" s="1992"/>
      <c r="I310" s="1774" t="s">
        <v>2437</v>
      </c>
    </row>
    <row r="311" spans="1:9">
      <c r="A311" s="797"/>
      <c r="B311" s="797"/>
      <c r="D311" s="1992"/>
      <c r="E311" s="1992"/>
      <c r="F311" s="1992"/>
    </row>
    <row r="312" spans="1:9">
      <c r="A312" s="797"/>
      <c r="B312" s="797"/>
      <c r="D312" s="1992"/>
      <c r="E312" s="1992"/>
      <c r="F312" s="1992"/>
    </row>
    <row r="313" spans="1:9">
      <c r="A313" s="797"/>
      <c r="B313" s="797"/>
      <c r="D313" s="1992"/>
      <c r="E313" s="1992"/>
      <c r="F313" s="1992"/>
    </row>
    <row r="314" spans="1:9">
      <c r="A314" s="797"/>
      <c r="B314" s="797"/>
      <c r="D314" s="1992"/>
      <c r="E314" s="1992"/>
      <c r="F314" s="1992"/>
    </row>
    <row r="315" spans="1:9">
      <c r="A315" s="797"/>
      <c r="B315" s="797"/>
      <c r="D315" s="1992"/>
      <c r="E315" s="1992"/>
      <c r="F315" s="1992"/>
    </row>
    <row r="316" spans="1:9">
      <c r="A316" s="797"/>
      <c r="B316" s="797"/>
      <c r="D316" s="1992"/>
      <c r="E316" s="1992"/>
      <c r="F316" s="1992"/>
    </row>
    <row r="317" spans="1:9">
      <c r="A317" s="797"/>
      <c r="B317" s="797"/>
      <c r="D317" s="1992"/>
      <c r="E317" s="1992"/>
      <c r="F317" s="1992"/>
    </row>
    <row r="318" spans="1:9">
      <c r="A318" s="797"/>
      <c r="B318" s="797"/>
      <c r="D318" s="1992"/>
      <c r="E318" s="1992"/>
      <c r="F318" s="1992"/>
    </row>
    <row r="319" spans="1:9">
      <c r="A319" s="797"/>
      <c r="B319" s="797"/>
      <c r="D319" s="1992"/>
      <c r="E319" s="1992"/>
      <c r="F319" s="1992"/>
    </row>
    <row r="320" spans="1:9">
      <c r="A320" s="797"/>
      <c r="B320" s="797"/>
      <c r="D320" s="1992"/>
      <c r="E320" s="1992"/>
      <c r="F320" s="1992"/>
    </row>
    <row r="321" spans="1:9">
      <c r="A321" s="797"/>
      <c r="B321" s="797"/>
      <c r="D321" s="1992"/>
      <c r="E321" s="1992"/>
      <c r="F321" s="1992"/>
    </row>
    <row r="322" spans="1:9">
      <c r="A322" s="797"/>
      <c r="B322" s="797"/>
      <c r="D322" s="1992"/>
      <c r="E322" s="1992"/>
      <c r="F322" s="1992"/>
    </row>
    <row r="323" spans="1:9">
      <c r="A323" s="797"/>
      <c r="B323" s="797"/>
      <c r="D323" s="1992"/>
      <c r="E323" s="1992"/>
      <c r="F323" s="1992"/>
    </row>
    <row r="324" spans="1:9">
      <c r="A324" s="797"/>
      <c r="B324" s="797"/>
      <c r="D324" s="1992"/>
      <c r="E324" s="1992"/>
      <c r="F324" s="1992"/>
    </row>
    <row r="325" spans="1:9">
      <c r="D325" s="800"/>
      <c r="E325" s="800"/>
      <c r="F325" s="800"/>
    </row>
    <row r="326" spans="1:9">
      <c r="A326" s="797"/>
      <c r="B326" s="798" t="s">
        <v>2680</v>
      </c>
      <c r="D326" s="1992" t="s">
        <v>1309</v>
      </c>
      <c r="E326" s="1992"/>
      <c r="F326" s="1992"/>
      <c r="I326" s="1774" t="s">
        <v>2437</v>
      </c>
    </row>
    <row r="327" spans="1:9">
      <c r="D327" s="1992"/>
      <c r="E327" s="1992"/>
      <c r="F327" s="1992"/>
    </row>
    <row r="328" spans="1:9">
      <c r="D328" s="1992"/>
      <c r="E328" s="1992"/>
      <c r="F328" s="1992"/>
    </row>
    <row r="329" spans="1:9">
      <c r="D329" s="1992"/>
      <c r="E329" s="1992"/>
      <c r="F329" s="1992"/>
    </row>
    <row r="330" spans="1:9">
      <c r="D330" s="1992"/>
      <c r="E330" s="1992"/>
      <c r="F330" s="1992"/>
    </row>
    <row r="331" spans="1:9">
      <c r="D331" s="1992"/>
      <c r="E331" s="1992"/>
      <c r="F331" s="1992"/>
    </row>
    <row r="332" spans="1:9">
      <c r="D332" s="1992"/>
      <c r="E332" s="1992"/>
      <c r="F332" s="1992"/>
    </row>
    <row r="333" spans="1:9">
      <c r="D333" s="1992"/>
      <c r="E333" s="1992"/>
      <c r="F333" s="1992"/>
    </row>
    <row r="334" spans="1:9">
      <c r="D334" s="1992"/>
      <c r="E334" s="1992"/>
      <c r="F334" s="1992"/>
    </row>
    <row r="335" spans="1:9">
      <c r="D335" s="800"/>
      <c r="E335" s="800"/>
      <c r="F335" s="800"/>
    </row>
    <row r="336" spans="1:9">
      <c r="A336" s="797"/>
      <c r="B336" s="798" t="s">
        <v>2680</v>
      </c>
      <c r="D336" s="1914" t="s">
        <v>1506</v>
      </c>
      <c r="E336" s="1914"/>
      <c r="F336" s="1914"/>
      <c r="I336" s="1774" t="s">
        <v>2474</v>
      </c>
    </row>
    <row r="337" spans="1:9">
      <c r="D337" s="1914"/>
      <c r="E337" s="1914"/>
      <c r="F337" s="1914"/>
      <c r="G337" s="790"/>
    </row>
    <row r="338" spans="1:9">
      <c r="D338" s="1914"/>
      <c r="E338" s="1914"/>
      <c r="F338" s="1914"/>
      <c r="G338" s="790"/>
    </row>
    <row r="339" spans="1:9">
      <c r="D339" s="1914"/>
      <c r="E339" s="1914"/>
      <c r="F339" s="1914"/>
      <c r="G339" s="790"/>
    </row>
    <row r="340" spans="1:9">
      <c r="D340" s="1914"/>
      <c r="E340" s="1914"/>
      <c r="F340" s="1914"/>
      <c r="G340" s="790"/>
    </row>
    <row r="341" spans="1:9">
      <c r="D341" s="1914"/>
      <c r="E341" s="1914"/>
      <c r="F341" s="1914"/>
      <c r="G341" s="790"/>
    </row>
    <row r="342" spans="1:9" s="1772" customFormat="1">
      <c r="A342" s="788"/>
      <c r="B342" s="788"/>
      <c r="C342" s="788"/>
      <c r="D342" s="1827"/>
      <c r="E342" s="1827"/>
      <c r="F342" s="1827"/>
      <c r="I342" s="1774"/>
    </row>
    <row r="343" spans="1:9" ht="13.5" thickBot="1">
      <c r="A343" s="1828"/>
      <c r="B343" s="1828"/>
      <c r="C343" s="1828"/>
      <c r="D343" s="1993" t="s">
        <v>1059</v>
      </c>
      <c r="E343" s="1993"/>
      <c r="F343" s="1993"/>
      <c r="G343" s="1851"/>
      <c r="H343" s="1851"/>
      <c r="I343" s="1852"/>
    </row>
    <row r="344" spans="1:9" ht="13.5" thickTop="1">
      <c r="D344" s="2011" t="s">
        <v>1311</v>
      </c>
      <c r="E344" s="2011"/>
      <c r="F344" s="2011"/>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c r="A347" s="797"/>
      <c r="B347" s="798" t="s">
        <v>2680</v>
      </c>
      <c r="C347" s="829"/>
      <c r="D347" s="1916" t="s">
        <v>1320</v>
      </c>
      <c r="E347" s="1916"/>
      <c r="F347" s="1916"/>
      <c r="I347" s="2016" t="s">
        <v>2489</v>
      </c>
    </row>
    <row r="348" spans="1:9" ht="12.75" customHeight="1">
      <c r="D348" s="1906" t="s">
        <v>1454</v>
      </c>
      <c r="E348" s="1906"/>
      <c r="F348" s="1906"/>
      <c r="I348" s="2017"/>
    </row>
    <row r="349" spans="1:9" ht="12.5">
      <c r="D349" s="1992" t="s">
        <v>1453</v>
      </c>
      <c r="E349" s="1992"/>
      <c r="F349" s="1992"/>
      <c r="I349" s="2017"/>
    </row>
    <row r="350" spans="1:9" ht="12.5">
      <c r="D350" s="1992"/>
      <c r="E350" s="1992"/>
      <c r="F350" s="1992"/>
      <c r="I350" s="2017"/>
    </row>
    <row r="351" spans="1:9" ht="12.5">
      <c r="D351" s="1992"/>
      <c r="E351" s="1992"/>
      <c r="F351" s="1992"/>
      <c r="I351" s="2018"/>
    </row>
    <row r="352" spans="1:9">
      <c r="A352" s="797"/>
      <c r="B352" s="798" t="s">
        <v>2680</v>
      </c>
      <c r="C352" s="814"/>
      <c r="D352" s="1910" t="s">
        <v>1312</v>
      </c>
      <c r="E352" s="1910"/>
      <c r="F352" s="1910"/>
      <c r="G352" s="790"/>
      <c r="I352" s="619"/>
    </row>
    <row r="353" spans="1:9">
      <c r="A353" s="814"/>
      <c r="B353" s="814"/>
      <c r="C353" s="814"/>
      <c r="D353" s="786"/>
      <c r="E353" s="786"/>
      <c r="F353" s="800"/>
      <c r="G353" s="790"/>
    </row>
    <row r="354" spans="1:9">
      <c r="A354" s="814"/>
      <c r="B354" s="798" t="s">
        <v>2680</v>
      </c>
      <c r="C354" s="814"/>
      <c r="D354" s="1905" t="s">
        <v>1432</v>
      </c>
      <c r="E354" s="1905"/>
      <c r="F354" s="1905"/>
      <c r="G354" s="790"/>
    </row>
    <row r="355" spans="1:9">
      <c r="A355" s="814"/>
      <c r="B355" s="814"/>
      <c r="C355" s="814"/>
      <c r="D355" s="1905"/>
      <c r="E355" s="1905"/>
      <c r="F355" s="1905"/>
      <c r="G355" s="790"/>
    </row>
    <row r="356" spans="1:9">
      <c r="A356" s="814"/>
      <c r="B356" s="814"/>
      <c r="C356" s="814"/>
      <c r="D356" s="1905"/>
      <c r="E356" s="1905"/>
      <c r="F356" s="1905"/>
      <c r="G356" s="790"/>
    </row>
    <row r="357" spans="1:9">
      <c r="A357" s="814"/>
      <c r="B357" s="814"/>
      <c r="C357" s="814"/>
      <c r="D357" s="1905"/>
      <c r="E357" s="1905"/>
      <c r="F357" s="1905"/>
      <c r="G357" s="790"/>
    </row>
    <row r="358" spans="1:9">
      <c r="A358" s="814"/>
      <c r="B358" s="814"/>
      <c r="C358" s="814"/>
      <c r="D358" s="1905"/>
      <c r="E358" s="1905"/>
      <c r="F358" s="1905"/>
      <c r="G358" s="790"/>
    </row>
    <row r="359" spans="1:9">
      <c r="A359" s="814"/>
      <c r="B359" s="814"/>
      <c r="C359" s="814"/>
      <c r="D359" s="1905"/>
      <c r="E359" s="1905"/>
      <c r="F359" s="1905"/>
      <c r="G359" s="790"/>
    </row>
    <row r="360" spans="1:9">
      <c r="A360" s="814"/>
      <c r="B360" s="814"/>
      <c r="C360" s="814"/>
      <c r="D360" s="1905"/>
      <c r="E360" s="1905"/>
      <c r="F360" s="1905"/>
      <c r="G360" s="790"/>
    </row>
    <row r="361" spans="1:9">
      <c r="A361" s="814"/>
      <c r="B361" s="814"/>
      <c r="C361" s="814"/>
      <c r="D361" s="1905"/>
      <c r="E361" s="1905"/>
      <c r="F361" s="1905"/>
      <c r="G361" s="790"/>
    </row>
    <row r="362" spans="1:9">
      <c r="A362" s="814"/>
      <c r="B362" s="814"/>
      <c r="C362" s="814"/>
      <c r="D362" s="1905"/>
      <c r="E362" s="1905"/>
      <c r="F362" s="1905"/>
      <c r="G362" s="790"/>
    </row>
    <row r="363" spans="1:9">
      <c r="A363" s="814"/>
      <c r="B363" s="814"/>
      <c r="C363" s="814"/>
      <c r="D363" s="1905"/>
      <c r="E363" s="1905"/>
      <c r="F363" s="1905"/>
      <c r="G363" s="790"/>
    </row>
    <row r="364" spans="1:9">
      <c r="A364" s="814"/>
      <c r="B364" s="814"/>
      <c r="C364" s="814"/>
      <c r="D364" s="1905"/>
      <c r="E364" s="1905"/>
      <c r="F364" s="1905"/>
      <c r="G364" s="790"/>
    </row>
    <row r="365" spans="1:9">
      <c r="A365" s="814"/>
      <c r="B365" s="814"/>
      <c r="C365" s="814"/>
      <c r="D365" s="1905"/>
      <c r="E365" s="1905"/>
      <c r="F365" s="1905"/>
      <c r="G365" s="790"/>
    </row>
    <row r="366" spans="1:9" s="1772" customFormat="1">
      <c r="A366" s="1777"/>
      <c r="B366" s="1777"/>
      <c r="C366" s="1777"/>
      <c r="D366" s="1779"/>
      <c r="E366" s="1779"/>
      <c r="F366" s="1779"/>
      <c r="I366" s="1774"/>
    </row>
    <row r="367" spans="1:9" ht="12.4" customHeight="1">
      <c r="A367" s="814"/>
      <c r="B367" s="798" t="s">
        <v>2680</v>
      </c>
      <c r="C367" s="814"/>
      <c r="D367" s="2019" t="s">
        <v>1433</v>
      </c>
      <c r="E367" s="2019"/>
      <c r="F367" s="2019"/>
      <c r="G367" s="790"/>
    </row>
    <row r="368" spans="1:9">
      <c r="A368" s="814"/>
      <c r="B368" s="814"/>
      <c r="C368" s="814"/>
      <c r="D368" s="2019"/>
      <c r="E368" s="2019"/>
      <c r="F368" s="2019"/>
      <c r="G368" s="790"/>
    </row>
    <row r="369" spans="1:9">
      <c r="A369" s="814"/>
      <c r="B369" s="814"/>
      <c r="C369" s="814"/>
      <c r="D369" s="2019"/>
      <c r="E369" s="2019"/>
      <c r="F369" s="2019"/>
      <c r="G369" s="790"/>
    </row>
    <row r="370" spans="1:9">
      <c r="A370" s="814"/>
      <c r="B370" s="814"/>
      <c r="C370" s="814"/>
      <c r="D370" s="2019"/>
      <c r="E370" s="2019"/>
      <c r="F370" s="2019"/>
      <c r="G370" s="790"/>
    </row>
    <row r="371" spans="1:9" s="1772" customFormat="1">
      <c r="A371" s="1777"/>
      <c r="B371" s="1777"/>
      <c r="C371" s="1777"/>
      <c r="D371" s="1778"/>
      <c r="E371" s="1778"/>
      <c r="F371" s="1778"/>
      <c r="I371" s="1774"/>
    </row>
    <row r="372" spans="1:9" s="1772" customFormat="1">
      <c r="A372" s="1777"/>
      <c r="B372" s="1775" t="s">
        <v>2680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c r="A379" s="797"/>
      <c r="B379" s="798" t="s">
        <v>2680</v>
      </c>
      <c r="C379" s="814"/>
      <c r="D379" s="1903" t="s">
        <v>1314</v>
      </c>
      <c r="E379" s="1903"/>
      <c r="F379" s="1903"/>
      <c r="G379" s="790"/>
    </row>
    <row r="380" spans="1:9">
      <c r="A380" s="814"/>
      <c r="B380" s="814"/>
      <c r="C380" s="814"/>
      <c r="D380" s="1903"/>
      <c r="E380" s="1903"/>
      <c r="F380" s="1903"/>
      <c r="G380" s="790"/>
    </row>
    <row r="381" spans="1:9">
      <c r="A381" s="814"/>
      <c r="B381" s="814"/>
      <c r="C381" s="814"/>
      <c r="D381" s="1903"/>
      <c r="E381" s="1903"/>
      <c r="F381" s="1903"/>
      <c r="G381" s="790"/>
    </row>
    <row r="382" spans="1:9">
      <c r="A382" s="814"/>
      <c r="B382" s="814"/>
      <c r="C382" s="814"/>
      <c r="D382" s="1903"/>
      <c r="E382" s="1903"/>
      <c r="F382" s="1903"/>
      <c r="G382" s="790"/>
    </row>
    <row r="383" spans="1:9">
      <c r="A383" s="814"/>
      <c r="B383" s="814"/>
      <c r="C383" s="814"/>
      <c r="D383" s="826"/>
      <c r="E383" s="786"/>
      <c r="F383" s="800"/>
      <c r="G383" s="790"/>
    </row>
    <row r="384" spans="1:9">
      <c r="A384" s="814"/>
      <c r="B384" s="814"/>
      <c r="C384" s="814"/>
      <c r="D384" s="1903" t="s">
        <v>1315</v>
      </c>
      <c r="E384" s="1903"/>
      <c r="F384" s="1903"/>
      <c r="G384" s="790"/>
    </row>
    <row r="385" spans="1:7">
      <c r="A385" s="814"/>
      <c r="B385" s="814"/>
      <c r="C385" s="814"/>
      <c r="D385" s="1903"/>
      <c r="E385" s="1903"/>
      <c r="F385" s="1903"/>
      <c r="G385" s="790"/>
    </row>
    <row r="386" spans="1:7">
      <c r="A386" s="814"/>
      <c r="B386" s="814"/>
      <c r="C386" s="814"/>
      <c r="D386" s="1903"/>
      <c r="E386" s="1903"/>
      <c r="F386" s="1903"/>
      <c r="G386" s="790"/>
    </row>
    <row r="387" spans="1:7">
      <c r="A387" s="814"/>
      <c r="B387" s="814"/>
      <c r="C387" s="814"/>
      <c r="D387" s="1903"/>
      <c r="E387" s="1903"/>
      <c r="F387" s="1903"/>
      <c r="G387" s="790"/>
    </row>
    <row r="388" spans="1:7" ht="18" customHeight="1">
      <c r="A388" s="814"/>
      <c r="B388" s="814"/>
      <c r="C388" s="814"/>
      <c r="D388" s="1903"/>
      <c r="E388" s="1903"/>
      <c r="F388" s="1903"/>
      <c r="G388" s="790"/>
    </row>
    <row r="389" spans="1:7">
      <c r="A389" s="814"/>
      <c r="B389" s="814"/>
      <c r="C389" s="814"/>
      <c r="D389" s="1903"/>
      <c r="E389" s="1903"/>
      <c r="F389" s="1903"/>
      <c r="G389" s="790"/>
    </row>
    <row r="390" spans="1:7">
      <c r="A390" s="814"/>
      <c r="B390" s="814"/>
      <c r="C390" s="814"/>
      <c r="D390" s="1903"/>
      <c r="E390" s="1903"/>
      <c r="F390" s="1903"/>
      <c r="G390" s="790"/>
    </row>
    <row r="391" spans="1:7">
      <c r="A391" s="814"/>
      <c r="B391" s="814"/>
      <c r="C391" s="814"/>
      <c r="D391" s="1903"/>
      <c r="E391" s="1903"/>
      <c r="F391" s="1903"/>
      <c r="G391" s="790"/>
    </row>
    <row r="392" spans="1:7" ht="8.25" customHeight="1">
      <c r="A392" s="814"/>
      <c r="B392" s="814"/>
      <c r="C392" s="814"/>
      <c r="D392" s="1903"/>
      <c r="E392" s="1903"/>
      <c r="F392" s="1903"/>
      <c r="G392" s="790"/>
    </row>
    <row r="393" spans="1:7" ht="13.75" customHeight="1">
      <c r="A393" s="814"/>
      <c r="B393" s="814"/>
      <c r="C393" s="814"/>
      <c r="D393" s="1904" t="s">
        <v>1316</v>
      </c>
      <c r="E393" s="1904"/>
      <c r="F393" s="1904"/>
      <c r="G393" s="790"/>
    </row>
    <row r="394" spans="1:7">
      <c r="A394" s="814"/>
      <c r="B394" s="814"/>
      <c r="C394" s="814"/>
      <c r="D394" s="1904"/>
      <c r="E394" s="1904"/>
      <c r="F394" s="1904"/>
      <c r="G394" s="790"/>
    </row>
    <row r="395" spans="1:7">
      <c r="A395" s="814"/>
      <c r="B395" s="814"/>
      <c r="C395" s="814"/>
      <c r="D395" s="1904"/>
      <c r="E395" s="1904"/>
      <c r="F395" s="1904"/>
      <c r="G395" s="790"/>
    </row>
    <row r="396" spans="1:7">
      <c r="A396" s="814"/>
      <c r="B396" s="814"/>
      <c r="C396" s="814"/>
      <c r="D396" s="1904"/>
      <c r="E396" s="1904"/>
      <c r="F396" s="1904"/>
      <c r="G396" s="790"/>
    </row>
    <row r="397" spans="1:7">
      <c r="A397" s="814"/>
      <c r="B397" s="814"/>
      <c r="C397" s="814"/>
      <c r="D397" s="1904"/>
      <c r="E397" s="1904"/>
      <c r="F397" s="1904"/>
      <c r="G397" s="790"/>
    </row>
    <row r="398" spans="1:7">
      <c r="A398" s="814"/>
      <c r="B398" s="814"/>
      <c r="C398" s="814"/>
      <c r="D398" s="1904"/>
      <c r="E398" s="1904"/>
      <c r="F398" s="1904"/>
      <c r="G398" s="790"/>
    </row>
    <row r="399" spans="1:7">
      <c r="A399" s="814"/>
      <c r="B399" s="814"/>
      <c r="C399" s="814"/>
      <c r="D399" s="1904"/>
      <c r="E399" s="1904"/>
      <c r="F399" s="1904"/>
      <c r="G399" s="790"/>
    </row>
    <row r="400" spans="1:7">
      <c r="A400" s="814"/>
      <c r="B400" s="814"/>
      <c r="C400" s="814"/>
      <c r="D400" s="1904"/>
      <c r="E400" s="1904"/>
      <c r="F400" s="1904"/>
      <c r="G400" s="790"/>
    </row>
    <row r="401" spans="1:7">
      <c r="A401" s="814"/>
      <c r="B401" s="814"/>
      <c r="C401" s="814"/>
      <c r="D401" s="1904"/>
      <c r="E401" s="1904"/>
      <c r="F401" s="1904"/>
      <c r="G401" s="790"/>
    </row>
    <row r="402" spans="1:7">
      <c r="A402" s="814"/>
      <c r="B402" s="814"/>
      <c r="C402" s="814"/>
      <c r="D402" s="1904"/>
      <c r="E402" s="1904"/>
      <c r="F402" s="1904"/>
      <c r="G402" s="790"/>
    </row>
    <row r="403" spans="1:7">
      <c r="A403" s="814"/>
      <c r="B403" s="814"/>
      <c r="C403" s="814"/>
      <c r="D403" s="1904"/>
      <c r="E403" s="1904"/>
      <c r="F403" s="1904"/>
      <c r="G403" s="790"/>
    </row>
    <row r="404" spans="1:7">
      <c r="A404" s="814"/>
      <c r="B404" s="814"/>
      <c r="C404" s="814"/>
      <c r="D404" s="1904"/>
      <c r="E404" s="1904"/>
      <c r="F404" s="1904"/>
      <c r="G404" s="790"/>
    </row>
    <row r="405" spans="1:7">
      <c r="A405" s="814"/>
      <c r="B405" s="814"/>
      <c r="C405" s="827"/>
      <c r="D405" s="1904"/>
      <c r="E405" s="1904"/>
      <c r="F405" s="1904"/>
      <c r="G405" s="790"/>
    </row>
    <row r="406" spans="1:7">
      <c r="A406" s="814"/>
      <c r="B406" s="814"/>
      <c r="C406" s="827"/>
      <c r="D406" s="1904"/>
      <c r="E406" s="1904"/>
      <c r="F406" s="1904"/>
      <c r="G406" s="790"/>
    </row>
    <row r="407" spans="1:7">
      <c r="A407" s="814"/>
      <c r="B407" s="814"/>
      <c r="C407" s="814"/>
      <c r="D407" s="1904"/>
      <c r="E407" s="1904"/>
      <c r="F407" s="1904"/>
      <c r="G407" s="790"/>
    </row>
    <row r="408" spans="1:7">
      <c r="A408" s="814"/>
      <c r="B408" s="814"/>
      <c r="C408" s="827"/>
      <c r="D408" s="1904"/>
      <c r="E408" s="1904"/>
      <c r="F408" s="1904"/>
      <c r="G408" s="790"/>
    </row>
    <row r="409" spans="1:7">
      <c r="A409" s="814"/>
      <c r="B409" s="814"/>
      <c r="C409" s="827"/>
      <c r="D409" s="1904"/>
      <c r="E409" s="1904"/>
      <c r="F409" s="1904"/>
      <c r="G409" s="790"/>
    </row>
    <row r="410" spans="1:7">
      <c r="A410" s="814"/>
      <c r="B410" s="814"/>
      <c r="C410" s="827"/>
      <c r="D410" s="1904"/>
      <c r="E410" s="1904"/>
      <c r="F410" s="1904"/>
      <c r="G410" s="790"/>
    </row>
    <row r="411" spans="1:7">
      <c r="A411" s="814"/>
      <c r="B411" s="814"/>
      <c r="C411" s="814"/>
      <c r="D411" s="826"/>
      <c r="E411" s="786"/>
      <c r="F411" s="800"/>
      <c r="G411" s="790"/>
    </row>
    <row r="412" spans="1:7">
      <c r="A412" s="814"/>
      <c r="B412" s="798" t="s">
        <v>2680</v>
      </c>
      <c r="C412" s="814"/>
      <c r="D412" s="1904" t="s">
        <v>1317</v>
      </c>
      <c r="E412" s="1904"/>
      <c r="F412" s="1904"/>
      <c r="G412" s="790"/>
    </row>
    <row r="413" spans="1:7">
      <c r="A413" s="814"/>
      <c r="B413" s="814"/>
      <c r="C413" s="814"/>
      <c r="D413" s="1904"/>
      <c r="E413" s="1904"/>
      <c r="F413" s="1904"/>
      <c r="G413" s="790"/>
    </row>
    <row r="414" spans="1:7">
      <c r="A414" s="814"/>
      <c r="B414" s="814"/>
      <c r="C414" s="814"/>
      <c r="D414" s="903"/>
      <c r="E414" s="903"/>
      <c r="F414" s="903"/>
      <c r="G414" s="790"/>
    </row>
    <row r="415" spans="1:7" ht="14.5" customHeight="1">
      <c r="A415" s="797"/>
      <c r="B415" s="798" t="s">
        <v>2680</v>
      </c>
      <c r="D415" s="1904" t="s">
        <v>2475</v>
      </c>
      <c r="E415" s="1904"/>
      <c r="F415" s="1904"/>
    </row>
    <row r="416" spans="1:7" ht="14.5" customHeight="1">
      <c r="A416" s="797"/>
      <c r="D416" s="1904"/>
      <c r="E416" s="1904"/>
      <c r="F416" s="1904"/>
    </row>
    <row r="417" spans="1:7" ht="14.5" customHeight="1">
      <c r="A417" s="797"/>
      <c r="D417" s="1904"/>
      <c r="E417" s="1904"/>
      <c r="F417" s="1904"/>
    </row>
    <row r="418" spans="1:7" ht="14.5" customHeight="1">
      <c r="A418" s="797"/>
      <c r="D418" s="1904"/>
      <c r="E418" s="1904"/>
      <c r="F418" s="1904"/>
    </row>
    <row r="419" spans="1:7" ht="14.5" customHeight="1">
      <c r="A419" s="797"/>
      <c r="D419" s="1904"/>
      <c r="E419" s="1904"/>
      <c r="F419" s="1904"/>
    </row>
    <row r="420" spans="1:7" ht="14.5" customHeight="1">
      <c r="A420" s="797"/>
      <c r="D420" s="878"/>
      <c r="E420" s="878"/>
      <c r="F420" s="878"/>
    </row>
    <row r="421" spans="1:7" ht="13.75" customHeight="1">
      <c r="A421" s="797"/>
      <c r="B421" s="798" t="s">
        <v>2680</v>
      </c>
      <c r="C421" s="814"/>
      <c r="D421" s="1905" t="s">
        <v>1457</v>
      </c>
      <c r="E421" s="1905"/>
      <c r="F421" s="1905"/>
      <c r="G421" s="790"/>
    </row>
    <row r="422" spans="1:7">
      <c r="A422" s="828"/>
      <c r="B422" s="828"/>
      <c r="C422" s="814"/>
      <c r="D422" s="1905"/>
      <c r="E422" s="1905"/>
      <c r="F422" s="1905"/>
      <c r="G422" s="790"/>
    </row>
    <row r="423" spans="1:7">
      <c r="A423" s="828"/>
      <c r="B423" s="828"/>
      <c r="C423" s="814"/>
      <c r="D423" s="1905"/>
      <c r="E423" s="1905"/>
      <c r="F423" s="1905"/>
      <c r="G423" s="790"/>
    </row>
    <row r="424" spans="1:7">
      <c r="A424" s="828"/>
      <c r="B424" s="828"/>
      <c r="C424" s="814"/>
      <c r="D424" s="1905"/>
      <c r="E424" s="1905"/>
      <c r="F424" s="1905"/>
      <c r="G424" s="790"/>
    </row>
    <row r="425" spans="1:7" ht="15.75" customHeight="1">
      <c r="A425" s="828"/>
      <c r="B425" s="828"/>
      <c r="C425" s="814"/>
      <c r="D425" s="2012" t="s">
        <v>1507</v>
      </c>
      <c r="E425" s="1905"/>
      <c r="F425" s="1905"/>
      <c r="G425" s="790"/>
    </row>
    <row r="426" spans="1:7">
      <c r="D426" s="800"/>
      <c r="E426" s="800"/>
      <c r="F426" s="800"/>
      <c r="G426" s="790"/>
    </row>
    <row r="427" spans="1:7">
      <c r="A427" s="797"/>
      <c r="B427" s="798" t="s">
        <v>2680</v>
      </c>
      <c r="C427" s="829"/>
      <c r="D427" s="1914" t="s">
        <v>1319</v>
      </c>
      <c r="E427" s="1914"/>
      <c r="F427" s="1914"/>
      <c r="G427" s="790"/>
    </row>
    <row r="428" spans="1:7">
      <c r="A428" s="797"/>
      <c r="B428" s="797"/>
      <c r="D428" s="1914"/>
      <c r="E428" s="1914"/>
      <c r="F428" s="1914"/>
      <c r="G428" s="790"/>
    </row>
    <row r="429" spans="1:7">
      <c r="D429" s="1914"/>
      <c r="E429" s="1914"/>
      <c r="F429" s="1914"/>
      <c r="G429" s="790"/>
    </row>
    <row r="430" spans="1:7">
      <c r="D430" s="1914"/>
      <c r="E430" s="1914"/>
      <c r="F430" s="1914"/>
      <c r="G430" s="790"/>
    </row>
    <row r="431" spans="1:7">
      <c r="D431" s="1914"/>
      <c r="E431" s="1914"/>
      <c r="F431" s="1914"/>
      <c r="G431" s="790"/>
    </row>
    <row r="432" spans="1:7">
      <c r="D432" s="1914"/>
      <c r="E432" s="1914"/>
      <c r="F432" s="1914"/>
      <c r="G432" s="790"/>
    </row>
    <row r="433" spans="1:7">
      <c r="D433" s="1914"/>
      <c r="E433" s="1914"/>
      <c r="F433" s="1914"/>
      <c r="G433" s="790"/>
    </row>
    <row r="434" spans="1:7">
      <c r="D434" s="1914"/>
      <c r="E434" s="1914"/>
      <c r="F434" s="1914"/>
      <c r="G434" s="790"/>
    </row>
    <row r="435" spans="1:7">
      <c r="D435" s="1914"/>
      <c r="E435" s="1914"/>
      <c r="F435" s="1914"/>
      <c r="G435" s="790"/>
    </row>
    <row r="436" spans="1:7">
      <c r="D436" s="1914"/>
      <c r="E436" s="1914"/>
      <c r="F436" s="1914"/>
      <c r="G436" s="790"/>
    </row>
    <row r="437" spans="1:7">
      <c r="D437" s="1914"/>
      <c r="E437" s="1914"/>
      <c r="F437" s="1914"/>
      <c r="G437" s="790"/>
    </row>
    <row r="438" spans="1:7">
      <c r="D438" s="1914"/>
      <c r="E438" s="1914"/>
      <c r="F438" s="1914"/>
      <c r="G438" s="790"/>
    </row>
    <row r="439" spans="1:7">
      <c r="D439" s="1914"/>
      <c r="E439" s="1914"/>
      <c r="F439" s="1914"/>
      <c r="G439" s="790"/>
    </row>
    <row r="440" spans="1:7">
      <c r="A440" s="790"/>
      <c r="B440" s="790"/>
      <c r="C440" s="790"/>
      <c r="D440" s="1914"/>
      <c r="E440" s="1914"/>
      <c r="F440" s="1914"/>
      <c r="G440" s="790"/>
    </row>
    <row r="441" spans="1:7">
      <c r="A441" s="790"/>
      <c r="B441" s="790"/>
      <c r="C441" s="790"/>
      <c r="D441" s="1914"/>
      <c r="E441" s="1914"/>
      <c r="F441" s="1914"/>
      <c r="G441" s="790"/>
    </row>
    <row r="442" spans="1:7">
      <c r="A442" s="790"/>
      <c r="B442" s="790"/>
      <c r="C442" s="790"/>
      <c r="D442" s="1914"/>
      <c r="E442" s="1914"/>
      <c r="F442" s="1914"/>
      <c r="G442" s="790"/>
    </row>
    <row r="443" spans="1:7">
      <c r="A443" s="790"/>
      <c r="B443" s="790"/>
      <c r="C443" s="790"/>
      <c r="D443" s="1914"/>
      <c r="E443" s="1914"/>
      <c r="F443" s="1914"/>
      <c r="G443" s="790"/>
    </row>
    <row r="444" spans="1:7">
      <c r="A444" s="790"/>
      <c r="B444" s="790"/>
      <c r="C444" s="790"/>
      <c r="D444" s="1914"/>
      <c r="E444" s="1914"/>
      <c r="F444" s="1914"/>
      <c r="G444" s="790"/>
    </row>
    <row r="445" spans="1:7">
      <c r="A445" s="790"/>
      <c r="B445" s="790"/>
      <c r="C445" s="790"/>
      <c r="D445" s="1914"/>
      <c r="E445" s="1914"/>
      <c r="F445" s="1914"/>
      <c r="G445" s="790"/>
    </row>
    <row r="446" spans="1:7">
      <c r="A446" s="790"/>
      <c r="B446" s="790"/>
      <c r="C446" s="790"/>
      <c r="D446" s="1914"/>
      <c r="E446" s="1914"/>
      <c r="F446" s="1914"/>
      <c r="G446" s="790"/>
    </row>
    <row r="447" spans="1:7">
      <c r="A447" s="790"/>
      <c r="B447" s="790"/>
      <c r="C447" s="790"/>
      <c r="D447" s="1914"/>
      <c r="E447" s="1914"/>
      <c r="F447" s="1914"/>
      <c r="G447" s="790"/>
    </row>
    <row r="448" spans="1:7">
      <c r="A448" s="790"/>
      <c r="B448" s="790"/>
      <c r="C448" s="790"/>
      <c r="D448" s="1914"/>
      <c r="E448" s="1914"/>
      <c r="F448" s="1914"/>
      <c r="G448" s="790"/>
    </row>
    <row r="449" spans="1:9">
      <c r="A449" s="790"/>
      <c r="B449" s="790"/>
      <c r="C449" s="790"/>
      <c r="D449" s="1914"/>
      <c r="E449" s="1914"/>
      <c r="F449" s="1914"/>
      <c r="G449" s="790"/>
    </row>
    <row r="450" spans="1:9">
      <c r="A450" s="790"/>
      <c r="B450" s="790"/>
      <c r="C450" s="790"/>
      <c r="D450" s="1914"/>
      <c r="E450" s="1914"/>
      <c r="F450" s="1914"/>
      <c r="G450" s="790"/>
    </row>
    <row r="451" spans="1:9">
      <c r="A451" s="790"/>
      <c r="B451" s="790"/>
      <c r="C451" s="790"/>
      <c r="D451" s="1914"/>
      <c r="E451" s="1914"/>
      <c r="F451" s="1914"/>
      <c r="G451" s="790"/>
    </row>
    <row r="452" spans="1:9">
      <c r="A452" s="790"/>
      <c r="B452" s="790"/>
      <c r="C452" s="790"/>
      <c r="D452" s="1914"/>
      <c r="E452" s="1914"/>
      <c r="F452" s="1914"/>
      <c r="G452" s="790"/>
    </row>
    <row r="453" spans="1:9">
      <c r="A453" s="790"/>
      <c r="B453" s="790"/>
      <c r="C453" s="790"/>
      <c r="D453" s="1914"/>
      <c r="E453" s="1914"/>
      <c r="F453" s="1914"/>
      <c r="G453" s="790"/>
    </row>
    <row r="454" spans="1:9">
      <c r="A454" s="790"/>
      <c r="B454" s="790"/>
      <c r="C454" s="790"/>
      <c r="D454" s="1914"/>
      <c r="E454" s="1914"/>
      <c r="F454" s="1914"/>
      <c r="G454" s="790"/>
    </row>
    <row r="455" spans="1:9">
      <c r="A455" s="790"/>
      <c r="B455" s="790"/>
      <c r="C455" s="790"/>
      <c r="D455" s="1914"/>
      <c r="E455" s="1914"/>
      <c r="F455" s="1914"/>
      <c r="G455" s="790"/>
    </row>
    <row r="456" spans="1:9" s="831" customFormat="1">
      <c r="A456" s="788"/>
      <c r="B456" s="788"/>
      <c r="C456" s="788"/>
      <c r="D456" s="1914"/>
      <c r="E456" s="1914"/>
      <c r="F456" s="1914"/>
      <c r="G456" s="830"/>
      <c r="I456" s="1840"/>
    </row>
    <row r="457" spans="1:9" s="831" customFormat="1" ht="40.75" customHeight="1">
      <c r="A457" s="788"/>
      <c r="B457" s="788"/>
      <c r="C457" s="788"/>
      <c r="D457" s="1914"/>
      <c r="E457" s="1914"/>
      <c r="F457" s="1914"/>
      <c r="G457" s="830"/>
      <c r="I457" s="1840"/>
    </row>
    <row r="458" spans="1:9">
      <c r="D458" s="800"/>
      <c r="E458" s="800"/>
      <c r="F458" s="800"/>
      <c r="G458" s="790"/>
    </row>
    <row r="459" spans="1:9">
      <c r="A459" s="797"/>
      <c r="B459" s="798" t="s">
        <v>2680</v>
      </c>
      <c r="C459" s="829"/>
      <c r="D459" s="1914" t="s">
        <v>1322</v>
      </c>
      <c r="E459" s="1914"/>
      <c r="F459" s="1914"/>
      <c r="G459" s="790"/>
    </row>
    <row r="460" spans="1:9">
      <c r="D460" s="1914"/>
      <c r="E460" s="1914"/>
      <c r="F460" s="1914"/>
      <c r="G460" s="790"/>
    </row>
    <row r="461" spans="1:9">
      <c r="D461" s="1914"/>
      <c r="E461" s="1914"/>
      <c r="F461" s="1914"/>
      <c r="G461" s="790"/>
    </row>
    <row r="462" spans="1:9">
      <c r="D462" s="784"/>
      <c r="E462" s="784"/>
      <c r="F462" s="784"/>
      <c r="G462" s="790"/>
    </row>
    <row r="463" spans="1:9">
      <c r="B463" s="798" t="s">
        <v>2680</v>
      </c>
      <c r="C463" s="797"/>
      <c r="D463" s="1992" t="s">
        <v>1401</v>
      </c>
      <c r="E463" s="1992"/>
      <c r="F463" s="1992"/>
      <c r="G463" s="790"/>
    </row>
    <row r="464" spans="1:9">
      <c r="D464" s="1992"/>
      <c r="E464" s="1992"/>
      <c r="F464" s="1992"/>
      <c r="G464" s="790"/>
    </row>
    <row r="465" spans="1:7">
      <c r="D465" s="800"/>
      <c r="E465" s="800"/>
      <c r="F465" s="800"/>
      <c r="G465" s="790"/>
    </row>
    <row r="466" spans="1:7">
      <c r="B466" s="798" t="s">
        <v>2680</v>
      </c>
      <c r="C466" s="797"/>
      <c r="D466" s="1992" t="s">
        <v>1324</v>
      </c>
      <c r="E466" s="1992"/>
      <c r="F466" s="1992"/>
      <c r="G466" s="790"/>
    </row>
    <row r="467" spans="1:7">
      <c r="D467" s="1992"/>
      <c r="E467" s="1992"/>
      <c r="F467" s="1992"/>
      <c r="G467" s="790"/>
    </row>
    <row r="468" spans="1:7">
      <c r="D468" s="1992"/>
      <c r="E468" s="1992"/>
      <c r="F468" s="1992"/>
      <c r="G468" s="790"/>
    </row>
    <row r="469" spans="1:7">
      <c r="D469" s="1992"/>
      <c r="E469" s="1992"/>
      <c r="F469" s="1992"/>
      <c r="G469" s="790"/>
    </row>
    <row r="470" spans="1:7">
      <c r="B470" s="798" t="s">
        <v>2680</v>
      </c>
      <c r="D470" s="1992"/>
      <c r="E470" s="1992"/>
      <c r="F470" s="1992"/>
      <c r="G470" s="790"/>
    </row>
    <row r="471" spans="1:7">
      <c r="A471" s="790"/>
      <c r="B471" s="790"/>
      <c r="C471" s="790"/>
      <c r="D471" s="1992"/>
      <c r="E471" s="1992"/>
      <c r="F471" s="1992"/>
      <c r="G471" s="790"/>
    </row>
    <row r="472" spans="1:7">
      <c r="A472" s="790"/>
      <c r="C472" s="790"/>
      <c r="D472" s="1992"/>
      <c r="E472" s="1992"/>
      <c r="F472" s="1992"/>
      <c r="G472" s="790"/>
    </row>
    <row r="473" spans="1:7">
      <c r="A473" s="790"/>
      <c r="B473" s="798" t="s">
        <v>2680</v>
      </c>
      <c r="C473" s="790"/>
      <c r="D473" s="1992"/>
      <c r="E473" s="1992"/>
      <c r="F473" s="1992"/>
      <c r="G473" s="790"/>
    </row>
    <row r="474" spans="1:7">
      <c r="A474" s="790"/>
      <c r="B474" s="790"/>
      <c r="C474" s="790"/>
      <c r="D474" s="1992"/>
      <c r="E474" s="1992"/>
      <c r="F474" s="1992"/>
      <c r="G474" s="790"/>
    </row>
    <row r="475" spans="1:7">
      <c r="A475" s="790"/>
      <c r="C475" s="790"/>
      <c r="D475" s="1992"/>
      <c r="E475" s="1992"/>
      <c r="F475" s="1992"/>
      <c r="G475" s="790"/>
    </row>
    <row r="476" spans="1:7">
      <c r="A476" s="790"/>
      <c r="C476" s="790"/>
      <c r="D476" s="1992"/>
      <c r="E476" s="1992"/>
      <c r="F476" s="1992"/>
      <c r="G476" s="790"/>
    </row>
    <row r="477" spans="1:7">
      <c r="A477" s="790"/>
      <c r="C477" s="790"/>
      <c r="D477" s="1992"/>
      <c r="E477" s="1992"/>
      <c r="F477" s="1992"/>
      <c r="G477" s="790"/>
    </row>
    <row r="478" spans="1:7">
      <c r="A478" s="790"/>
      <c r="B478" s="798" t="s">
        <v>2680</v>
      </c>
      <c r="C478" s="790"/>
      <c r="D478" s="1992"/>
      <c r="E478" s="1992"/>
      <c r="F478" s="1992"/>
      <c r="G478" s="790"/>
    </row>
    <row r="479" spans="1:7">
      <c r="A479" s="790"/>
      <c r="C479" s="790"/>
      <c r="D479" s="1992"/>
      <c r="E479" s="1992"/>
      <c r="F479" s="1992"/>
      <c r="G479" s="790"/>
    </row>
    <row r="480" spans="1:7">
      <c r="A480" s="790"/>
      <c r="B480" s="798" t="s">
        <v>2680</v>
      </c>
      <c r="C480" s="790"/>
      <c r="D480" s="1992" t="s">
        <v>1325</v>
      </c>
      <c r="E480" s="1992"/>
      <c r="F480" s="1992"/>
      <c r="G480" s="790"/>
    </row>
    <row r="481" spans="1:9">
      <c r="A481" s="790"/>
      <c r="B481" s="790"/>
      <c r="C481" s="790"/>
      <c r="D481" s="1992"/>
      <c r="E481" s="1992"/>
      <c r="F481" s="1992"/>
      <c r="G481" s="790"/>
    </row>
    <row r="482" spans="1:9">
      <c r="A482" s="790"/>
      <c r="B482" s="790"/>
      <c r="C482" s="790"/>
      <c r="D482" s="1992"/>
      <c r="E482" s="1992"/>
      <c r="F482" s="1992"/>
      <c r="G482" s="790"/>
    </row>
    <row r="483" spans="1:9">
      <c r="A483" s="790"/>
      <c r="B483" s="790"/>
      <c r="C483" s="790"/>
      <c r="D483" s="1992"/>
      <c r="E483" s="1992"/>
      <c r="F483" s="1992"/>
      <c r="G483" s="790"/>
    </row>
    <row r="484" spans="1:9">
      <c r="D484" s="1992"/>
      <c r="E484" s="1992"/>
      <c r="F484" s="1992"/>
    </row>
    <row r="485" spans="1:9">
      <c r="D485" s="800"/>
      <c r="E485" s="800"/>
      <c r="F485" s="800"/>
    </row>
    <row r="486" spans="1:9">
      <c r="B486" s="798" t="s">
        <v>2680</v>
      </c>
      <c r="D486" s="1988" t="s">
        <v>1326</v>
      </c>
      <c r="E486" s="1988"/>
      <c r="F486" s="1988"/>
    </row>
    <row r="487" spans="1:9">
      <c r="A487" s="800"/>
      <c r="B487" s="800"/>
    </row>
    <row r="488" spans="1:9">
      <c r="A488" s="1896" t="s">
        <v>1167</v>
      </c>
      <c r="B488" s="1896"/>
      <c r="C488" s="1896"/>
      <c r="D488" s="1896"/>
      <c r="E488" s="1896"/>
      <c r="F488" s="1896"/>
      <c r="G488" s="1896"/>
      <c r="H488" s="1853"/>
      <c r="I488" s="1854"/>
    </row>
    <row r="489" spans="1:9">
      <c r="A489" s="800"/>
      <c r="B489" s="800"/>
    </row>
    <row r="490" spans="1:9">
      <c r="D490" s="1892" t="s">
        <v>948</v>
      </c>
      <c r="E490" s="1892"/>
      <c r="F490" s="1892"/>
    </row>
    <row r="491" spans="1:9" s="791" customFormat="1">
      <c r="A491" s="805"/>
      <c r="B491" s="805"/>
      <c r="C491" s="801"/>
      <c r="D491" s="1893" t="s">
        <v>1327</v>
      </c>
      <c r="E491" s="1893"/>
      <c r="F491" s="1893"/>
      <c r="G491" s="802"/>
      <c r="I491" s="1837"/>
    </row>
    <row r="492" spans="1:9" s="791" customFormat="1">
      <c r="A492" s="805"/>
      <c r="B492" s="805"/>
      <c r="C492" s="801"/>
      <c r="D492" s="787"/>
      <c r="E492" s="672"/>
      <c r="F492" s="672"/>
      <c r="G492" s="802"/>
      <c r="I492" s="1837"/>
    </row>
    <row r="493" spans="1:9" s="791" customFormat="1">
      <c r="A493" s="797"/>
      <c r="B493" s="798" t="s">
        <v>2680</v>
      </c>
      <c r="C493" s="801"/>
      <c r="D493" s="1894" t="s">
        <v>1328</v>
      </c>
      <c r="E493" s="1894"/>
      <c r="F493" s="1894"/>
      <c r="G493" s="802"/>
      <c r="I493" s="1837" t="s">
        <v>2439</v>
      </c>
    </row>
    <row r="494" spans="1:9" s="791" customFormat="1">
      <c r="A494" s="797"/>
      <c r="B494" s="797"/>
      <c r="C494" s="801"/>
      <c r="D494" s="1894"/>
      <c r="E494" s="1894"/>
      <c r="F494" s="1894"/>
      <c r="G494" s="802"/>
      <c r="I494" s="1837"/>
    </row>
    <row r="495" spans="1:9" s="791" customFormat="1">
      <c r="A495" s="797"/>
      <c r="B495" s="797"/>
      <c r="C495" s="801"/>
      <c r="D495" s="785"/>
      <c r="E495" s="672"/>
      <c r="F495" s="672"/>
      <c r="G495" s="802"/>
      <c r="I495" s="1837"/>
    </row>
    <row r="496" spans="1:9" ht="12.75" customHeight="1">
      <c r="B496" s="798" t="s">
        <v>2680</v>
      </c>
      <c r="D496" s="1895" t="s">
        <v>1508</v>
      </c>
      <c r="E496" s="1895"/>
      <c r="F496" s="1895"/>
      <c r="I496" s="1774" t="s">
        <v>2440</v>
      </c>
    </row>
    <row r="497" spans="1:9">
      <c r="A497" s="797"/>
      <c r="D497" s="1895"/>
      <c r="E497" s="1895"/>
      <c r="F497" s="1895"/>
    </row>
    <row r="498" spans="1:9">
      <c r="A498" s="797"/>
      <c r="B498" s="797"/>
      <c r="D498" s="1895"/>
      <c r="E498" s="1895"/>
      <c r="F498" s="1895"/>
    </row>
    <row r="499" spans="1:9">
      <c r="A499" s="797"/>
      <c r="B499" s="797"/>
      <c r="D499" s="1895"/>
      <c r="E499" s="1895"/>
      <c r="F499" s="1895"/>
    </row>
    <row r="500" spans="1:9">
      <c r="A500" s="797"/>
      <c r="D500" s="893"/>
      <c r="E500" s="893"/>
      <c r="F500" s="893"/>
      <c r="G500" s="790"/>
    </row>
    <row r="501" spans="1:9">
      <c r="A501" s="797"/>
      <c r="B501" s="798" t="s">
        <v>2680</v>
      </c>
      <c r="D501" s="1916" t="s">
        <v>1331</v>
      </c>
      <c r="E501" s="1916"/>
      <c r="F501" s="1916"/>
      <c r="G501" s="790"/>
      <c r="I501" s="1774" t="s">
        <v>2441</v>
      </c>
    </row>
    <row r="502" spans="1:9">
      <c r="A502" s="797"/>
      <c r="B502" s="797"/>
      <c r="D502" s="785"/>
      <c r="E502" s="672"/>
      <c r="F502" s="672"/>
      <c r="G502" s="790"/>
    </row>
    <row r="503" spans="1:9">
      <c r="A503" s="797"/>
      <c r="B503" s="798" t="s">
        <v>2680</v>
      </c>
      <c r="D503" s="1914" t="s">
        <v>1332</v>
      </c>
      <c r="E503" s="1914"/>
      <c r="F503" s="1914"/>
      <c r="G503" s="790"/>
      <c r="I503" s="1774" t="s">
        <v>2441</v>
      </c>
    </row>
    <row r="504" spans="1:9">
      <c r="A504" s="797"/>
      <c r="D504" s="1914"/>
      <c r="E504" s="1914"/>
      <c r="F504" s="1914"/>
      <c r="G504" s="790"/>
    </row>
    <row r="505" spans="1:9">
      <c r="A505" s="816"/>
      <c r="B505" s="816"/>
      <c r="D505" s="733"/>
      <c r="E505" s="672"/>
      <c r="F505" s="672"/>
      <c r="G505" s="790"/>
    </row>
    <row r="506" spans="1:9">
      <c r="A506" s="816"/>
      <c r="B506" s="798" t="s">
        <v>2680</v>
      </c>
      <c r="D506" s="1916" t="s">
        <v>1333</v>
      </c>
      <c r="E506" s="1916"/>
      <c r="F506" s="1916"/>
      <c r="G506" s="790"/>
      <c r="I506" s="1774" t="s">
        <v>2496</v>
      </c>
    </row>
    <row r="507" spans="1:9">
      <c r="A507" s="797"/>
      <c r="B507" s="797"/>
      <c r="D507" s="800"/>
    </row>
    <row r="508" spans="1:9">
      <c r="A508" s="1896" t="s">
        <v>1168</v>
      </c>
      <c r="B508" s="1896"/>
      <c r="C508" s="1896"/>
      <c r="D508" s="1896"/>
      <c r="E508" s="1896"/>
      <c r="F508" s="1896"/>
      <c r="G508" s="189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20" t="s">
        <v>851</v>
      </c>
      <c r="E510" s="2020"/>
      <c r="F510" s="202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2679</v>
      </c>
      <c r="C514" s="799"/>
      <c r="D514" s="1888" t="s">
        <v>2267</v>
      </c>
      <c r="E514" s="1888"/>
      <c r="F514" s="1888"/>
      <c r="G514" s="672"/>
      <c r="I514" s="622" t="s">
        <v>2476</v>
      </c>
    </row>
    <row r="515" spans="1:9" s="722" customFormat="1">
      <c r="A515" s="795"/>
      <c r="B515" s="795"/>
      <c r="C515" s="799"/>
      <c r="D515" s="1888"/>
      <c r="E515" s="1888"/>
      <c r="F515" s="1888"/>
      <c r="G515" s="672"/>
      <c r="I515" s="622"/>
    </row>
    <row r="516" spans="1:9" s="722" customFormat="1">
      <c r="A516" s="795"/>
      <c r="B516" s="795"/>
      <c r="C516" s="799"/>
      <c r="D516" s="1707"/>
      <c r="E516" s="1707"/>
      <c r="F516" s="1707"/>
      <c r="G516" s="672"/>
    </row>
    <row r="517" spans="1:9" s="722" customFormat="1">
      <c r="A517" s="795"/>
      <c r="B517" s="798" t="s">
        <v>2680</v>
      </c>
      <c r="C517" s="804"/>
      <c r="D517" s="1888" t="s">
        <v>1206</v>
      </c>
      <c r="E517" s="1888"/>
      <c r="F517" s="1888"/>
      <c r="G517" s="672"/>
      <c r="I517" s="622" t="s">
        <v>2442</v>
      </c>
    </row>
    <row r="518" spans="1:9" s="722" customFormat="1">
      <c r="A518" s="795"/>
      <c r="B518" s="795"/>
      <c r="C518" s="804"/>
      <c r="D518" s="1888"/>
      <c r="E518" s="1888"/>
      <c r="F518" s="1888"/>
      <c r="G518" s="672"/>
      <c r="I518" s="622"/>
    </row>
    <row r="519" spans="1:9" s="722" customFormat="1">
      <c r="A519" s="795"/>
      <c r="B519" s="795"/>
      <c r="C519" s="799"/>
      <c r="D519" s="1888"/>
      <c r="E519" s="1888"/>
      <c r="F519" s="1888"/>
      <c r="G519" s="672"/>
      <c r="I519" s="622"/>
    </row>
    <row r="520" spans="1:9" s="722" customFormat="1">
      <c r="A520" s="795"/>
      <c r="B520" s="795"/>
      <c r="C520" s="799"/>
      <c r="D520" s="833"/>
      <c r="E520" s="672"/>
      <c r="F520" s="785"/>
      <c r="G520" s="672"/>
      <c r="I520" s="622"/>
    </row>
    <row r="521" spans="1:9" s="722" customFormat="1" ht="13.15" customHeight="1">
      <c r="A521" s="795"/>
      <c r="B521" s="798" t="s">
        <v>2680</v>
      </c>
      <c r="C521" s="799"/>
      <c r="D521" s="2000" t="s">
        <v>1232</v>
      </c>
      <c r="E521" s="2000"/>
      <c r="F521" s="2000"/>
      <c r="G521" s="672"/>
      <c r="I521" s="622" t="s">
        <v>2442</v>
      </c>
    </row>
    <row r="522" spans="1:9" s="722" customFormat="1">
      <c r="A522" s="795"/>
      <c r="B522" s="795"/>
      <c r="C522" s="799"/>
      <c r="D522" s="2000"/>
      <c r="E522" s="2000"/>
      <c r="F522" s="2000"/>
      <c r="G522" s="672"/>
      <c r="I522" s="622"/>
    </row>
    <row r="523" spans="1:9" s="722" customFormat="1" ht="12" customHeight="1">
      <c r="A523" s="800"/>
      <c r="B523" s="800"/>
      <c r="C523" s="808"/>
      <c r="D523" s="800"/>
      <c r="E523" s="672"/>
      <c r="F523" s="835"/>
      <c r="G523" s="672"/>
      <c r="I523" s="622"/>
    </row>
    <row r="524" spans="1:9">
      <c r="A524" s="1896" t="s">
        <v>1169</v>
      </c>
      <c r="B524" s="1896"/>
      <c r="C524" s="1896"/>
      <c r="D524" s="1896"/>
      <c r="E524" s="1896"/>
      <c r="F524" s="1896"/>
      <c r="G524" s="1896"/>
      <c r="H524" s="1853"/>
      <c r="I524" s="1854"/>
    </row>
    <row r="525" spans="1:9">
      <c r="A525" s="800"/>
      <c r="B525" s="800"/>
      <c r="C525" s="829"/>
      <c r="F525" s="836"/>
    </row>
    <row r="526" spans="1:9">
      <c r="B526" s="1986" t="s">
        <v>470</v>
      </c>
      <c r="C526" s="1986"/>
      <c r="D526" s="1986"/>
      <c r="E526" s="1986"/>
      <c r="F526" s="1986"/>
    </row>
    <row r="527" spans="1:9">
      <c r="A527" s="800"/>
      <c r="B527" s="800"/>
      <c r="C527" s="829"/>
      <c r="D527" s="800"/>
      <c r="F527" s="800"/>
    </row>
    <row r="528" spans="1:9">
      <c r="A528" s="1946" t="s">
        <v>1170</v>
      </c>
      <c r="B528" s="1946"/>
      <c r="C528" s="1946"/>
      <c r="D528" s="1946"/>
      <c r="E528" s="1946"/>
      <c r="F528" s="1946"/>
      <c r="G528" s="1946"/>
      <c r="H528" s="1853"/>
      <c r="I528" s="1854"/>
    </row>
    <row r="529" spans="1:9">
      <c r="A529" s="800"/>
      <c r="B529" s="800"/>
      <c r="C529" s="829"/>
      <c r="D529" s="800"/>
      <c r="F529" s="800"/>
    </row>
    <row r="530" spans="1:9">
      <c r="C530" s="829"/>
      <c r="D530" s="1913" t="s">
        <v>720</v>
      </c>
      <c r="E530" s="1913"/>
      <c r="F530" s="1913"/>
    </row>
    <row r="531" spans="1:9">
      <c r="C531" s="829"/>
      <c r="D531" s="1916" t="s">
        <v>1227</v>
      </c>
      <c r="E531" s="1916"/>
      <c r="F531" s="1916"/>
    </row>
    <row r="532" spans="1:9">
      <c r="C532" s="829"/>
      <c r="D532" s="785"/>
      <c r="E532" s="785"/>
      <c r="F532" s="785"/>
    </row>
    <row r="533" spans="1:9" ht="13.75" customHeight="1">
      <c r="A533" s="797"/>
      <c r="B533" s="798" t="s">
        <v>2679</v>
      </c>
      <c r="C533" s="829"/>
      <c r="D533" s="1916" t="s">
        <v>949</v>
      </c>
      <c r="E533" s="1916"/>
      <c r="F533" s="1916"/>
      <c r="G533" s="790"/>
      <c r="I533" s="1774" t="s">
        <v>2494</v>
      </c>
    </row>
    <row r="534" spans="1:9" ht="13.75" customHeight="1">
      <c r="A534" s="829"/>
      <c r="B534" s="829"/>
      <c r="C534" s="829"/>
      <c r="D534" s="785"/>
      <c r="E534" s="618"/>
      <c r="F534" s="618"/>
      <c r="G534" s="790"/>
    </row>
    <row r="535" spans="1:9">
      <c r="A535" s="797"/>
      <c r="B535" s="798" t="s">
        <v>2679</v>
      </c>
      <c r="C535" s="829"/>
      <c r="D535" s="1914" t="s">
        <v>1228</v>
      </c>
      <c r="E535" s="1914"/>
      <c r="F535" s="1914"/>
      <c r="G535" s="790"/>
      <c r="I535" s="1774" t="s">
        <v>2494</v>
      </c>
    </row>
    <row r="536" spans="1:9">
      <c r="A536" s="829"/>
      <c r="B536" s="829"/>
      <c r="C536" s="829"/>
      <c r="D536" s="1914"/>
      <c r="E536" s="1914"/>
      <c r="F536" s="1914"/>
      <c r="G536" s="790"/>
    </row>
    <row r="537" spans="1:9">
      <c r="A537" s="829"/>
      <c r="B537" s="829"/>
      <c r="C537" s="829"/>
      <c r="D537" s="800"/>
      <c r="E537" s="800"/>
      <c r="F537" s="800"/>
      <c r="G537" s="790"/>
    </row>
    <row r="538" spans="1:9">
      <c r="A538" s="797"/>
      <c r="B538" s="798" t="s">
        <v>2679</v>
      </c>
      <c r="C538" s="829"/>
      <c r="D538" s="1914" t="s">
        <v>1229</v>
      </c>
      <c r="E538" s="1914"/>
      <c r="F538" s="1914"/>
      <c r="G538" s="790"/>
      <c r="I538" s="1774" t="s">
        <v>2443</v>
      </c>
    </row>
    <row r="539" spans="1:9">
      <c r="A539" s="829"/>
      <c r="B539" s="829"/>
      <c r="C539" s="829"/>
      <c r="D539" s="1914"/>
      <c r="E539" s="1914"/>
      <c r="F539" s="1914"/>
      <c r="G539" s="790"/>
    </row>
    <row r="540" spans="1:9">
      <c r="A540" s="829"/>
      <c r="B540" s="829"/>
      <c r="C540" s="829"/>
      <c r="D540" s="800"/>
      <c r="E540" s="800"/>
      <c r="F540" s="800"/>
      <c r="G540" s="790"/>
    </row>
    <row r="541" spans="1:9">
      <c r="A541" s="797"/>
      <c r="B541" s="798" t="s">
        <v>2679</v>
      </c>
      <c r="C541" s="829"/>
      <c r="D541" s="1914" t="s">
        <v>1230</v>
      </c>
      <c r="E541" s="1914"/>
      <c r="F541" s="1914"/>
      <c r="G541" s="790"/>
      <c r="I541" s="1774" t="s">
        <v>2444</v>
      </c>
    </row>
    <row r="542" spans="1:9">
      <c r="A542" s="829"/>
      <c r="B542" s="829"/>
      <c r="C542" s="829"/>
      <c r="D542" s="1914"/>
      <c r="E542" s="1914"/>
      <c r="F542" s="1914"/>
      <c r="G542" s="790"/>
    </row>
    <row r="543" spans="1:9">
      <c r="A543" s="829"/>
      <c r="B543" s="829"/>
      <c r="C543" s="829"/>
      <c r="D543" s="800"/>
      <c r="E543" s="800"/>
      <c r="F543" s="800"/>
      <c r="G543" s="790"/>
    </row>
    <row r="544" spans="1:9">
      <c r="A544" s="797"/>
      <c r="B544" s="798" t="s">
        <v>2679</v>
      </c>
      <c r="C544" s="829"/>
      <c r="D544" s="1914" t="s">
        <v>1231</v>
      </c>
      <c r="E544" s="1914"/>
      <c r="F544" s="1914"/>
      <c r="G544" s="790"/>
      <c r="I544" s="1774" t="s">
        <v>2495</v>
      </c>
    </row>
    <row r="545" spans="1:9">
      <c r="A545" s="829"/>
      <c r="B545" s="829"/>
      <c r="C545" s="829"/>
      <c r="D545" s="1914"/>
      <c r="E545" s="1914"/>
      <c r="F545" s="1914"/>
      <c r="G545" s="790"/>
    </row>
    <row r="546" spans="1:9">
      <c r="A546" s="829"/>
      <c r="B546" s="829"/>
      <c r="C546" s="829"/>
      <c r="D546" s="1914"/>
      <c r="E546" s="1914"/>
      <c r="F546" s="1914"/>
      <c r="G546" s="790"/>
    </row>
    <row r="547" spans="1:9">
      <c r="A547" s="829"/>
      <c r="B547" s="829"/>
      <c r="C547" s="829"/>
      <c r="D547" s="800"/>
      <c r="E547" s="800"/>
      <c r="F547" s="800"/>
    </row>
    <row r="548" spans="1:9">
      <c r="A548" s="797"/>
      <c r="B548" s="798" t="s">
        <v>2680</v>
      </c>
      <c r="C548" s="829"/>
      <c r="D548" s="2000" t="s">
        <v>1349</v>
      </c>
      <c r="E548" s="2000"/>
      <c r="F548" s="2000"/>
      <c r="I548" s="1774" t="s">
        <v>2494</v>
      </c>
    </row>
    <row r="549" spans="1:9">
      <c r="A549" s="829"/>
      <c r="B549" s="829"/>
      <c r="C549" s="829"/>
      <c r="D549" s="2000"/>
      <c r="E549" s="2000"/>
      <c r="F549" s="2000"/>
    </row>
    <row r="550" spans="1:9">
      <c r="A550" s="829"/>
      <c r="B550" s="829"/>
      <c r="C550" s="829"/>
      <c r="D550" s="800"/>
      <c r="E550" s="800"/>
      <c r="F550" s="800"/>
    </row>
    <row r="551" spans="1:9">
      <c r="A551" s="797"/>
      <c r="B551" s="798" t="s">
        <v>2679</v>
      </c>
      <c r="C551" s="829"/>
      <c r="D551" s="1914" t="s">
        <v>1233</v>
      </c>
      <c r="E551" s="1914"/>
      <c r="F551" s="1914"/>
      <c r="I551" s="1774" t="s">
        <v>2494</v>
      </c>
    </row>
    <row r="552" spans="1:9">
      <c r="A552" s="829"/>
      <c r="B552" s="829"/>
      <c r="C552" s="829"/>
      <c r="D552" s="1914"/>
      <c r="E552" s="1914"/>
      <c r="F552" s="1914"/>
      <c r="G552" s="819"/>
    </row>
    <row r="553" spans="1:9">
      <c r="A553" s="829"/>
      <c r="B553" s="829"/>
      <c r="C553" s="829"/>
      <c r="D553" s="800"/>
      <c r="E553" s="800"/>
      <c r="F553" s="800"/>
      <c r="G553" s="819"/>
    </row>
    <row r="554" spans="1:9">
      <c r="A554" s="797"/>
      <c r="B554" s="798" t="s">
        <v>2679</v>
      </c>
      <c r="C554" s="829"/>
      <c r="D554" s="1916" t="s">
        <v>1234</v>
      </c>
      <c r="E554" s="1916"/>
      <c r="F554" s="1916"/>
      <c r="G554" s="819"/>
      <c r="I554" s="1774" t="s">
        <v>2497</v>
      </c>
    </row>
    <row r="555" spans="1:9">
      <c r="A555" s="816"/>
      <c r="B555" s="816"/>
      <c r="C555" s="829"/>
      <c r="D555" s="1916" t="s">
        <v>881</v>
      </c>
      <c r="E555" s="1916"/>
      <c r="F555" s="1916"/>
      <c r="G555" s="819"/>
    </row>
    <row r="556" spans="1:9">
      <c r="A556" s="816"/>
      <c r="B556" s="816"/>
      <c r="C556" s="829"/>
      <c r="D556" s="672"/>
      <c r="E556" s="1987" t="s">
        <v>1235</v>
      </c>
      <c r="F556" s="1987"/>
      <c r="G556" s="819"/>
    </row>
    <row r="557" spans="1:9">
      <c r="A557" s="797"/>
      <c r="B557" s="797"/>
      <c r="C557" s="829"/>
      <c r="E557" s="800"/>
      <c r="F557" s="800"/>
      <c r="G557" s="819"/>
    </row>
    <row r="558" spans="1:9">
      <c r="A558" s="797"/>
      <c r="B558" s="798" t="s">
        <v>2679</v>
      </c>
      <c r="C558" s="829"/>
      <c r="D558" s="2013" t="s">
        <v>1236</v>
      </c>
      <c r="E558" s="2013"/>
      <c r="F558" s="2013"/>
      <c r="G558" s="819"/>
      <c r="I558" s="1774" t="s">
        <v>2445</v>
      </c>
    </row>
    <row r="559" spans="1:9">
      <c r="C559" s="829"/>
      <c r="D559" s="1914" t="s">
        <v>1237</v>
      </c>
      <c r="E559" s="1914"/>
      <c r="F559" s="1914"/>
      <c r="G559" s="819"/>
    </row>
    <row r="560" spans="1:9">
      <c r="A560" s="829"/>
      <c r="B560" s="829"/>
      <c r="C560" s="829"/>
      <c r="D560" s="1914"/>
      <c r="E560" s="1914"/>
      <c r="F560" s="1914"/>
      <c r="G560" s="819"/>
    </row>
    <row r="561" spans="1:9">
      <c r="A561" s="829"/>
      <c r="B561" s="829"/>
      <c r="C561" s="829"/>
      <c r="D561" s="1914"/>
      <c r="E561" s="1914"/>
      <c r="F561" s="1914"/>
      <c r="G561" s="819"/>
    </row>
    <row r="562" spans="1:9">
      <c r="A562" s="829"/>
      <c r="B562" s="829"/>
      <c r="C562" s="829"/>
      <c r="D562" s="800"/>
      <c r="E562" s="800"/>
      <c r="F562" s="800"/>
      <c r="G562" s="819"/>
    </row>
    <row r="563" spans="1:9">
      <c r="A563" s="797"/>
      <c r="B563" s="798" t="s">
        <v>2679</v>
      </c>
      <c r="C563" s="829"/>
      <c r="D563" s="1914" t="s">
        <v>1238</v>
      </c>
      <c r="E563" s="1914"/>
      <c r="F563" s="1914"/>
      <c r="G563" s="819"/>
      <c r="I563" s="1774" t="s">
        <v>2446</v>
      </c>
    </row>
    <row r="564" spans="1:9">
      <c r="A564" s="797"/>
      <c r="B564" s="797"/>
      <c r="C564" s="829"/>
      <c r="D564" s="1914"/>
      <c r="E564" s="1914"/>
      <c r="F564" s="1914"/>
      <c r="G564" s="819"/>
    </row>
    <row r="565" spans="1:9">
      <c r="A565" s="797"/>
      <c r="B565" s="797"/>
      <c r="C565" s="829"/>
      <c r="D565" s="1914"/>
      <c r="E565" s="1914"/>
      <c r="F565" s="1914"/>
      <c r="G565" s="819"/>
    </row>
    <row r="566" spans="1:9">
      <c r="A566" s="797"/>
      <c r="B566" s="797"/>
      <c r="C566" s="829"/>
      <c r="D566" s="1914"/>
      <c r="E566" s="1914"/>
      <c r="F566" s="1914"/>
      <c r="G566" s="819"/>
    </row>
    <row r="567" spans="1:9">
      <c r="A567" s="797"/>
      <c r="B567" s="797"/>
      <c r="C567" s="829"/>
      <c r="D567" s="800"/>
      <c r="E567" s="800"/>
      <c r="F567" s="800"/>
      <c r="G567" s="819"/>
    </row>
    <row r="568" spans="1:9">
      <c r="A568" s="1896" t="s">
        <v>1171</v>
      </c>
      <c r="B568" s="1896"/>
      <c r="C568" s="1896"/>
      <c r="D568" s="1896"/>
      <c r="E568" s="1896"/>
      <c r="F568" s="1896"/>
      <c r="G568" s="1896"/>
      <c r="H568" s="1853"/>
      <c r="I568" s="1854"/>
    </row>
    <row r="569" spans="1:9">
      <c r="A569" s="829"/>
      <c r="B569" s="829"/>
      <c r="C569" s="829"/>
      <c r="E569" s="800"/>
      <c r="F569" s="800"/>
      <c r="G569" s="819"/>
    </row>
    <row r="570" spans="1:9" ht="12.75" customHeight="1">
      <c r="C570" s="793"/>
      <c r="D570" s="1985" t="s">
        <v>216</v>
      </c>
      <c r="E570" s="1985"/>
      <c r="F570" s="1985"/>
      <c r="G570" s="819"/>
    </row>
    <row r="571" spans="1:9">
      <c r="A571" s="795"/>
      <c r="B571" s="795"/>
      <c r="C571" s="795"/>
      <c r="D571" s="1919" t="s">
        <v>1187</v>
      </c>
      <c r="E571" s="1919"/>
      <c r="F571" s="1919"/>
      <c r="G571" s="819"/>
    </row>
    <row r="572" spans="1:9">
      <c r="A572" s="790"/>
      <c r="B572" s="790"/>
      <c r="C572" s="795"/>
      <c r="D572" s="837"/>
      <c r="G572" s="819"/>
      <c r="I572" s="1774" t="s">
        <v>2447</v>
      </c>
    </row>
    <row r="573" spans="1:9">
      <c r="A573" s="795"/>
      <c r="B573" s="798" t="s">
        <v>2679</v>
      </c>
      <c r="D573" s="1919" t="s">
        <v>955</v>
      </c>
      <c r="E573" s="1919"/>
      <c r="F573" s="1919"/>
      <c r="G573" s="819"/>
    </row>
    <row r="574" spans="1:9">
      <c r="A574" s="816"/>
      <c r="B574" s="816"/>
      <c r="D574" s="814"/>
    </row>
    <row r="575" spans="1:9">
      <c r="A575" s="816"/>
      <c r="B575" s="798" t="s">
        <v>2679</v>
      </c>
      <c r="D575" s="1895" t="s">
        <v>1188</v>
      </c>
      <c r="E575" s="1895"/>
      <c r="F575" s="1895"/>
      <c r="I575" s="1774" t="s">
        <v>2449</v>
      </c>
    </row>
    <row r="576" spans="1:9">
      <c r="A576" s="816"/>
      <c r="B576" s="816"/>
      <c r="D576" s="1895"/>
      <c r="E576" s="1895"/>
      <c r="F576" s="1895"/>
      <c r="G576" s="790"/>
      <c r="I576" s="1774" t="s">
        <v>2448</v>
      </c>
    </row>
    <row r="577" spans="1:9">
      <c r="A577" s="816"/>
      <c r="B577" s="816"/>
      <c r="D577" s="1895"/>
      <c r="E577" s="1895"/>
      <c r="F577" s="1895"/>
      <c r="G577" s="790"/>
    </row>
    <row r="578" spans="1:9">
      <c r="A578" s="816"/>
      <c r="B578" s="816"/>
      <c r="D578" s="1895"/>
      <c r="E578" s="1895"/>
      <c r="F578" s="1895"/>
      <c r="G578" s="790"/>
    </row>
    <row r="579" spans="1:9">
      <c r="A579" s="816"/>
      <c r="B579" s="798" t="s">
        <v>2680</v>
      </c>
      <c r="D579" s="1895" t="s">
        <v>1189</v>
      </c>
      <c r="E579" s="1895"/>
      <c r="F579" s="1895"/>
      <c r="G579" s="790"/>
    </row>
    <row r="580" spans="1:9">
      <c r="A580" s="816"/>
      <c r="B580" s="816"/>
      <c r="D580" s="1895"/>
      <c r="E580" s="1895"/>
      <c r="F580" s="1895"/>
      <c r="G580" s="790"/>
    </row>
    <row r="581" spans="1:9">
      <c r="A581" s="816"/>
      <c r="B581" s="816"/>
      <c r="D581" s="1895"/>
      <c r="E581" s="1895"/>
      <c r="F581" s="1895"/>
      <c r="G581" s="790"/>
    </row>
    <row r="582" spans="1:9">
      <c r="A582" s="816"/>
      <c r="B582" s="816"/>
      <c r="D582" s="1895"/>
      <c r="E582" s="1895"/>
      <c r="F582" s="1895"/>
      <c r="G582" s="790"/>
    </row>
    <row r="583" spans="1:9">
      <c r="A583" s="816"/>
      <c r="B583" s="816"/>
      <c r="D583" s="783"/>
      <c r="E583" s="783"/>
      <c r="F583" s="783"/>
      <c r="G583" s="790"/>
    </row>
    <row r="584" spans="1:9">
      <c r="A584" s="816"/>
      <c r="B584" s="798" t="s">
        <v>2679</v>
      </c>
      <c r="D584" s="1895" t="s">
        <v>1190</v>
      </c>
      <c r="E584" s="1895"/>
      <c r="F584" s="1895"/>
      <c r="G584" s="790"/>
    </row>
    <row r="585" spans="1:9">
      <c r="A585" s="816"/>
      <c r="B585" s="816"/>
      <c r="D585" s="1895"/>
      <c r="E585" s="1895"/>
      <c r="F585" s="1895"/>
      <c r="G585" s="790"/>
    </row>
    <row r="586" spans="1:9">
      <c r="A586" s="816"/>
      <c r="B586" s="816"/>
      <c r="D586" s="837"/>
      <c r="G586" s="790"/>
    </row>
    <row r="587" spans="1:9">
      <c r="A587" s="816"/>
      <c r="B587" s="798" t="s">
        <v>2680</v>
      </c>
      <c r="D587" s="1919" t="s">
        <v>1191</v>
      </c>
      <c r="E587" s="1919"/>
      <c r="F587" s="1919"/>
      <c r="G587" s="790"/>
      <c r="I587" s="1774" t="s">
        <v>2498</v>
      </c>
    </row>
    <row r="588" spans="1:9">
      <c r="A588" s="816"/>
      <c r="B588" s="816"/>
      <c r="D588" s="1919"/>
      <c r="E588" s="1919"/>
      <c r="F588" s="1919"/>
      <c r="G588" s="790"/>
    </row>
    <row r="589" spans="1:9">
      <c r="A589" s="797"/>
      <c r="B589" s="797"/>
      <c r="D589" s="837"/>
      <c r="G589" s="790"/>
    </row>
    <row r="590" spans="1:9">
      <c r="A590" s="1896" t="s">
        <v>1172</v>
      </c>
      <c r="B590" s="1896"/>
      <c r="C590" s="1896"/>
      <c r="D590" s="1896"/>
      <c r="E590" s="1896"/>
      <c r="F590" s="1896"/>
      <c r="G590" s="1896"/>
      <c r="H590" s="1853"/>
      <c r="I590" s="1854"/>
    </row>
    <row r="591" spans="1:9"/>
    <row r="592" spans="1:9">
      <c r="D592" s="1913" t="s">
        <v>1272</v>
      </c>
      <c r="E592" s="1913"/>
      <c r="F592" s="1913"/>
    </row>
    <row r="593" spans="1:9">
      <c r="D593" s="1952" t="s">
        <v>1273</v>
      </c>
      <c r="E593" s="1952"/>
      <c r="F593" s="1952"/>
    </row>
    <row r="594" spans="1:9">
      <c r="D594" s="780"/>
      <c r="E594" s="722"/>
      <c r="F594" s="722"/>
    </row>
    <row r="595" spans="1:9" s="791" customFormat="1">
      <c r="A595" s="805"/>
      <c r="B595" s="798" t="s">
        <v>2679</v>
      </c>
      <c r="C595" s="801"/>
      <c r="D595" s="1915" t="s">
        <v>1274</v>
      </c>
      <c r="E595" s="1915"/>
      <c r="F595" s="1915"/>
      <c r="G595" s="802"/>
      <c r="I595" s="1837" t="s">
        <v>2477</v>
      </c>
    </row>
    <row r="596" spans="1:9">
      <c r="D596" s="1915"/>
      <c r="E596" s="1915"/>
      <c r="F596" s="1915"/>
    </row>
    <row r="597" spans="1:9">
      <c r="D597" s="1915"/>
      <c r="E597" s="1915"/>
      <c r="F597" s="1915"/>
    </row>
    <row r="598" spans="1:9"/>
    <row r="599" spans="1:9">
      <c r="A599" s="1896" t="s">
        <v>1173</v>
      </c>
      <c r="B599" s="1896"/>
      <c r="C599" s="1896"/>
      <c r="D599" s="1896"/>
      <c r="E599" s="1896"/>
      <c r="F599" s="1896"/>
      <c r="G599" s="1896"/>
      <c r="H599" s="1853"/>
      <c r="I599" s="1854"/>
    </row>
    <row r="600" spans="1:9">
      <c r="A600" s="800"/>
      <c r="B600" s="800"/>
      <c r="G600" s="819"/>
    </row>
    <row r="601" spans="1:9">
      <c r="A601" s="838"/>
      <c r="B601" s="838"/>
      <c r="C601" s="793"/>
      <c r="D601" s="1953" t="s">
        <v>1275</v>
      </c>
      <c r="E601" s="1953"/>
      <c r="F601" s="1953"/>
      <c r="G601" s="819"/>
    </row>
    <row r="602" spans="1:9">
      <c r="A602" s="838"/>
      <c r="B602" s="838"/>
      <c r="C602" s="793"/>
      <c r="D602" s="1953"/>
      <c r="E602" s="1953"/>
      <c r="F602" s="1953"/>
      <c r="G602" s="819"/>
    </row>
    <row r="603" spans="1:9">
      <c r="C603" s="795"/>
      <c r="D603" s="1952" t="s">
        <v>1276</v>
      </c>
      <c r="E603" s="1952"/>
      <c r="F603" s="1952"/>
      <c r="G603" s="819"/>
    </row>
    <row r="604" spans="1:9">
      <c r="C604" s="795"/>
      <c r="D604" s="780"/>
      <c r="E604" s="780"/>
      <c r="F604" s="780"/>
      <c r="G604" s="819"/>
    </row>
    <row r="605" spans="1:9" ht="12.75" customHeight="1">
      <c r="A605" s="816"/>
      <c r="B605" s="798" t="s">
        <v>2679</v>
      </c>
      <c r="D605" s="1912" t="s">
        <v>1277</v>
      </c>
      <c r="E605" s="1912"/>
      <c r="F605" s="1912"/>
      <c r="G605" s="819"/>
      <c r="I605" s="1774" t="s">
        <v>2499</v>
      </c>
    </row>
    <row r="606" spans="1:9">
      <c r="D606" s="1912"/>
      <c r="E606" s="1912"/>
      <c r="F606" s="1912"/>
      <c r="G606" s="819"/>
    </row>
    <row r="607" spans="1:9">
      <c r="D607" s="790"/>
      <c r="G607" s="819"/>
    </row>
    <row r="608" spans="1:9">
      <c r="B608" s="798" t="s">
        <v>2679</v>
      </c>
      <c r="D608" s="1912" t="s">
        <v>1278</v>
      </c>
      <c r="E608" s="1912"/>
      <c r="F608" s="1912"/>
      <c r="G608" s="819"/>
      <c r="I608" s="1774" t="s">
        <v>2450</v>
      </c>
    </row>
    <row r="609" spans="1:9">
      <c r="C609" s="839"/>
      <c r="D609" s="1912"/>
      <c r="E609" s="1912"/>
      <c r="F609" s="1912"/>
      <c r="G609" s="819"/>
    </row>
    <row r="610" spans="1:9">
      <c r="C610" s="839"/>
      <c r="G610" s="819"/>
    </row>
    <row r="611" spans="1:9">
      <c r="B611" s="798" t="s">
        <v>2680</v>
      </c>
      <c r="C611" s="839"/>
      <c r="D611" s="1912" t="s">
        <v>1279</v>
      </c>
      <c r="E611" s="1912"/>
      <c r="F611" s="1912"/>
      <c r="G611" s="819"/>
      <c r="I611" s="1774" t="s">
        <v>2500</v>
      </c>
    </row>
    <row r="612" spans="1:9">
      <c r="C612" s="839"/>
      <c r="D612" s="1912"/>
      <c r="E612" s="1912"/>
      <c r="F612" s="1912"/>
      <c r="G612" s="819"/>
      <c r="I612" s="1850" t="s">
        <v>2501</v>
      </c>
    </row>
    <row r="613" spans="1:9">
      <c r="C613" s="839"/>
      <c r="G613" s="819"/>
    </row>
    <row r="614" spans="1:9">
      <c r="A614" s="1896" t="s">
        <v>1174</v>
      </c>
      <c r="B614" s="1896"/>
      <c r="C614" s="1896"/>
      <c r="D614" s="1896"/>
      <c r="E614" s="1896"/>
      <c r="F614" s="1896"/>
      <c r="G614" s="1896"/>
      <c r="H614" s="1853"/>
      <c r="I614" s="1854"/>
    </row>
    <row r="615" spans="1:9">
      <c r="A615" s="840"/>
      <c r="B615" s="840"/>
      <c r="C615" s="840"/>
      <c r="G615" s="819"/>
    </row>
    <row r="616" spans="1:9">
      <c r="C616" s="816"/>
      <c r="D616" s="1913" t="s">
        <v>1280</v>
      </c>
      <c r="E616" s="1913"/>
      <c r="F616" s="1913"/>
      <c r="G616" s="819"/>
    </row>
    <row r="617" spans="1:9">
      <c r="A617" s="816"/>
      <c r="B617" s="816"/>
      <c r="C617" s="818"/>
      <c r="D617" s="794"/>
      <c r="G617" s="819"/>
    </row>
    <row r="618" spans="1:9">
      <c r="A618" s="797"/>
      <c r="B618" s="798" t="s">
        <v>2679</v>
      </c>
      <c r="C618" s="818"/>
      <c r="D618" s="1914" t="s">
        <v>1502</v>
      </c>
      <c r="E618" s="1914"/>
      <c r="F618" s="1914"/>
      <c r="G618" s="819"/>
      <c r="I618" s="1774" t="s">
        <v>2478</v>
      </c>
    </row>
    <row r="619" spans="1:9">
      <c r="C619" s="818"/>
      <c r="D619" s="1914"/>
      <c r="E619" s="1914"/>
      <c r="F619" s="1914"/>
      <c r="G619" s="819"/>
    </row>
    <row r="620" spans="1:9">
      <c r="C620" s="818"/>
      <c r="D620" s="1914"/>
      <c r="E620" s="1914"/>
      <c r="F620" s="1914"/>
      <c r="G620" s="819"/>
    </row>
    <row r="621" spans="1:9">
      <c r="C621" s="818"/>
      <c r="D621" s="1914"/>
      <c r="E621" s="1914"/>
      <c r="F621" s="1914"/>
      <c r="G621" s="819"/>
    </row>
    <row r="622" spans="1:9">
      <c r="C622" s="818"/>
      <c r="D622" s="1914"/>
      <c r="E622" s="1914"/>
      <c r="F622" s="1914"/>
      <c r="G622" s="819"/>
    </row>
    <row r="623" spans="1:9">
      <c r="C623" s="818"/>
      <c r="D623" s="1914"/>
      <c r="E623" s="1914"/>
      <c r="F623" s="1914"/>
      <c r="G623" s="819"/>
    </row>
    <row r="624" spans="1:9">
      <c r="C624" s="818"/>
      <c r="D624" s="784"/>
      <c r="E624" s="784"/>
      <c r="F624" s="784"/>
      <c r="G624" s="819"/>
    </row>
    <row r="625" spans="1:9">
      <c r="A625" s="797"/>
      <c r="B625" s="798" t="s">
        <v>2680</v>
      </c>
      <c r="C625" s="818"/>
      <c r="D625" s="1914" t="s">
        <v>1282</v>
      </c>
      <c r="E625" s="1914"/>
      <c r="F625" s="1914"/>
      <c r="G625" s="819"/>
      <c r="I625" s="1774" t="s">
        <v>2502</v>
      </c>
    </row>
    <row r="626" spans="1:9">
      <c r="A626" s="829"/>
      <c r="B626" s="829"/>
      <c r="C626" s="829"/>
      <c r="D626" s="1914"/>
      <c r="E626" s="1914"/>
      <c r="F626" s="1914"/>
      <c r="G626" s="819"/>
    </row>
    <row r="627" spans="1:9">
      <c r="A627" s="829"/>
      <c r="B627" s="829"/>
      <c r="C627" s="829"/>
      <c r="D627" s="785"/>
      <c r="E627" s="841"/>
      <c r="F627" s="841"/>
      <c r="G627" s="819"/>
    </row>
    <row r="628" spans="1:9">
      <c r="A628" s="797"/>
      <c r="B628" s="798" t="s">
        <v>2680</v>
      </c>
      <c r="C628" s="829"/>
      <c r="D628" s="1915" t="s">
        <v>1439</v>
      </c>
      <c r="E628" s="1915"/>
      <c r="F628" s="1915"/>
      <c r="G628" s="819"/>
      <c r="I628" s="1774" t="s">
        <v>2451</v>
      </c>
    </row>
    <row r="629" spans="1:9">
      <c r="A629" s="797"/>
      <c r="B629" s="797"/>
      <c r="C629" s="829"/>
      <c r="D629" s="1915"/>
      <c r="E629" s="1915"/>
      <c r="F629" s="1915"/>
      <c r="G629" s="819"/>
    </row>
    <row r="630" spans="1:9">
      <c r="A630" s="797"/>
      <c r="B630" s="797"/>
      <c r="C630" s="829"/>
      <c r="D630" s="1915"/>
      <c r="E630" s="1915"/>
      <c r="F630" s="1915"/>
      <c r="G630" s="819"/>
    </row>
    <row r="631" spans="1:9">
      <c r="A631" s="829"/>
      <c r="B631" s="798" t="s">
        <v>2680</v>
      </c>
      <c r="C631" s="829"/>
      <c r="D631" s="1916" t="s">
        <v>1284</v>
      </c>
      <c r="E631" s="1916"/>
      <c r="F631" s="1916"/>
      <c r="G631" s="819"/>
      <c r="I631" s="1774" t="s">
        <v>2451</v>
      </c>
    </row>
    <row r="632" spans="1:9">
      <c r="A632" s="829"/>
      <c r="B632" s="829"/>
      <c r="C632" s="829"/>
      <c r="D632" s="727"/>
      <c r="E632" s="727"/>
      <c r="F632" s="727"/>
      <c r="G632" s="819"/>
    </row>
    <row r="633" spans="1:9">
      <c r="A633" s="1896" t="s">
        <v>1175</v>
      </c>
      <c r="B633" s="1896"/>
      <c r="C633" s="1896"/>
      <c r="D633" s="1896"/>
      <c r="E633" s="1896"/>
      <c r="F633" s="1896"/>
      <c r="G633" s="1896"/>
      <c r="H633" s="1853"/>
      <c r="I633" s="1854"/>
    </row>
    <row r="634" spans="1:9">
      <c r="A634" s="800"/>
      <c r="B634" s="800"/>
      <c r="C634" s="829"/>
      <c r="D634" s="841"/>
      <c r="E634" s="841"/>
      <c r="F634" s="841"/>
      <c r="G634" s="819"/>
    </row>
    <row r="635" spans="1:9">
      <c r="C635" s="840"/>
      <c r="D635" s="1990" t="s">
        <v>1334</v>
      </c>
      <c r="E635" s="1990"/>
      <c r="F635" s="1990"/>
      <c r="G635" s="819"/>
    </row>
    <row r="636" spans="1:9">
      <c r="A636" s="795"/>
      <c r="B636" s="795"/>
      <c r="C636" s="795"/>
      <c r="D636" s="1991" t="s">
        <v>1335</v>
      </c>
      <c r="E636" s="1991"/>
      <c r="F636" s="1991"/>
      <c r="G636" s="819"/>
    </row>
    <row r="637" spans="1:9">
      <c r="A637" s="795"/>
      <c r="B637" s="795"/>
      <c r="C637" s="795"/>
      <c r="D637" s="727"/>
      <c r="E637" s="727"/>
      <c r="F637" s="727"/>
      <c r="G637" s="819"/>
    </row>
    <row r="638" spans="1:9" ht="12.75" customHeight="1">
      <c r="B638" s="798" t="s">
        <v>2680</v>
      </c>
      <c r="C638" s="829"/>
      <c r="D638" s="1998" t="s">
        <v>1523</v>
      </c>
      <c r="E638" s="1998"/>
      <c r="F638" s="1998"/>
      <c r="I638" s="1774" t="s">
        <v>2505</v>
      </c>
    </row>
    <row r="639" spans="1:9">
      <c r="D639" s="1998"/>
      <c r="E639" s="1998"/>
      <c r="F639" s="1998"/>
    </row>
    <row r="640" spans="1:9">
      <c r="D640" s="1998"/>
      <c r="E640" s="1998"/>
      <c r="F640" s="1998"/>
    </row>
    <row r="641" spans="1:9">
      <c r="D641" s="1998"/>
      <c r="E641" s="1998"/>
      <c r="F641" s="1998"/>
    </row>
    <row r="642" spans="1:9" ht="14.5" customHeight="1">
      <c r="A642" s="797"/>
      <c r="B642" s="797"/>
      <c r="C642" s="829"/>
      <c r="D642" s="900"/>
      <c r="E642" s="900"/>
      <c r="F642" s="900"/>
      <c r="G642" s="819"/>
    </row>
    <row r="643" spans="1:9" ht="12.75" customHeight="1">
      <c r="A643" s="795"/>
      <c r="B643" s="798" t="s">
        <v>2680</v>
      </c>
      <c r="C643" s="829"/>
      <c r="D643" s="1998" t="s">
        <v>1526</v>
      </c>
      <c r="E643" s="1998"/>
      <c r="F643" s="1998"/>
      <c r="G643" s="819"/>
      <c r="I643" s="1774" t="s">
        <v>2505</v>
      </c>
    </row>
    <row r="644" spans="1:9">
      <c r="A644" s="795"/>
      <c r="B644" s="797"/>
      <c r="C644" s="829"/>
      <c r="D644" s="1998"/>
      <c r="E644" s="1998"/>
      <c r="F644" s="1998"/>
      <c r="G644" s="819"/>
    </row>
    <row r="645" spans="1:9">
      <c r="A645" s="795"/>
      <c r="B645" s="797"/>
      <c r="C645" s="829"/>
      <c r="D645" s="1998"/>
      <c r="E645" s="1998"/>
      <c r="F645" s="1998"/>
      <c r="G645" s="819"/>
    </row>
    <row r="646" spans="1:9">
      <c r="A646" s="795"/>
      <c r="B646" s="797"/>
      <c r="C646" s="829"/>
      <c r="D646" s="1998"/>
      <c r="E646" s="1998"/>
      <c r="F646" s="1998"/>
      <c r="G646" s="819"/>
    </row>
    <row r="647" spans="1:9">
      <c r="A647" s="795"/>
      <c r="B647" s="797"/>
      <c r="C647" s="829"/>
      <c r="D647" s="1998"/>
      <c r="E647" s="1998"/>
      <c r="F647" s="1998"/>
      <c r="G647" s="819"/>
    </row>
    <row r="648" spans="1:9" ht="14.25" customHeight="1">
      <c r="A648" s="795"/>
      <c r="B648" s="797"/>
      <c r="C648" s="829"/>
      <c r="F648" s="901"/>
      <c r="G648" s="819"/>
    </row>
    <row r="649" spans="1:9" ht="12.75" customHeight="1">
      <c r="A649" s="795"/>
      <c r="B649" s="798" t="s">
        <v>2680</v>
      </c>
      <c r="C649" s="829"/>
      <c r="D649" s="1998" t="s">
        <v>1524</v>
      </c>
      <c r="E649" s="1998"/>
      <c r="F649" s="1998"/>
      <c r="G649" s="819"/>
      <c r="I649" s="1774" t="s">
        <v>2505</v>
      </c>
    </row>
    <row r="650" spans="1:9">
      <c r="A650" s="795"/>
      <c r="B650" s="797"/>
      <c r="C650" s="829"/>
      <c r="D650" s="1998"/>
      <c r="E650" s="1998"/>
      <c r="F650" s="1998"/>
      <c r="G650" s="819"/>
    </row>
    <row r="651" spans="1:9">
      <c r="A651" s="797"/>
      <c r="B651" s="797"/>
      <c r="C651" s="829"/>
      <c r="D651" s="1998"/>
      <c r="E651" s="1998"/>
      <c r="F651" s="1998"/>
      <c r="G651" s="819"/>
    </row>
    <row r="652" spans="1:9">
      <c r="A652" s="797"/>
      <c r="B652" s="797"/>
      <c r="C652" s="829"/>
      <c r="D652" s="1998"/>
      <c r="E652" s="1998"/>
      <c r="F652" s="1998"/>
      <c r="G652" s="819"/>
    </row>
    <row r="653" spans="1:9">
      <c r="A653" s="797"/>
      <c r="B653" s="797"/>
      <c r="C653" s="829"/>
      <c r="D653" s="892"/>
      <c r="E653" s="892"/>
      <c r="F653" s="892"/>
      <c r="G653" s="819"/>
    </row>
    <row r="654" spans="1:9" ht="12.75" customHeight="1">
      <c r="A654" s="795"/>
      <c r="B654" s="798" t="s">
        <v>2680</v>
      </c>
      <c r="C654" s="829"/>
      <c r="D654" s="1998" t="s">
        <v>1525</v>
      </c>
      <c r="E654" s="1998"/>
      <c r="F654" s="1998"/>
      <c r="G654" s="819"/>
      <c r="I654" s="1774" t="s">
        <v>2505</v>
      </c>
    </row>
    <row r="655" spans="1:9" ht="12.75" customHeight="1">
      <c r="A655" s="795"/>
      <c r="B655" s="797"/>
      <c r="C655" s="829"/>
      <c r="D655" s="1998"/>
      <c r="E655" s="1998"/>
      <c r="F655" s="1998"/>
      <c r="G655" s="819"/>
    </row>
    <row r="656" spans="1:9" ht="12.75" customHeight="1">
      <c r="A656" s="795"/>
      <c r="B656" s="797"/>
      <c r="C656" s="829"/>
      <c r="D656" s="1998"/>
      <c r="E656" s="1998"/>
      <c r="F656" s="1998"/>
      <c r="G656" s="819"/>
    </row>
    <row r="657" spans="1:11" ht="12.75" customHeight="1">
      <c r="A657" s="795"/>
      <c r="B657" s="797"/>
      <c r="C657" s="829"/>
      <c r="D657" s="1998"/>
      <c r="E657" s="1998"/>
      <c r="F657" s="1998"/>
      <c r="G657" s="819"/>
    </row>
    <row r="658" spans="1:11" ht="12.75" customHeight="1">
      <c r="A658" s="795"/>
      <c r="B658" s="797"/>
      <c r="C658" s="829"/>
      <c r="D658" s="1998"/>
      <c r="E658" s="1998"/>
      <c r="F658" s="1998"/>
      <c r="G658" s="819"/>
    </row>
    <row r="659" spans="1:11" ht="12.75" customHeight="1">
      <c r="A659" s="795"/>
      <c r="B659" s="797"/>
      <c r="C659" s="829"/>
      <c r="D659" s="1998"/>
      <c r="E659" s="1998"/>
      <c r="F659" s="1998"/>
      <c r="G659" s="819"/>
    </row>
    <row r="660" spans="1:11" ht="12.75" customHeight="1">
      <c r="A660" s="795"/>
      <c r="B660" s="797"/>
      <c r="C660" s="829"/>
      <c r="D660" s="1998"/>
      <c r="E660" s="1998"/>
      <c r="F660" s="1998"/>
      <c r="G660" s="819"/>
    </row>
    <row r="661" spans="1:11" ht="12.75" customHeight="1">
      <c r="A661" s="795"/>
      <c r="B661" s="797"/>
      <c r="C661" s="829"/>
      <c r="D661" s="1998"/>
      <c r="E661" s="1998"/>
      <c r="F661" s="1998"/>
      <c r="G661" s="819"/>
    </row>
    <row r="662" spans="1:11" ht="12.75" customHeight="1">
      <c r="A662" s="795"/>
      <c r="B662" s="797"/>
      <c r="C662" s="829"/>
      <c r="D662" s="1998"/>
      <c r="E662" s="1998"/>
      <c r="F662" s="1998"/>
      <c r="G662" s="819"/>
    </row>
    <row r="663" spans="1:11">
      <c r="A663" s="829"/>
      <c r="B663" s="829"/>
      <c r="C663" s="829"/>
      <c r="D663" s="841"/>
      <c r="E663" s="841"/>
      <c r="F663" s="841"/>
      <c r="G663" s="819"/>
    </row>
    <row r="664" spans="1:11">
      <c r="A664" s="1896" t="s">
        <v>1176</v>
      </c>
      <c r="B664" s="1896"/>
      <c r="C664" s="1896"/>
      <c r="D664" s="1896"/>
      <c r="E664" s="1896"/>
      <c r="F664" s="1896"/>
      <c r="G664" s="1896"/>
      <c r="H664" s="1855"/>
      <c r="I664" s="1856"/>
      <c r="J664" s="842"/>
      <c r="K664" s="842"/>
    </row>
    <row r="665" spans="1:11">
      <c r="A665" s="735"/>
      <c r="B665" s="735"/>
      <c r="C665" s="735"/>
      <c r="D665" s="735"/>
      <c r="E665" s="735"/>
      <c r="F665" s="735"/>
      <c r="G665" s="735"/>
      <c r="H665" s="842"/>
      <c r="I665" s="1841"/>
      <c r="J665" s="842"/>
      <c r="K665" s="842"/>
    </row>
    <row r="666" spans="1:11">
      <c r="C666" s="840"/>
      <c r="D666" s="1913" t="s">
        <v>104</v>
      </c>
      <c r="E666" s="1913"/>
      <c r="F666" s="1913"/>
      <c r="G666" s="819"/>
      <c r="H666" s="842"/>
      <c r="I666" s="1841"/>
      <c r="J666" s="842"/>
      <c r="K666" s="842"/>
    </row>
    <row r="667" spans="1:11">
      <c r="A667" s="840"/>
      <c r="B667" s="840"/>
      <c r="C667" s="840"/>
      <c r="D667" s="1913" t="s">
        <v>128</v>
      </c>
      <c r="E667" s="1913"/>
      <c r="F667" s="1913"/>
      <c r="G667" s="819"/>
      <c r="H667" s="842"/>
      <c r="I667" s="1841"/>
      <c r="J667" s="842"/>
      <c r="K667" s="842"/>
    </row>
    <row r="668" spans="1:11">
      <c r="A668" s="795"/>
      <c r="B668" s="795"/>
      <c r="C668" s="795"/>
      <c r="D668" s="1916" t="s">
        <v>1212</v>
      </c>
      <c r="E668" s="1916"/>
      <c r="F668" s="1916"/>
      <c r="G668" s="819"/>
      <c r="H668" s="842"/>
      <c r="I668" s="1841"/>
      <c r="J668" s="842"/>
      <c r="K668" s="842"/>
    </row>
    <row r="669" spans="1:11">
      <c r="A669" s="795"/>
      <c r="B669" s="795"/>
      <c r="C669" s="795"/>
      <c r="G669" s="819"/>
      <c r="H669" s="842"/>
      <c r="I669" s="1841"/>
      <c r="J669" s="842"/>
      <c r="K669" s="842"/>
    </row>
    <row r="670" spans="1:11">
      <c r="A670" s="797"/>
      <c r="B670" s="798" t="s">
        <v>2679</v>
      </c>
      <c r="C670" s="795"/>
      <c r="D670" s="1916" t="s">
        <v>951</v>
      </c>
      <c r="E670" s="1916"/>
      <c r="F670" s="1916"/>
      <c r="G670" s="819"/>
      <c r="H670" s="842"/>
      <c r="I670" s="1841" t="s">
        <v>2479</v>
      </c>
      <c r="J670" s="842"/>
      <c r="K670" s="842"/>
    </row>
    <row r="671" spans="1:11">
      <c r="A671" s="795"/>
      <c r="B671" s="795"/>
      <c r="C671" s="795"/>
      <c r="D671" s="1916" t="s">
        <v>962</v>
      </c>
      <c r="E671" s="1916"/>
      <c r="F671" s="1916"/>
      <c r="G671" s="819"/>
      <c r="H671" s="842"/>
      <c r="I671" s="1841"/>
      <c r="J671" s="842"/>
      <c r="K671" s="842"/>
    </row>
    <row r="672" spans="1:11">
      <c r="A672" s="795"/>
      <c r="B672" s="795"/>
      <c r="C672" s="795"/>
      <c r="D672" s="672"/>
      <c r="E672" s="2008" t="s">
        <v>1213</v>
      </c>
      <c r="F672" s="2008"/>
      <c r="G672" s="819"/>
      <c r="H672" s="842"/>
      <c r="I672" s="1841"/>
      <c r="J672" s="842"/>
      <c r="K672" s="842"/>
    </row>
    <row r="673" spans="1:11">
      <c r="A673" s="795"/>
      <c r="B673" s="795"/>
      <c r="C673" s="795"/>
      <c r="D673" s="672"/>
      <c r="E673" s="2008"/>
      <c r="F673" s="2008"/>
      <c r="G673" s="819"/>
      <c r="H673" s="842"/>
      <c r="I673" s="1841"/>
      <c r="J673" s="842"/>
      <c r="K673" s="842"/>
    </row>
    <row r="674" spans="1:11">
      <c r="A674" s="795"/>
      <c r="B674" s="795"/>
      <c r="C674" s="795"/>
      <c r="D674" s="843"/>
      <c r="E674" s="800"/>
      <c r="G674" s="819"/>
      <c r="H674" s="842"/>
      <c r="I674" s="1841"/>
      <c r="J674" s="842"/>
      <c r="K674" s="842"/>
    </row>
    <row r="675" spans="1:11">
      <c r="A675" s="797"/>
      <c r="B675" s="798" t="s">
        <v>2680</v>
      </c>
      <c r="C675" s="795"/>
      <c r="D675" s="1914" t="s">
        <v>1405</v>
      </c>
      <c r="E675" s="1914"/>
      <c r="F675" s="1914"/>
      <c r="G675" s="819"/>
      <c r="H675" s="842"/>
      <c r="I675" s="1841" t="s">
        <v>2503</v>
      </c>
      <c r="J675" s="842"/>
      <c r="K675" s="842"/>
    </row>
    <row r="676" spans="1:11">
      <c r="A676" s="816"/>
      <c r="B676" s="816"/>
      <c r="C676" s="795"/>
      <c r="D676" s="1914"/>
      <c r="E676" s="1914"/>
      <c r="F676" s="1914"/>
      <c r="G676" s="819"/>
      <c r="H676" s="842"/>
      <c r="I676" s="1841"/>
      <c r="J676" s="842"/>
      <c r="K676" s="842"/>
    </row>
    <row r="677" spans="1:11">
      <c r="A677" s="795"/>
      <c r="B677" s="795"/>
      <c r="C677" s="795"/>
      <c r="D677" s="1914"/>
      <c r="E677" s="1914"/>
      <c r="F677" s="1914"/>
      <c r="G677" s="819"/>
      <c r="H677" s="842"/>
      <c r="I677" s="1841"/>
      <c r="J677" s="842"/>
      <c r="K677" s="842"/>
    </row>
    <row r="678" spans="1:11">
      <c r="A678" s="795"/>
      <c r="B678" s="795"/>
      <c r="C678" s="795"/>
      <c r="G678" s="819"/>
      <c r="H678" s="842"/>
      <c r="I678" s="1841" t="s">
        <v>2480</v>
      </c>
      <c r="J678" s="842"/>
      <c r="K678" s="842"/>
    </row>
    <row r="679" spans="1:11">
      <c r="A679" s="797"/>
      <c r="B679" s="798" t="s">
        <v>2679</v>
      </c>
      <c r="C679" s="795"/>
      <c r="D679" s="1916" t="s">
        <v>991</v>
      </c>
      <c r="E679" s="1916"/>
      <c r="F679" s="1916"/>
      <c r="G679" s="819"/>
      <c r="H679" s="842"/>
      <c r="I679" s="1841"/>
      <c r="J679" s="842"/>
      <c r="K679" s="842"/>
    </row>
    <row r="680" spans="1:11">
      <c r="A680" s="797"/>
      <c r="B680" s="797"/>
      <c r="C680" s="795"/>
      <c r="D680" s="1916" t="s">
        <v>962</v>
      </c>
      <c r="E680" s="1916"/>
      <c r="F680" s="1916"/>
      <c r="G680" s="819"/>
      <c r="H680" s="842"/>
      <c r="I680" s="1841"/>
      <c r="J680" s="842"/>
      <c r="K680" s="842"/>
    </row>
    <row r="681" spans="1:11">
      <c r="A681" s="795"/>
      <c r="B681" s="795"/>
      <c r="C681" s="795"/>
      <c r="D681" s="672"/>
      <c r="E681" s="1987" t="s">
        <v>1215</v>
      </c>
      <c r="F681" s="1987"/>
      <c r="G681" s="819"/>
      <c r="H681" s="842"/>
      <c r="I681" s="1841"/>
      <c r="J681" s="842"/>
      <c r="K681" s="842"/>
    </row>
    <row r="682" spans="1:11">
      <c r="A682" s="795"/>
      <c r="B682" s="795"/>
      <c r="C682" s="795"/>
      <c r="D682" s="794"/>
      <c r="G682" s="819"/>
      <c r="H682" s="842"/>
      <c r="I682" s="1841"/>
      <c r="J682" s="842"/>
      <c r="K682" s="842"/>
    </row>
    <row r="683" spans="1:11">
      <c r="A683" s="797"/>
      <c r="B683" s="798" t="s">
        <v>2680</v>
      </c>
      <c r="C683" s="795"/>
      <c r="D683" s="2000" t="s">
        <v>1225</v>
      </c>
      <c r="E683" s="2000"/>
      <c r="F683" s="2000"/>
      <c r="G683" s="819"/>
      <c r="H683" s="842"/>
      <c r="I683" s="1841" t="s">
        <v>2452</v>
      </c>
      <c r="J683" s="842"/>
      <c r="K683" s="842"/>
    </row>
    <row r="684" spans="1:11">
      <c r="A684" s="795"/>
      <c r="B684" s="795"/>
      <c r="C684" s="795"/>
      <c r="D684" s="2000"/>
      <c r="E684" s="2000"/>
      <c r="F684" s="2000"/>
      <c r="G684" s="819"/>
      <c r="H684" s="842"/>
      <c r="I684" s="1841"/>
      <c r="J684" s="842"/>
      <c r="K684" s="842"/>
    </row>
    <row r="685" spans="1:11">
      <c r="A685" s="795"/>
      <c r="B685" s="795"/>
      <c r="C685" s="795"/>
      <c r="D685" s="2000"/>
      <c r="E685" s="2000"/>
      <c r="F685" s="2000"/>
      <c r="G685" s="819"/>
      <c r="H685" s="842"/>
      <c r="I685" s="1841"/>
      <c r="J685" s="842"/>
      <c r="K685" s="842"/>
    </row>
    <row r="686" spans="1:11">
      <c r="A686" s="795"/>
      <c r="B686" s="795"/>
      <c r="C686" s="795"/>
      <c r="D686" s="2000"/>
      <c r="E686" s="2000"/>
      <c r="F686" s="2000"/>
      <c r="G686" s="819"/>
      <c r="H686" s="842"/>
      <c r="I686" s="1841"/>
      <c r="J686" s="842"/>
      <c r="K686" s="842"/>
    </row>
    <row r="687" spans="1:11">
      <c r="A687" s="795"/>
      <c r="B687" s="795"/>
      <c r="C687" s="795"/>
      <c r="D687" s="2000"/>
      <c r="E687" s="2000"/>
      <c r="F687" s="2000"/>
      <c r="G687" s="819"/>
      <c r="H687" s="842"/>
      <c r="I687" s="1841"/>
      <c r="J687" s="842"/>
      <c r="K687" s="842"/>
    </row>
    <row r="688" spans="1:11" s="791" customFormat="1">
      <c r="A688" s="834"/>
      <c r="B688" s="834"/>
      <c r="C688" s="834"/>
      <c r="D688" s="2000"/>
      <c r="E688" s="2000"/>
      <c r="F688" s="2000"/>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2680</v>
      </c>
      <c r="C690" s="834"/>
      <c r="D690" s="2000" t="s">
        <v>1407</v>
      </c>
      <c r="E690" s="2000"/>
      <c r="F690" s="2000"/>
      <c r="G690" s="844"/>
      <c r="H690" s="845"/>
      <c r="I690" s="1842" t="s">
        <v>2452</v>
      </c>
      <c r="J690" s="845"/>
      <c r="K690" s="845"/>
    </row>
    <row r="691" spans="1:11" s="791" customFormat="1">
      <c r="A691" s="834"/>
      <c r="B691" s="834"/>
      <c r="C691" s="834"/>
      <c r="D691" s="2000"/>
      <c r="E691" s="2000"/>
      <c r="F691" s="2000"/>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2680</v>
      </c>
      <c r="C693" s="795"/>
      <c r="D693" s="2000" t="s">
        <v>1216</v>
      </c>
      <c r="E693" s="2000"/>
      <c r="F693" s="2000"/>
      <c r="G693" s="819"/>
      <c r="H693" s="842"/>
      <c r="I693" s="1841" t="s">
        <v>2452</v>
      </c>
      <c r="J693" s="842"/>
      <c r="K693" s="842"/>
    </row>
    <row r="694" spans="1:11">
      <c r="A694" s="795"/>
      <c r="B694" s="795"/>
      <c r="C694" s="795"/>
      <c r="D694" s="2000"/>
      <c r="E694" s="2000"/>
      <c r="F694" s="2000"/>
      <c r="G694" s="819"/>
      <c r="H694" s="842"/>
      <c r="I694" s="1841"/>
      <c r="J694" s="842"/>
      <c r="K694" s="842"/>
    </row>
    <row r="695" spans="1:11">
      <c r="A695" s="795"/>
      <c r="B695" s="795"/>
      <c r="C695" s="795"/>
      <c r="D695" s="2000"/>
      <c r="E695" s="2000"/>
      <c r="F695" s="2000"/>
      <c r="G695" s="819"/>
      <c r="H695" s="842"/>
      <c r="I695" s="1841"/>
      <c r="J695" s="842"/>
      <c r="K695" s="842"/>
    </row>
    <row r="696" spans="1:11" ht="15" customHeight="1">
      <c r="A696" s="795"/>
      <c r="B696" s="795"/>
      <c r="C696" s="795"/>
      <c r="D696" s="2000"/>
      <c r="E696" s="2000"/>
      <c r="F696" s="2000"/>
      <c r="G696" s="819"/>
      <c r="H696" s="842"/>
      <c r="I696" s="1841"/>
      <c r="J696" s="842"/>
      <c r="K696" s="842"/>
    </row>
    <row r="697" spans="1:11" ht="15" customHeight="1">
      <c r="A697" s="795"/>
      <c r="B697" s="795"/>
      <c r="C697" s="795"/>
      <c r="D697" s="2000"/>
      <c r="E697" s="2000"/>
      <c r="F697" s="2000"/>
      <c r="G697" s="819"/>
      <c r="H697" s="842"/>
      <c r="I697" s="1841"/>
      <c r="J697" s="842"/>
      <c r="K697" s="842"/>
    </row>
    <row r="698" spans="1:11">
      <c r="A698" s="795"/>
      <c r="B698" s="795"/>
      <c r="C698" s="795"/>
      <c r="D698" s="2000"/>
      <c r="E698" s="2000"/>
      <c r="F698" s="2000"/>
      <c r="G698" s="819"/>
      <c r="H698" s="842"/>
      <c r="I698" s="1841"/>
      <c r="J698" s="842"/>
      <c r="K698" s="842"/>
    </row>
    <row r="699" spans="1:11">
      <c r="A699" s="795"/>
      <c r="B699" s="795"/>
      <c r="C699" s="795"/>
      <c r="D699" s="2000"/>
      <c r="E699" s="2000"/>
      <c r="F699" s="2000"/>
      <c r="G699" s="819"/>
      <c r="H699" s="842"/>
      <c r="I699" s="1841"/>
      <c r="J699" s="842"/>
      <c r="K699" s="842"/>
    </row>
    <row r="700" spans="1:11">
      <c r="A700" s="795"/>
      <c r="B700" s="795"/>
      <c r="C700" s="795"/>
      <c r="D700" s="2000"/>
      <c r="E700" s="2000"/>
      <c r="F700" s="2000"/>
      <c r="G700" s="819"/>
      <c r="H700" s="842"/>
      <c r="I700" s="1841"/>
      <c r="J700" s="842"/>
      <c r="K700" s="842"/>
    </row>
    <row r="701" spans="1:11" ht="15" customHeight="1">
      <c r="A701" s="795"/>
      <c r="B701" s="795"/>
      <c r="C701" s="795"/>
      <c r="D701" s="2000"/>
      <c r="E701" s="2000"/>
      <c r="F701" s="2000"/>
      <c r="G701" s="819"/>
      <c r="H701" s="842"/>
      <c r="I701" s="1841"/>
      <c r="J701" s="842"/>
      <c r="K701" s="842"/>
    </row>
    <row r="702" spans="1:11">
      <c r="A702" s="795"/>
      <c r="B702" s="795"/>
      <c r="C702" s="795"/>
      <c r="D702" s="2000"/>
      <c r="E702" s="2000"/>
      <c r="F702" s="2000"/>
      <c r="G702" s="819"/>
      <c r="H702" s="842"/>
      <c r="I702" s="1841"/>
      <c r="J702" s="842"/>
      <c r="K702" s="842"/>
    </row>
    <row r="703" spans="1:11">
      <c r="A703" s="795"/>
      <c r="B703" s="795"/>
      <c r="C703" s="795"/>
      <c r="D703" s="2000"/>
      <c r="E703" s="2000"/>
      <c r="F703" s="2000"/>
      <c r="G703" s="819"/>
      <c r="H703" s="842"/>
      <c r="I703" s="1841"/>
      <c r="J703" s="842"/>
      <c r="K703" s="842"/>
    </row>
    <row r="704" spans="1:11">
      <c r="A704" s="795"/>
      <c r="B704" s="795"/>
      <c r="C704" s="795"/>
      <c r="D704" s="2000"/>
      <c r="E704" s="2000"/>
      <c r="F704" s="2000"/>
      <c r="G704" s="819"/>
      <c r="H704" s="842"/>
      <c r="I704" s="1841"/>
      <c r="J704" s="842"/>
      <c r="K704" s="842"/>
    </row>
    <row r="705" spans="1:11">
      <c r="A705" s="795"/>
      <c r="B705" s="795"/>
      <c r="C705" s="795"/>
      <c r="D705" s="2000"/>
      <c r="E705" s="2000"/>
      <c r="F705" s="2000"/>
      <c r="G705" s="819"/>
      <c r="H705" s="842"/>
      <c r="I705" s="1841"/>
      <c r="J705" s="842"/>
      <c r="K705" s="842"/>
    </row>
    <row r="706" spans="1:11">
      <c r="A706" s="795"/>
      <c r="B706" s="798" t="s">
        <v>2680</v>
      </c>
      <c r="C706" s="795"/>
      <c r="D706" s="2000" t="s">
        <v>1223</v>
      </c>
      <c r="E706" s="2000"/>
      <c r="F706" s="2000"/>
      <c r="G706" s="819"/>
      <c r="H706" s="842"/>
      <c r="I706" s="1841" t="s">
        <v>2504</v>
      </c>
      <c r="J706" s="842"/>
      <c r="K706" s="842"/>
    </row>
    <row r="707" spans="1:11">
      <c r="A707" s="795"/>
      <c r="B707" s="795"/>
      <c r="C707" s="795"/>
      <c r="D707" s="2000"/>
      <c r="E707" s="2000"/>
      <c r="F707" s="2000"/>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2680</v>
      </c>
      <c r="C709" s="795"/>
      <c r="D709" s="2000" t="s">
        <v>1217</v>
      </c>
      <c r="E709" s="2000"/>
      <c r="F709" s="2000"/>
      <c r="G709" s="819"/>
      <c r="H709" s="842"/>
      <c r="I709" s="1841" t="s">
        <v>2504</v>
      </c>
      <c r="J709" s="842"/>
      <c r="K709" s="842"/>
    </row>
    <row r="710" spans="1:11">
      <c r="A710" s="795"/>
      <c r="B710" s="795"/>
      <c r="C710" s="795"/>
      <c r="D710" s="2000"/>
      <c r="E710" s="2000"/>
      <c r="F710" s="2000"/>
      <c r="G710" s="819"/>
      <c r="H710" s="842"/>
      <c r="I710" s="1841"/>
      <c r="J710" s="842"/>
      <c r="K710" s="842"/>
    </row>
    <row r="711" spans="1:11">
      <c r="A711" s="795"/>
      <c r="B711" s="795"/>
      <c r="C711" s="795"/>
      <c r="D711" s="2000"/>
      <c r="E711" s="2000"/>
      <c r="F711" s="2000"/>
      <c r="G711" s="819"/>
      <c r="H711" s="842"/>
      <c r="I711" s="1841"/>
      <c r="J711" s="842"/>
      <c r="K711" s="842"/>
    </row>
    <row r="712" spans="1:11">
      <c r="A712" s="795"/>
      <c r="B712" s="795"/>
      <c r="C712" s="795"/>
      <c r="D712" s="802"/>
      <c r="G712" s="819"/>
      <c r="H712" s="842"/>
      <c r="I712" s="1841"/>
      <c r="J712" s="842"/>
      <c r="K712" s="842"/>
    </row>
    <row r="713" spans="1:11">
      <c r="A713" s="795"/>
      <c r="B713" s="798" t="s">
        <v>2680</v>
      </c>
      <c r="C713" s="795"/>
      <c r="D713" s="2000" t="s">
        <v>1218</v>
      </c>
      <c r="E713" s="2000"/>
      <c r="F713" s="2000"/>
      <c r="G713" s="819"/>
      <c r="H713" s="842"/>
      <c r="I713" s="1841" t="s">
        <v>2504</v>
      </c>
      <c r="J713" s="842"/>
      <c r="K713" s="842"/>
    </row>
    <row r="714" spans="1:11">
      <c r="A714" s="795"/>
      <c r="B714" s="795"/>
      <c r="C714" s="795"/>
      <c r="D714" s="2000"/>
      <c r="E714" s="2000"/>
      <c r="F714" s="2000"/>
      <c r="G714" s="819"/>
      <c r="H714" s="842"/>
      <c r="I714" s="1841"/>
      <c r="J714" s="842"/>
      <c r="K714" s="842"/>
    </row>
    <row r="715" spans="1:11">
      <c r="A715" s="795"/>
      <c r="B715" s="795"/>
      <c r="C715" s="795"/>
      <c r="D715" s="2000"/>
      <c r="E715" s="2000"/>
      <c r="F715" s="2000"/>
      <c r="G715" s="819"/>
      <c r="H715" s="842"/>
      <c r="I715" s="1841"/>
      <c r="J715" s="842"/>
      <c r="K715" s="842"/>
    </row>
    <row r="716" spans="1:11">
      <c r="A716" s="795"/>
      <c r="B716" s="795"/>
      <c r="C716" s="795"/>
      <c r="D716" s="790"/>
      <c r="G716" s="819"/>
      <c r="H716" s="842"/>
      <c r="I716" s="1841"/>
      <c r="J716" s="842"/>
      <c r="K716" s="842"/>
    </row>
    <row r="717" spans="1:11">
      <c r="A717" s="797"/>
      <c r="B717" s="798" t="s">
        <v>2680</v>
      </c>
      <c r="C717" s="795"/>
      <c r="D717" s="1914" t="s">
        <v>1219</v>
      </c>
      <c r="E717" s="1914"/>
      <c r="F717" s="1914"/>
      <c r="G717" s="819"/>
      <c r="H717" s="842"/>
      <c r="I717" s="1841" t="s">
        <v>2453</v>
      </c>
      <c r="J717" s="842"/>
      <c r="K717" s="842"/>
    </row>
    <row r="718" spans="1:11">
      <c r="A718" s="795"/>
      <c r="B718" s="795"/>
      <c r="C718" s="795"/>
      <c r="D718" s="1914"/>
      <c r="E718" s="1914"/>
      <c r="F718" s="1914"/>
      <c r="G718" s="819"/>
      <c r="H718" s="842"/>
      <c r="I718" s="1841"/>
      <c r="J718" s="842"/>
      <c r="K718" s="842"/>
    </row>
    <row r="719" spans="1:11">
      <c r="A719" s="795"/>
      <c r="B719" s="795"/>
      <c r="C719" s="795"/>
      <c r="D719" s="1914"/>
      <c r="E719" s="1914"/>
      <c r="F719" s="1914"/>
      <c r="G719" s="819"/>
      <c r="H719" s="842"/>
      <c r="I719" s="1841"/>
      <c r="J719" s="842"/>
      <c r="K719" s="842"/>
    </row>
    <row r="720" spans="1:11">
      <c r="A720" s="795"/>
      <c r="B720" s="795"/>
      <c r="C720" s="795"/>
      <c r="D720" s="1914"/>
      <c r="E720" s="1914"/>
      <c r="F720" s="1914"/>
      <c r="G720" s="819"/>
      <c r="H720" s="842"/>
      <c r="I720" s="1841"/>
      <c r="J720" s="842"/>
      <c r="K720" s="842"/>
    </row>
    <row r="721" spans="1:11">
      <c r="A721" s="795"/>
      <c r="B721" s="795"/>
      <c r="C721" s="795"/>
      <c r="D721" s="822"/>
      <c r="G721" s="819"/>
      <c r="H721" s="842"/>
      <c r="I721" s="1841"/>
      <c r="J721" s="842"/>
      <c r="K721" s="842"/>
    </row>
    <row r="722" spans="1:11">
      <c r="A722" s="797"/>
      <c r="B722" s="798" t="s">
        <v>2680</v>
      </c>
      <c r="C722" s="795"/>
      <c r="D722" s="2000" t="s">
        <v>1352</v>
      </c>
      <c r="E722" s="2000"/>
      <c r="F722" s="2000"/>
      <c r="G722" s="819"/>
      <c r="H722" s="842"/>
      <c r="I722" s="1841" t="s">
        <v>2469</v>
      </c>
      <c r="J722" s="842"/>
      <c r="K722" s="842"/>
    </row>
    <row r="723" spans="1:11">
      <c r="A723" s="795"/>
      <c r="B723" s="795"/>
      <c r="C723" s="795"/>
      <c r="D723" s="2000"/>
      <c r="E723" s="2000"/>
      <c r="F723" s="2000"/>
      <c r="G723" s="819"/>
      <c r="H723" s="842"/>
      <c r="I723" s="1841"/>
      <c r="J723" s="842"/>
      <c r="K723" s="842"/>
    </row>
    <row r="724" spans="1:11">
      <c r="A724" s="795"/>
      <c r="B724" s="795"/>
      <c r="C724" s="795"/>
      <c r="D724" s="2000"/>
      <c r="E724" s="2000"/>
      <c r="F724" s="2000"/>
      <c r="G724" s="819"/>
      <c r="H724" s="842"/>
      <c r="I724" s="1841"/>
      <c r="J724" s="842"/>
      <c r="K724" s="842"/>
    </row>
    <row r="725" spans="1:11">
      <c r="A725" s="795"/>
      <c r="B725" s="795"/>
      <c r="C725" s="795"/>
      <c r="D725" s="2000"/>
      <c r="E725" s="2000"/>
      <c r="F725" s="2000"/>
      <c r="G725" s="819"/>
      <c r="H725" s="842"/>
      <c r="I725" s="1841"/>
      <c r="J725" s="842"/>
      <c r="K725" s="842"/>
    </row>
    <row r="726" spans="1:11">
      <c r="A726" s="795"/>
      <c r="B726" s="795"/>
      <c r="C726" s="795"/>
      <c r="D726" s="2000"/>
      <c r="E726" s="2000"/>
      <c r="F726" s="2000"/>
      <c r="G726" s="819"/>
      <c r="H726" s="842"/>
      <c r="I726" s="1841"/>
      <c r="J726" s="842"/>
      <c r="K726" s="842"/>
    </row>
    <row r="727" spans="1:11">
      <c r="A727" s="795"/>
      <c r="B727" s="795"/>
      <c r="C727" s="795"/>
      <c r="D727" s="2000"/>
      <c r="E727" s="2000"/>
      <c r="F727" s="2000"/>
      <c r="G727" s="819"/>
      <c r="H727" s="842"/>
      <c r="I727" s="1841"/>
      <c r="J727" s="842"/>
      <c r="K727" s="842"/>
    </row>
    <row r="728" spans="1:11">
      <c r="A728" s="795"/>
      <c r="B728" s="795"/>
      <c r="C728" s="795"/>
      <c r="D728" s="2000"/>
      <c r="E728" s="2000"/>
      <c r="F728" s="2000"/>
      <c r="G728" s="819"/>
      <c r="H728" s="842"/>
      <c r="I728" s="1841"/>
      <c r="J728" s="842"/>
      <c r="K728" s="842"/>
    </row>
    <row r="729" spans="1:11">
      <c r="A729" s="795"/>
      <c r="B729" s="795"/>
      <c r="C729" s="795"/>
      <c r="D729" s="1944" t="s">
        <v>1220</v>
      </c>
      <c r="E729" s="1944"/>
      <c r="F729" s="1944"/>
      <c r="G729" s="819"/>
      <c r="H729" s="842"/>
      <c r="I729" s="1841"/>
      <c r="J729" s="842"/>
      <c r="K729" s="842"/>
    </row>
    <row r="730" spans="1:11">
      <c r="A730" s="795"/>
      <c r="B730" s="795"/>
      <c r="C730" s="795"/>
      <c r="D730" s="782"/>
      <c r="G730" s="819"/>
      <c r="H730" s="842"/>
      <c r="I730" s="1841"/>
      <c r="J730" s="842"/>
      <c r="K730" s="842"/>
    </row>
    <row r="731" spans="1:11">
      <c r="A731" s="1946" t="s">
        <v>1177</v>
      </c>
      <c r="B731" s="1946"/>
      <c r="C731" s="1946"/>
      <c r="D731" s="1946"/>
      <c r="E731" s="1946"/>
      <c r="F731" s="1946"/>
      <c r="G731" s="1946"/>
      <c r="H731" s="1855"/>
      <c r="I731" s="1856"/>
      <c r="J731" s="842"/>
      <c r="K731" s="842"/>
    </row>
    <row r="732" spans="1:11">
      <c r="A732" s="795"/>
      <c r="B732" s="795"/>
      <c r="C732" s="795"/>
      <c r="D732" s="822"/>
      <c r="G732" s="847"/>
      <c r="H732" s="842"/>
      <c r="I732" s="1841"/>
      <c r="J732" s="842"/>
      <c r="K732" s="842"/>
    </row>
    <row r="733" spans="1:11" ht="13.75" customHeight="1">
      <c r="C733" s="795"/>
      <c r="D733" s="1985" t="s">
        <v>1193</v>
      </c>
      <c r="E733" s="1985"/>
      <c r="F733" s="1985"/>
      <c r="G733" s="847"/>
      <c r="H733" s="842"/>
      <c r="I733" s="1841"/>
      <c r="J733" s="842"/>
      <c r="K733" s="842"/>
    </row>
    <row r="734" spans="1:11">
      <c r="A734" s="795"/>
      <c r="B734" s="795"/>
      <c r="C734" s="795"/>
      <c r="D734" s="1940" t="s">
        <v>1194</v>
      </c>
      <c r="E734" s="1940"/>
      <c r="F734" s="1940"/>
      <c r="G734" s="847"/>
      <c r="H734" s="842"/>
      <c r="I734" s="1841"/>
      <c r="J734" s="842"/>
      <c r="K734" s="842"/>
    </row>
    <row r="735" spans="1:11">
      <c r="A735" s="795"/>
      <c r="B735" s="795"/>
      <c r="C735" s="795"/>
      <c r="G735" s="847"/>
      <c r="H735" s="842"/>
      <c r="I735" s="1841"/>
      <c r="J735" s="842"/>
      <c r="K735" s="842"/>
    </row>
    <row r="736" spans="1:11" s="791" customFormat="1">
      <c r="A736" s="797"/>
      <c r="B736" s="798" t="s">
        <v>2679</v>
      </c>
      <c r="C736" s="788"/>
      <c r="D736" s="1914" t="s">
        <v>1195</v>
      </c>
      <c r="E736" s="1914"/>
      <c r="F736" s="1914"/>
      <c r="G736" s="847"/>
      <c r="H736" s="845"/>
      <c r="I736" s="1842" t="s">
        <v>2454</v>
      </c>
      <c r="J736" s="845"/>
      <c r="K736" s="845"/>
    </row>
    <row r="737" spans="1:11" s="791" customFormat="1" ht="10.5" customHeight="1">
      <c r="A737" s="788"/>
      <c r="B737" s="788"/>
      <c r="C737" s="788"/>
      <c r="D737" s="1914"/>
      <c r="E737" s="1914"/>
      <c r="F737" s="1914"/>
      <c r="G737" s="847"/>
      <c r="H737" s="845"/>
      <c r="I737" s="1842"/>
      <c r="J737" s="845"/>
      <c r="K737" s="845"/>
    </row>
    <row r="738" spans="1:11" s="791" customFormat="1">
      <c r="A738" s="788"/>
      <c r="B738" s="788"/>
      <c r="C738" s="788"/>
      <c r="D738" s="1914"/>
      <c r="E738" s="1914"/>
      <c r="F738" s="1914"/>
      <c r="G738" s="847"/>
      <c r="H738" s="845"/>
      <c r="I738" s="1842"/>
      <c r="J738" s="845"/>
      <c r="K738" s="845"/>
    </row>
    <row r="739" spans="1:11">
      <c r="D739" s="1914"/>
      <c r="E739" s="1914"/>
      <c r="F739" s="1914"/>
      <c r="G739" s="847"/>
      <c r="H739" s="842"/>
      <c r="I739" s="1841"/>
      <c r="J739" s="842"/>
      <c r="K739" s="842"/>
    </row>
    <row r="740" spans="1:11">
      <c r="A740" s="801"/>
      <c r="B740" s="801"/>
      <c r="C740" s="801"/>
      <c r="D740" s="1914"/>
      <c r="E740" s="1914"/>
      <c r="F740" s="1914"/>
      <c r="G740" s="848"/>
      <c r="H740" s="842"/>
      <c r="I740" s="1841"/>
      <c r="J740" s="842"/>
      <c r="K740" s="842"/>
    </row>
    <row r="741" spans="1:11" ht="15.65" customHeight="1">
      <c r="A741" s="801"/>
      <c r="B741" s="801"/>
      <c r="C741" s="801"/>
      <c r="D741" s="1914"/>
      <c r="E741" s="1914"/>
      <c r="F741" s="1914"/>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2680</v>
      </c>
      <c r="C743" s="851"/>
      <c r="D743" s="1915" t="s">
        <v>1458</v>
      </c>
      <c r="E743" s="1915"/>
      <c r="F743" s="1915"/>
      <c r="G743" s="852"/>
      <c r="I743" s="1843" t="s">
        <v>2454</v>
      </c>
    </row>
    <row r="744" spans="1:11" s="853" customFormat="1">
      <c r="A744" s="851"/>
      <c r="B744" s="851"/>
      <c r="C744" s="851"/>
      <c r="D744" s="1915"/>
      <c r="E744" s="1915"/>
      <c r="F744" s="1915"/>
      <c r="G744" s="852"/>
      <c r="I744" s="1843"/>
    </row>
    <row r="745" spans="1:11" s="853" customFormat="1">
      <c r="A745" s="851"/>
      <c r="B745" s="851"/>
      <c r="C745" s="851"/>
      <c r="D745" s="1915"/>
      <c r="E745" s="1915"/>
      <c r="F745" s="1915"/>
      <c r="G745" s="852"/>
      <c r="I745" s="1843"/>
    </row>
    <row r="746" spans="1:11" s="853" customFormat="1">
      <c r="A746" s="851"/>
      <c r="B746" s="851"/>
      <c r="C746" s="851"/>
      <c r="D746" s="1915"/>
      <c r="E746" s="1915"/>
      <c r="F746" s="1915"/>
      <c r="G746" s="852"/>
      <c r="I746" s="1843"/>
    </row>
    <row r="747" spans="1:11" s="853" customFormat="1">
      <c r="A747" s="851"/>
      <c r="B747" s="851"/>
      <c r="C747" s="851"/>
      <c r="D747" s="837"/>
      <c r="E747" s="852"/>
      <c r="F747" s="852"/>
      <c r="G747" s="852"/>
      <c r="I747" s="1843"/>
    </row>
    <row r="748" spans="1:11" s="853" customFormat="1">
      <c r="A748" s="797"/>
      <c r="B748" s="798" t="s">
        <v>2680</v>
      </c>
      <c r="C748" s="851"/>
      <c r="D748" s="2009" t="s">
        <v>1459</v>
      </c>
      <c r="E748" s="2009"/>
      <c r="F748" s="2009"/>
      <c r="G748" s="852"/>
      <c r="I748" s="1843" t="s">
        <v>2455</v>
      </c>
    </row>
    <row r="749" spans="1:11" s="853" customFormat="1">
      <c r="A749" s="851"/>
      <c r="B749" s="851"/>
      <c r="C749" s="851"/>
      <c r="D749" s="2009"/>
      <c r="E749" s="2009"/>
      <c r="F749" s="2009"/>
      <c r="G749" s="852"/>
      <c r="I749" s="1843"/>
    </row>
    <row r="750" spans="1:11" s="853" customFormat="1">
      <c r="A750" s="851"/>
      <c r="B750" s="851"/>
      <c r="C750" s="851"/>
      <c r="D750" s="2009"/>
      <c r="E750" s="2009"/>
      <c r="F750" s="2009"/>
      <c r="G750" s="852"/>
      <c r="I750" s="1843"/>
    </row>
    <row r="751" spans="1:11">
      <c r="A751" s="801"/>
      <c r="B751" s="801"/>
      <c r="C751" s="801"/>
      <c r="D751" s="837"/>
      <c r="E751" s="849"/>
      <c r="F751" s="849"/>
      <c r="G751" s="848"/>
      <c r="H751" s="842"/>
      <c r="I751" s="1841"/>
      <c r="J751" s="842"/>
      <c r="K751" s="842"/>
    </row>
    <row r="752" spans="1:11">
      <c r="A752" s="797"/>
      <c r="B752" s="798" t="s">
        <v>2680</v>
      </c>
      <c r="C752" s="801"/>
      <c r="D752" s="1915" t="s">
        <v>1402</v>
      </c>
      <c r="E752" s="1915"/>
      <c r="F752" s="1915"/>
      <c r="G752" s="848"/>
      <c r="H752" s="842"/>
      <c r="I752" s="1841" t="s">
        <v>2454</v>
      </c>
      <c r="J752" s="842"/>
      <c r="K752" s="842"/>
    </row>
    <row r="753" spans="1:11">
      <c r="A753" s="801"/>
      <c r="B753" s="801"/>
      <c r="C753" s="801"/>
      <c r="D753" s="1915"/>
      <c r="E753" s="1915"/>
      <c r="F753" s="191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2680</v>
      </c>
      <c r="C755" s="801"/>
      <c r="D755" s="1915" t="s">
        <v>1424</v>
      </c>
      <c r="E755" s="1915"/>
      <c r="F755" s="1915"/>
      <c r="G755" s="848"/>
      <c r="H755" s="842"/>
      <c r="I755" s="1841" t="s">
        <v>2454</v>
      </c>
      <c r="J755" s="842"/>
      <c r="K755" s="842"/>
    </row>
    <row r="756" spans="1:11">
      <c r="A756" s="801"/>
      <c r="B756" s="801"/>
      <c r="C756" s="801"/>
      <c r="D756" s="1915"/>
      <c r="E756" s="1915"/>
      <c r="F756" s="1915"/>
      <c r="G756" s="848"/>
      <c r="H756" s="842"/>
      <c r="I756" s="1841"/>
      <c r="J756" s="842"/>
      <c r="K756" s="842"/>
    </row>
    <row r="757" spans="1:11">
      <c r="A757" s="801"/>
      <c r="B757" s="801"/>
      <c r="C757" s="801"/>
      <c r="D757" s="1915"/>
      <c r="E757" s="1915"/>
      <c r="F757" s="1915"/>
      <c r="G757" s="848"/>
      <c r="H757" s="842"/>
      <c r="I757" s="1841"/>
      <c r="J757" s="842"/>
      <c r="K757" s="842"/>
    </row>
    <row r="758" spans="1:11">
      <c r="A758" s="801"/>
      <c r="B758" s="801"/>
      <c r="C758" s="801"/>
      <c r="D758" s="781"/>
      <c r="E758" s="781"/>
      <c r="F758" s="781"/>
      <c r="G758" s="848"/>
      <c r="H758" s="842"/>
      <c r="I758" s="1841"/>
      <c r="J758" s="842"/>
      <c r="K758" s="842"/>
    </row>
    <row r="759" spans="1:11">
      <c r="A759" s="2006" t="s">
        <v>2323</v>
      </c>
      <c r="B759" s="2006"/>
      <c r="C759" s="2006"/>
      <c r="D759" s="2006"/>
      <c r="E759" s="2006"/>
      <c r="F759" s="2006"/>
      <c r="G759" s="2006"/>
      <c r="H759" s="1853"/>
      <c r="I759" s="1854"/>
    </row>
    <row r="760" spans="1:11">
      <c r="A760" s="93"/>
      <c r="B760" s="93"/>
      <c r="C760" s="1732"/>
      <c r="D760" s="155"/>
      <c r="E760" s="155"/>
      <c r="F760" s="155"/>
      <c r="G760" s="686"/>
    </row>
    <row r="761" spans="1:11">
      <c r="A761" s="93"/>
      <c r="B761" s="93"/>
      <c r="C761" s="1732"/>
      <c r="D761" s="2007" t="s">
        <v>2382</v>
      </c>
      <c r="E761" s="2007"/>
      <c r="F761" s="2007"/>
      <c r="G761" s="686"/>
    </row>
    <row r="762" spans="1:11">
      <c r="A762" s="93"/>
      <c r="B762" s="93"/>
      <c r="C762" s="1732"/>
      <c r="D762" s="1989" t="s">
        <v>2268</v>
      </c>
      <c r="E762" s="1989"/>
      <c r="F762" s="1989"/>
      <c r="G762" s="686"/>
    </row>
    <row r="763" spans="1:11">
      <c r="A763" s="93"/>
      <c r="B763" s="93"/>
      <c r="C763" s="1732"/>
      <c r="D763" s="733"/>
      <c r="E763" s="733"/>
      <c r="F763" s="733"/>
      <c r="G763" s="686"/>
    </row>
    <row r="764" spans="1:11">
      <c r="A764" s="93"/>
      <c r="B764" s="798" t="s">
        <v>2679</v>
      </c>
      <c r="C764" s="1732"/>
      <c r="D764" s="1936" t="s">
        <v>2269</v>
      </c>
      <c r="E764" s="1936"/>
      <c r="F764" s="1936"/>
      <c r="G764" s="686"/>
      <c r="I764" s="1841" t="s">
        <v>2506</v>
      </c>
    </row>
    <row r="765" spans="1:11">
      <c r="A765" s="93"/>
      <c r="B765" s="93"/>
      <c r="C765" s="1732"/>
      <c r="D765" s="1936"/>
      <c r="E765" s="1936"/>
      <c r="F765" s="1936"/>
      <c r="G765" s="686"/>
    </row>
    <row r="766" spans="1:11">
      <c r="A766" s="720"/>
      <c r="B766" s="720"/>
      <c r="C766" s="313"/>
      <c r="D766" s="1936"/>
      <c r="E766" s="1936"/>
      <c r="F766" s="1936"/>
      <c r="G766" s="1733"/>
    </row>
    <row r="767" spans="1:11">
      <c r="A767" s="1726"/>
      <c r="B767" s="1726"/>
      <c r="C767" s="1734"/>
      <c r="D767" s="1710"/>
      <c r="E767" s="686"/>
      <c r="F767" s="686"/>
      <c r="G767" s="686"/>
    </row>
    <row r="768" spans="1:11">
      <c r="A768" s="267"/>
      <c r="B768" s="798" t="s">
        <v>2680</v>
      </c>
      <c r="C768" s="1735"/>
      <c r="D768" s="1936" t="s">
        <v>2270</v>
      </c>
      <c r="E768" s="1936"/>
      <c r="F768" s="1936"/>
      <c r="G768" s="686"/>
      <c r="I768" s="1841" t="s">
        <v>2506</v>
      </c>
    </row>
    <row r="769" spans="1:9">
      <c r="A769" s="1736"/>
      <c r="B769" s="1736"/>
      <c r="C769" s="1737"/>
      <c r="D769" s="1936"/>
      <c r="E769" s="1936"/>
      <c r="F769" s="1936"/>
      <c r="G769" s="686"/>
    </row>
    <row r="770" spans="1:9">
      <c r="A770" s="267"/>
      <c r="B770" s="267"/>
      <c r="C770" s="1735"/>
      <c r="D770" s="1936"/>
      <c r="E770" s="1936"/>
      <c r="F770" s="1936"/>
      <c r="G770" s="686"/>
    </row>
    <row r="771" spans="1:9">
      <c r="A771" s="720"/>
      <c r="B771" s="720"/>
      <c r="C771" s="313"/>
      <c r="D771" s="6"/>
      <c r="E771" s="1738"/>
      <c r="F771" s="1738"/>
      <c r="G771" s="1739"/>
    </row>
    <row r="772" spans="1:9">
      <c r="A772" s="714"/>
      <c r="B772" s="798" t="s">
        <v>2680</v>
      </c>
      <c r="C772" s="1740"/>
      <c r="D772" s="1936" t="s">
        <v>2271</v>
      </c>
      <c r="E772" s="1936"/>
      <c r="F772" s="1936"/>
      <c r="G772" s="1739"/>
      <c r="I772" s="1841" t="s">
        <v>2506</v>
      </c>
    </row>
    <row r="773" spans="1:9">
      <c r="A773" s="714"/>
      <c r="B773" s="714"/>
      <c r="C773" s="1740"/>
      <c r="D773" s="1936"/>
      <c r="E773" s="1936"/>
      <c r="F773" s="1936"/>
      <c r="G773" s="1739"/>
    </row>
    <row r="774" spans="1:9">
      <c r="A774" s="714"/>
      <c r="B774" s="714"/>
      <c r="C774" s="1740"/>
      <c r="D774" s="1936"/>
      <c r="E774" s="1936"/>
      <c r="F774" s="1936"/>
      <c r="G774" s="1739"/>
    </row>
    <row r="775" spans="1:9">
      <c r="A775" s="714"/>
      <c r="B775" s="714"/>
      <c r="C775" s="1740"/>
      <c r="D775" s="1708"/>
      <c r="E775" s="6"/>
      <c r="F775" s="6"/>
      <c r="G775" s="1739"/>
    </row>
    <row r="776" spans="1:9">
      <c r="A776" s="714"/>
      <c r="B776" s="798" t="s">
        <v>2680</v>
      </c>
      <c r="C776" s="1740"/>
      <c r="D776" s="1936" t="s">
        <v>2272</v>
      </c>
      <c r="E776" s="1936"/>
      <c r="F776" s="1936"/>
      <c r="G776" s="1739"/>
      <c r="I776" s="1841" t="s">
        <v>2506</v>
      </c>
    </row>
    <row r="777" spans="1:9">
      <c r="A777" s="714"/>
      <c r="B777" s="714"/>
      <c r="C777" s="1740"/>
      <c r="D777" s="1936"/>
      <c r="E777" s="1936"/>
      <c r="F777" s="1936"/>
      <c r="G777" s="1739"/>
    </row>
    <row r="778" spans="1:9">
      <c r="A778" s="714"/>
      <c r="B778" s="714"/>
      <c r="C778" s="1740"/>
      <c r="D778" s="1936"/>
      <c r="E778" s="1936"/>
      <c r="F778" s="1936"/>
      <c r="G778" s="1739"/>
    </row>
    <row r="779" spans="1:9">
      <c r="A779" s="714"/>
      <c r="B779" s="714"/>
      <c r="C779" s="1740"/>
      <c r="D779" s="1936"/>
      <c r="E779" s="1936"/>
      <c r="F779" s="1936"/>
      <c r="G779" s="1739"/>
    </row>
    <row r="780" spans="1:9">
      <c r="A780" s="714"/>
      <c r="B780" s="714"/>
      <c r="C780" s="1740"/>
      <c r="D780" s="1936"/>
      <c r="E780" s="1936"/>
      <c r="F780" s="1936"/>
      <c r="G780" s="1739"/>
    </row>
    <row r="781" spans="1:9">
      <c r="A781" s="714"/>
      <c r="B781" s="714"/>
      <c r="C781" s="1740"/>
      <c r="D781" s="1936"/>
      <c r="E781" s="1936"/>
      <c r="F781" s="1936"/>
      <c r="G781" s="1739"/>
    </row>
    <row r="782" spans="1:9">
      <c r="A782" s="714"/>
      <c r="B782" s="714"/>
      <c r="C782" s="1740"/>
      <c r="D782" s="1936" t="s">
        <v>2324</v>
      </c>
      <c r="E782" s="1936"/>
      <c r="F782" s="1936"/>
      <c r="G782" s="1739"/>
    </row>
    <row r="783" spans="1:9">
      <c r="A783" s="714"/>
      <c r="B783" s="714"/>
      <c r="C783" s="1740"/>
      <c r="D783" s="1936"/>
      <c r="E783" s="1936"/>
      <c r="F783" s="1936"/>
      <c r="G783" s="1739"/>
    </row>
    <row r="784" spans="1:9">
      <c r="A784" s="714"/>
      <c r="B784" s="714"/>
      <c r="C784" s="1740"/>
      <c r="D784" s="1936"/>
      <c r="E784" s="1936"/>
      <c r="F784" s="1936"/>
      <c r="G784" s="1739"/>
    </row>
    <row r="785" spans="1:9">
      <c r="A785" s="714"/>
      <c r="B785" s="556"/>
      <c r="C785" s="1740"/>
      <c r="D785" s="1741"/>
      <c r="E785" s="1741"/>
      <c r="F785" s="1741"/>
      <c r="G785" s="1739"/>
    </row>
    <row r="786" spans="1:9">
      <c r="A786" s="714"/>
      <c r="B786" s="798" t="s">
        <v>2680</v>
      </c>
      <c r="C786" s="1740"/>
      <c r="D786" s="1936" t="s">
        <v>2273</v>
      </c>
      <c r="E786" s="1936"/>
      <c r="F786" s="1936"/>
      <c r="G786" s="1739"/>
      <c r="I786" s="1841" t="s">
        <v>2506</v>
      </c>
    </row>
    <row r="787" spans="1:9">
      <c r="A787" s="714"/>
      <c r="B787" s="714"/>
      <c r="C787" s="1740"/>
      <c r="D787" s="1936"/>
      <c r="E787" s="1936"/>
      <c r="F787" s="1936"/>
      <c r="G787" s="1739"/>
    </row>
    <row r="788" spans="1:9">
      <c r="A788" s="714"/>
      <c r="B788" s="714"/>
      <c r="C788" s="1740"/>
      <c r="D788" s="1936"/>
      <c r="E788" s="1936"/>
      <c r="F788" s="1936"/>
      <c r="G788" s="1739"/>
    </row>
    <row r="789" spans="1:9">
      <c r="A789" s="714"/>
      <c r="B789" s="714"/>
      <c r="C789" s="1740"/>
      <c r="D789" s="1936"/>
      <c r="E789" s="1936"/>
      <c r="F789" s="1936"/>
      <c r="G789" s="1739"/>
    </row>
    <row r="790" spans="1:9">
      <c r="A790" s="714"/>
      <c r="B790" s="714"/>
      <c r="C790" s="1740"/>
      <c r="D790" s="1936"/>
      <c r="E790" s="1936"/>
      <c r="F790" s="1936"/>
      <c r="G790" s="1739"/>
    </row>
    <row r="791" spans="1:9">
      <c r="A791" s="714"/>
      <c r="B791" s="714"/>
      <c r="C791" s="1740"/>
      <c r="D791" s="1936"/>
      <c r="E791" s="1936"/>
      <c r="F791" s="1936"/>
      <c r="G791" s="1739"/>
    </row>
    <row r="792" spans="1:9">
      <c r="A792" s="714"/>
      <c r="B792" s="714"/>
      <c r="C792" s="1740"/>
      <c r="D792" s="1717"/>
      <c r="E792" s="1717"/>
      <c r="F792" s="1717"/>
      <c r="G792" s="1739"/>
    </row>
    <row r="793" spans="1:9">
      <c r="A793" s="714"/>
      <c r="B793" s="798" t="s">
        <v>316</v>
      </c>
      <c r="C793" s="1740"/>
      <c r="D793" s="1936" t="s">
        <v>2274</v>
      </c>
      <c r="E793" s="1936"/>
      <c r="F793" s="1936"/>
      <c r="G793" s="1739"/>
      <c r="I793" s="1841" t="s">
        <v>2506</v>
      </c>
    </row>
    <row r="794" spans="1:9">
      <c r="A794" s="714"/>
      <c r="B794" s="714"/>
      <c r="C794" s="1740"/>
      <c r="D794" s="1936"/>
      <c r="E794" s="1936"/>
      <c r="F794" s="1936"/>
      <c r="G794" s="1739"/>
    </row>
    <row r="795" spans="1:9">
      <c r="A795" s="714"/>
      <c r="B795" s="714"/>
      <c r="C795" s="1740"/>
      <c r="D795" s="1936"/>
      <c r="E795" s="1936"/>
      <c r="F795" s="1936"/>
      <c r="G795" s="1739"/>
    </row>
    <row r="796" spans="1:9">
      <c r="A796" s="714"/>
      <c r="B796" s="714"/>
      <c r="C796" s="1740"/>
      <c r="D796" s="1936"/>
      <c r="E796" s="1936"/>
      <c r="F796" s="1936"/>
      <c r="G796" s="1739"/>
    </row>
    <row r="797" spans="1:9">
      <c r="A797" s="714"/>
      <c r="B797" s="714"/>
      <c r="C797" s="1740"/>
      <c r="D797" s="1936"/>
      <c r="E797" s="1936"/>
      <c r="F797" s="1936"/>
      <c r="G797" s="1739"/>
    </row>
    <row r="798" spans="1:9">
      <c r="A798" s="714"/>
      <c r="B798" s="714"/>
      <c r="C798" s="1740"/>
      <c r="D798" s="1936"/>
      <c r="E798" s="1936"/>
      <c r="F798" s="1936"/>
      <c r="G798" s="1739"/>
    </row>
    <row r="799" spans="1:9">
      <c r="A799" s="714"/>
      <c r="B799" s="714"/>
      <c r="C799" s="1740"/>
      <c r="D799" s="1717"/>
      <c r="E799" s="1717"/>
      <c r="F799" s="1717"/>
      <c r="G799" s="1739"/>
    </row>
    <row r="800" spans="1:9">
      <c r="A800" s="714"/>
      <c r="B800" s="798" t="s">
        <v>2679</v>
      </c>
      <c r="C800" s="1740"/>
      <c r="D800" s="1933" t="s">
        <v>2275</v>
      </c>
      <c r="E800" s="1933"/>
      <c r="F800" s="1933"/>
      <c r="G800" s="1739"/>
      <c r="I800" s="1841" t="s">
        <v>2506</v>
      </c>
    </row>
    <row r="801" spans="1:9">
      <c r="A801" s="714"/>
      <c r="B801" s="714"/>
      <c r="C801" s="1740"/>
      <c r="D801" s="1933"/>
      <c r="E801" s="1933"/>
      <c r="F801" s="1933"/>
      <c r="G801" s="1739"/>
    </row>
    <row r="802" spans="1:9">
      <c r="A802" s="1725"/>
      <c r="B802" s="1725"/>
      <c r="C802" s="1740"/>
      <c r="D802" s="1933"/>
      <c r="E802" s="1933"/>
      <c r="F802" s="1933"/>
      <c r="G802" s="1739"/>
    </row>
    <row r="803" spans="1:9">
      <c r="A803" s="714"/>
      <c r="B803" s="1725"/>
      <c r="C803" s="1740"/>
      <c r="D803" s="1933"/>
      <c r="E803" s="1933"/>
      <c r="F803" s="1933"/>
      <c r="G803" s="1739"/>
    </row>
    <row r="804" spans="1:9" ht="12.75" customHeight="1">
      <c r="A804" s="714"/>
      <c r="B804" s="1725"/>
      <c r="C804" s="1740"/>
      <c r="D804" s="1933"/>
      <c r="E804" s="1933"/>
      <c r="F804" s="1933"/>
      <c r="G804" s="1739"/>
    </row>
    <row r="805" spans="1:9" ht="12.75" customHeight="1">
      <c r="A805" s="714"/>
      <c r="B805" s="1725"/>
      <c r="C805" s="1740"/>
      <c r="D805" s="1933"/>
      <c r="E805" s="1933"/>
      <c r="F805" s="1933"/>
      <c r="G805" s="1739"/>
    </row>
    <row r="806" spans="1:9" ht="12.75" customHeight="1">
      <c r="A806" s="1725"/>
      <c r="B806" s="1725"/>
      <c r="C806" s="1740"/>
      <c r="D806" s="1738"/>
      <c r="E806" s="6"/>
      <c r="F806" s="6"/>
      <c r="G806" s="1739"/>
    </row>
    <row r="807" spans="1:9" ht="12.75" customHeight="1">
      <c r="A807" s="1945" t="s">
        <v>2276</v>
      </c>
      <c r="B807" s="1945"/>
      <c r="C807" s="1945"/>
      <c r="D807" s="1945"/>
      <c r="E807" s="1945"/>
      <c r="F807" s="1945"/>
      <c r="G807" s="1945"/>
      <c r="H807" s="1853"/>
      <c r="I807" s="1854"/>
    </row>
    <row r="808" spans="1:9" ht="12.75" customHeight="1">
      <c r="A808" s="1714"/>
      <c r="B808" s="1714"/>
      <c r="C808" s="1740"/>
      <c r="D808" s="1738"/>
      <c r="E808" s="1738"/>
      <c r="F808" s="1738"/>
      <c r="G808" s="1739"/>
    </row>
    <row r="809" spans="1:9" ht="12.75" customHeight="1">
      <c r="A809" s="714"/>
      <c r="B809" s="714"/>
      <c r="C809" s="556"/>
      <c r="D809" s="1925" t="s">
        <v>2325</v>
      </c>
      <c r="E809" s="1925"/>
      <c r="F809" s="1925"/>
      <c r="G809" s="678"/>
    </row>
    <row r="810" spans="1:9" ht="14.25" customHeight="1">
      <c r="A810" s="714"/>
      <c r="B810" s="714"/>
      <c r="C810" s="556"/>
      <c r="D810" s="1876" t="s">
        <v>2277</v>
      </c>
      <c r="E810" s="1876"/>
      <c r="F810" s="1876"/>
      <c r="G810" s="678"/>
    </row>
    <row r="811" spans="1:9" ht="12.75" customHeight="1">
      <c r="A811" s="714"/>
      <c r="B811" s="714"/>
      <c r="C811" s="556"/>
      <c r="D811" s="1703"/>
      <c r="E811" s="1703"/>
      <c r="F811" s="1703"/>
      <c r="G811" s="678"/>
    </row>
    <row r="812" spans="1:9" ht="12.75" customHeight="1">
      <c r="A812" s="1742"/>
      <c r="B812" s="798" t="s">
        <v>2679</v>
      </c>
      <c r="C812" s="1740"/>
      <c r="D812" s="1876" t="s">
        <v>2278</v>
      </c>
      <c r="E812" s="1876"/>
      <c r="F812" s="1876"/>
      <c r="G812" s="678"/>
      <c r="I812" s="1774" t="s">
        <v>2472</v>
      </c>
    </row>
    <row r="813" spans="1:9" ht="14.25" customHeight="1">
      <c r="A813" s="1725"/>
      <c r="B813" s="1725"/>
      <c r="C813" s="1740"/>
      <c r="D813" s="5" t="s">
        <v>2254</v>
      </c>
      <c r="E813" s="1885" t="s">
        <v>2279</v>
      </c>
      <c r="F813" s="1885"/>
      <c r="G813" s="678"/>
    </row>
    <row r="814" spans="1:9" ht="12.75" customHeight="1">
      <c r="A814" s="1725"/>
      <c r="B814" s="1725"/>
      <c r="C814" s="1740"/>
      <c r="D814" s="1743"/>
      <c r="E814" s="6"/>
      <c r="F814" s="6"/>
      <c r="G814" s="678"/>
    </row>
    <row r="815" spans="1:9" ht="14.25" hidden="1" customHeight="1">
      <c r="A815" s="1725"/>
      <c r="B815" s="798" t="s">
        <v>316</v>
      </c>
      <c r="C815" s="1740"/>
      <c r="D815" s="1983" t="s">
        <v>2280</v>
      </c>
      <c r="E815" s="1983"/>
      <c r="F815" s="1983"/>
      <c r="G815" s="678"/>
    </row>
    <row r="816" spans="1:9" ht="12.75" hidden="1" customHeight="1">
      <c r="A816" s="1725"/>
      <c r="B816" s="1725"/>
      <c r="C816" s="1740"/>
      <c r="D816" s="1983"/>
      <c r="E816" s="1983"/>
      <c r="F816" s="1983"/>
      <c r="G816" s="678"/>
    </row>
    <row r="817" spans="1:9" ht="12.75" hidden="1" customHeight="1">
      <c r="A817" s="1725"/>
      <c r="B817" s="1725"/>
      <c r="C817" s="1740"/>
      <c r="D817" s="1983"/>
      <c r="E817" s="1983"/>
      <c r="F817" s="1983"/>
      <c r="G817" s="678"/>
    </row>
    <row r="818" spans="1:9" ht="12.75" hidden="1" customHeight="1">
      <c r="A818" s="1725"/>
      <c r="B818" s="1725"/>
      <c r="C818" s="1740"/>
      <c r="D818" s="1983"/>
      <c r="E818" s="1983"/>
      <c r="F818" s="1983"/>
      <c r="G818" s="678"/>
    </row>
    <row r="819" spans="1:9" ht="12.75" hidden="1" customHeight="1">
      <c r="A819" s="1725"/>
      <c r="B819" s="1725"/>
      <c r="C819" s="1740"/>
      <c r="D819" s="1983"/>
      <c r="E819" s="1983"/>
      <c r="F819" s="1983"/>
      <c r="G819" s="678"/>
    </row>
    <row r="820" spans="1:9" ht="12.75" hidden="1" customHeight="1">
      <c r="A820" s="1725"/>
      <c r="B820" s="1725"/>
      <c r="C820" s="1740"/>
      <c r="D820" s="1983"/>
      <c r="E820" s="1983"/>
      <c r="F820" s="1983"/>
      <c r="G820" s="678"/>
    </row>
    <row r="821" spans="1:9" ht="12.75" hidden="1" customHeight="1">
      <c r="A821" s="1725"/>
      <c r="B821" s="1725"/>
      <c r="C821" s="1740"/>
      <c r="D821" s="1983"/>
      <c r="E821" s="1983"/>
      <c r="F821" s="1983"/>
      <c r="G821" s="678"/>
    </row>
    <row r="822" spans="1:9" ht="12.75" hidden="1" customHeight="1">
      <c r="A822" s="1725"/>
      <c r="B822" s="1725"/>
      <c r="C822" s="1740"/>
      <c r="D822" s="1983"/>
      <c r="E822" s="1983"/>
      <c r="F822" s="1983"/>
      <c r="G822" s="678"/>
    </row>
    <row r="823" spans="1:9" ht="12.75" hidden="1" customHeight="1">
      <c r="A823" s="1725"/>
      <c r="B823" s="1725"/>
      <c r="C823" s="1740"/>
      <c r="D823" s="1983"/>
      <c r="E823" s="1983"/>
      <c r="F823" s="1983"/>
      <c r="G823" s="678"/>
    </row>
    <row r="824" spans="1:9" ht="12.75" hidden="1" customHeight="1">
      <c r="A824" s="1725"/>
      <c r="B824" s="1725"/>
      <c r="C824" s="1740"/>
      <c r="D824" s="1983"/>
      <c r="E824" s="1983"/>
      <c r="F824" s="1983"/>
      <c r="G824" s="678"/>
    </row>
    <row r="825" spans="1:9" ht="12.75" hidden="1" customHeight="1">
      <c r="A825" s="1725"/>
      <c r="B825" s="1725"/>
      <c r="C825" s="1740"/>
      <c r="D825" s="1743"/>
      <c r="E825" s="6"/>
      <c r="F825" s="6"/>
      <c r="G825" s="678"/>
    </row>
    <row r="826" spans="1:9" ht="12.75" customHeight="1">
      <c r="A826" s="714"/>
      <c r="B826" s="798" t="s">
        <v>2679</v>
      </c>
      <c r="C826" s="1740"/>
      <c r="D826" s="1876" t="s">
        <v>2281</v>
      </c>
      <c r="E826" s="1876"/>
      <c r="F826" s="1876"/>
      <c r="G826" s="678"/>
      <c r="I826" s="1774" t="s">
        <v>2492</v>
      </c>
    </row>
    <row r="827" spans="1:9" ht="12.75" customHeight="1">
      <c r="A827" s="714"/>
      <c r="B827" s="714"/>
      <c r="C827" s="1740"/>
      <c r="D827" s="1876"/>
      <c r="E827" s="1876"/>
      <c r="F827" s="1876"/>
      <c r="G827" s="678"/>
    </row>
    <row r="828" spans="1:9" ht="12.75" customHeight="1">
      <c r="A828" s="714"/>
      <c r="B828" s="714"/>
      <c r="C828" s="1740"/>
      <c r="D828" s="1876"/>
      <c r="E828" s="1876"/>
      <c r="F828" s="1876"/>
      <c r="G828" s="678"/>
    </row>
    <row r="829" spans="1:9" ht="12.75" customHeight="1">
      <c r="A829" s="403"/>
      <c r="B829" s="403"/>
      <c r="C829" s="1744"/>
      <c r="D829" s="1721"/>
      <c r="E829" s="678"/>
      <c r="F829" s="678"/>
      <c r="G829" s="678"/>
    </row>
    <row r="830" spans="1:9" ht="12.75" customHeight="1">
      <c r="A830" s="1745"/>
      <c r="B830" s="798" t="s">
        <v>2680</v>
      </c>
      <c r="C830" s="1744"/>
      <c r="D830" s="1981" t="s">
        <v>2282</v>
      </c>
      <c r="E830" s="1981"/>
      <c r="F830" s="1981"/>
      <c r="G830" s="678"/>
    </row>
    <row r="831" spans="1:9" ht="12.75" customHeight="1">
      <c r="A831" s="556"/>
      <c r="B831" s="1745"/>
      <c r="C831" s="1744"/>
      <c r="D831" s="1981"/>
      <c r="E831" s="1981"/>
      <c r="F831" s="1981"/>
      <c r="G831" s="678"/>
    </row>
    <row r="832" spans="1:9" ht="12.75" customHeight="1">
      <c r="A832" s="403"/>
      <c r="B832" s="556"/>
      <c r="C832" s="1744"/>
      <c r="D832" s="1877" t="s">
        <v>2283</v>
      </c>
      <c r="E832" s="1877"/>
      <c r="F832" s="1877"/>
      <c r="G832" s="678"/>
    </row>
    <row r="833" spans="1:9" ht="12.75" customHeight="1">
      <c r="A833" s="403"/>
      <c r="B833" s="403"/>
      <c r="C833" s="1744"/>
      <c r="D833" s="1877"/>
      <c r="E833" s="1877"/>
      <c r="F833" s="1877"/>
      <c r="G833" s="678"/>
    </row>
    <row r="834" spans="1:9" ht="12.75" customHeight="1">
      <c r="A834" s="403"/>
      <c r="B834" s="403"/>
      <c r="C834" s="1744"/>
      <c r="D834" s="1877"/>
      <c r="E834" s="1877"/>
      <c r="F834" s="1877"/>
      <c r="G834" s="678"/>
    </row>
    <row r="835" spans="1:9" ht="12.75" customHeight="1">
      <c r="A835" s="403"/>
      <c r="B835" s="403"/>
      <c r="C835" s="1744"/>
      <c r="D835" s="1877"/>
      <c r="E835" s="1877"/>
      <c r="F835" s="1877"/>
      <c r="G835" s="678"/>
    </row>
    <row r="836" spans="1:9" ht="12.75" customHeight="1">
      <c r="A836" s="403"/>
      <c r="B836" s="403"/>
      <c r="C836" s="1744"/>
      <c r="D836" s="1877"/>
      <c r="E836" s="1877"/>
      <c r="F836" s="1877"/>
      <c r="G836" s="678"/>
    </row>
    <row r="837" spans="1:9" ht="12.75" customHeight="1">
      <c r="A837" s="403"/>
      <c r="B837" s="403"/>
      <c r="C837" s="1744"/>
      <c r="D837" s="1877"/>
      <c r="E837" s="1877"/>
      <c r="F837" s="1877"/>
      <c r="G837" s="678"/>
    </row>
    <row r="838" spans="1:9" ht="12.75" customHeight="1">
      <c r="A838" s="403"/>
      <c r="B838" s="403"/>
      <c r="C838" s="1744"/>
      <c r="D838" s="1721"/>
      <c r="E838" s="678"/>
      <c r="F838" s="678"/>
      <c r="G838" s="678"/>
    </row>
    <row r="839" spans="1:9" ht="12.75" customHeight="1">
      <c r="A839" s="403"/>
      <c r="B839" s="798" t="s">
        <v>2679</v>
      </c>
      <c r="C839" s="1744"/>
      <c r="D839" s="1877" t="s">
        <v>2284</v>
      </c>
      <c r="E839" s="1877"/>
      <c r="F839" s="1877"/>
      <c r="G839" s="678"/>
      <c r="I839" s="1774" t="s">
        <v>2473</v>
      </c>
    </row>
    <row r="840" spans="1:9" ht="12.75" customHeight="1">
      <c r="A840" s="403"/>
      <c r="B840" s="403"/>
      <c r="C840" s="1744"/>
      <c r="D840" s="1877" t="s">
        <v>2285</v>
      </c>
      <c r="E840" s="1877"/>
      <c r="F840" s="1877"/>
      <c r="G840" s="678"/>
    </row>
    <row r="841" spans="1:9" ht="12.75" customHeight="1">
      <c r="A841" s="403"/>
      <c r="B841" s="403"/>
      <c r="C841" s="1744"/>
      <c r="D841" s="183" t="s">
        <v>2251</v>
      </c>
      <c r="E841" s="1975" t="s">
        <v>2286</v>
      </c>
      <c r="F841" s="1975"/>
      <c r="G841" s="678"/>
    </row>
    <row r="842" spans="1:9" ht="12.75" customHeight="1">
      <c r="A842" s="403"/>
      <c r="B842" s="403"/>
      <c r="C842" s="1744"/>
      <c r="D842" s="1721"/>
      <c r="E842" s="678"/>
      <c r="F842" s="678"/>
      <c r="G842" s="678"/>
    </row>
    <row r="843" spans="1:9" ht="12.75" customHeight="1">
      <c r="A843" s="403"/>
      <c r="B843" s="798" t="s">
        <v>2680</v>
      </c>
      <c r="C843" s="1744"/>
      <c r="D843" s="1877" t="s">
        <v>2287</v>
      </c>
      <c r="E843" s="1877"/>
      <c r="F843" s="1877"/>
      <c r="G843" s="678"/>
      <c r="I843" s="1774" t="s">
        <v>2493</v>
      </c>
    </row>
    <row r="844" spans="1:9" ht="12.75" customHeight="1">
      <c r="A844" s="403"/>
      <c r="B844" s="403"/>
      <c r="C844" s="1744"/>
      <c r="D844" s="1877"/>
      <c r="E844" s="1877"/>
      <c r="F844" s="1877"/>
      <c r="G844" s="678"/>
    </row>
    <row r="845" spans="1:9" ht="12.75" customHeight="1">
      <c r="A845" s="403"/>
      <c r="B845" s="403"/>
      <c r="C845" s="1744"/>
      <c r="D845" s="1877"/>
      <c r="E845" s="1877"/>
      <c r="F845" s="1877"/>
      <c r="G845" s="678"/>
    </row>
    <row r="846" spans="1:9" ht="12.75" customHeight="1">
      <c r="A846" s="403"/>
      <c r="B846" s="403"/>
      <c r="C846" s="1744"/>
      <c r="D846" s="1877"/>
      <c r="E846" s="1877"/>
      <c r="F846" s="1877"/>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9" t="s">
        <v>2326</v>
      </c>
      <c r="E850" s="1899"/>
      <c r="F850" s="1899"/>
      <c r="G850" s="1739"/>
    </row>
    <row r="851" spans="1:9" ht="12.75" customHeight="1">
      <c r="A851" s="1742"/>
      <c r="B851" s="1742"/>
      <c r="C851" s="313"/>
      <c r="D851" s="1982" t="s">
        <v>2289</v>
      </c>
      <c r="E851" s="1982"/>
      <c r="F851" s="1982"/>
      <c r="G851" s="1739"/>
    </row>
    <row r="852" spans="1:9" ht="12.75" customHeight="1">
      <c r="A852" s="1742"/>
      <c r="B852" s="1742"/>
      <c r="C852" s="313"/>
      <c r="D852" s="1750"/>
      <c r="E852" s="1750"/>
      <c r="F852" s="1750"/>
      <c r="G852" s="1739"/>
    </row>
    <row r="853" spans="1:9" ht="12.75" customHeight="1">
      <c r="A853" s="714"/>
      <c r="B853" s="798" t="s">
        <v>2679</v>
      </c>
      <c r="C853" s="556"/>
      <c r="D853" s="1889" t="s">
        <v>2290</v>
      </c>
      <c r="E853" s="1889"/>
      <c r="F853" s="1889"/>
      <c r="G853" s="1739"/>
      <c r="I853" s="1774" t="s">
        <v>2473</v>
      </c>
    </row>
    <row r="854" spans="1:9" ht="12.75" customHeight="1">
      <c r="A854" s="1742"/>
      <c r="B854" s="1742"/>
      <c r="C854" s="556"/>
      <c r="D854" s="5" t="s">
        <v>2251</v>
      </c>
      <c r="E854" s="1977" t="s">
        <v>2286</v>
      </c>
      <c r="F854" s="1977"/>
      <c r="G854" s="1739"/>
    </row>
    <row r="855" spans="1:9" ht="12.75" customHeight="1">
      <c r="A855" s="1742"/>
      <c r="B855" s="1742"/>
      <c r="C855" s="556"/>
      <c r="D855" s="1708"/>
      <c r="E855" s="1738"/>
      <c r="F855" s="1738"/>
      <c r="G855" s="1739"/>
    </row>
    <row r="856" spans="1:9" ht="12.75" customHeight="1">
      <c r="A856" s="714"/>
      <c r="B856" s="798" t="s">
        <v>2679</v>
      </c>
      <c r="C856" s="556"/>
      <c r="D856" s="1876" t="s">
        <v>2291</v>
      </c>
      <c r="E856" s="1900"/>
      <c r="F856" s="1900"/>
      <c r="G856" s="678"/>
      <c r="I856" s="1774" t="s">
        <v>2493</v>
      </c>
    </row>
    <row r="857" spans="1:9" ht="12.75" customHeight="1">
      <c r="A857" s="1742"/>
      <c r="B857" s="1742"/>
      <c r="C857" s="556"/>
      <c r="D857" s="1900"/>
      <c r="E857" s="1900"/>
      <c r="F857" s="1900"/>
      <c r="G857" s="678"/>
    </row>
    <row r="858" spans="1:9" ht="12.75" customHeight="1">
      <c r="A858" s="1742"/>
      <c r="B858" s="1742"/>
      <c r="C858" s="556"/>
      <c r="D858" s="1708"/>
      <c r="E858" s="6"/>
      <c r="F858" s="6"/>
      <c r="G858" s="678"/>
    </row>
    <row r="859" spans="1:9" ht="12.75" customHeight="1">
      <c r="A859" s="556"/>
      <c r="B859" s="798" t="s">
        <v>2680</v>
      </c>
      <c r="C859" s="557"/>
      <c r="D859" s="1978" t="s">
        <v>2292</v>
      </c>
      <c r="E859" s="1978"/>
      <c r="F859" s="1978"/>
      <c r="G859" s="1739"/>
    </row>
    <row r="860" spans="1:9" ht="12.75" customHeight="1">
      <c r="A860" s="556"/>
      <c r="B860" s="1751"/>
      <c r="C860" s="557"/>
      <c r="D860" s="1978"/>
      <c r="E860" s="1978"/>
      <c r="F860" s="1978"/>
      <c r="G860" s="1739"/>
    </row>
    <row r="861" spans="1:9" ht="12.75" customHeight="1">
      <c r="A861" s="714"/>
      <c r="B861" s="677"/>
      <c r="C861" s="556"/>
      <c r="D861" s="1877" t="s">
        <v>2283</v>
      </c>
      <c r="E861" s="1877"/>
      <c r="F861" s="1877"/>
      <c r="G861" s="1739"/>
    </row>
    <row r="862" spans="1:9" ht="12.75" customHeight="1">
      <c r="A862" s="714"/>
      <c r="B862" s="714"/>
      <c r="C862" s="556"/>
      <c r="D862" s="1877"/>
      <c r="E862" s="1877"/>
      <c r="F862" s="1877"/>
      <c r="G862" s="1739"/>
    </row>
    <row r="863" spans="1:9" ht="12.75" customHeight="1">
      <c r="A863" s="714"/>
      <c r="B863" s="714"/>
      <c r="C863" s="556"/>
      <c r="D863" s="1877"/>
      <c r="E863" s="1877"/>
      <c r="F863" s="1877"/>
      <c r="G863" s="1739"/>
    </row>
    <row r="864" spans="1:9" ht="12.75" customHeight="1">
      <c r="A864" s="714"/>
      <c r="B864" s="714"/>
      <c r="C864" s="556"/>
      <c r="D864" s="1877"/>
      <c r="E864" s="1877"/>
      <c r="F864" s="1877"/>
      <c r="G864" s="1739"/>
    </row>
    <row r="865" spans="1:9" ht="12.75" customHeight="1">
      <c r="A865" s="714"/>
      <c r="B865" s="714"/>
      <c r="C865" s="556"/>
      <c r="D865" s="1877"/>
      <c r="E865" s="1877"/>
      <c r="F865" s="1877"/>
      <c r="G865" s="1739"/>
    </row>
    <row r="866" spans="1:9" ht="12.75" customHeight="1">
      <c r="A866" s="714"/>
      <c r="B866" s="714"/>
      <c r="C866" s="556"/>
      <c r="D866" s="1877"/>
      <c r="E866" s="1877"/>
      <c r="F866" s="1877"/>
      <c r="G866" s="1739"/>
    </row>
    <row r="867" spans="1:9" ht="12.75" customHeight="1">
      <c r="A867" s="714"/>
      <c r="B867" s="714"/>
      <c r="C867" s="556"/>
      <c r="D867" s="1708"/>
      <c r="E867" s="1738"/>
      <c r="F867" s="1738"/>
      <c r="G867" s="1739"/>
    </row>
    <row r="868" spans="1:9" ht="12.75" customHeight="1">
      <c r="A868" s="714"/>
      <c r="B868" s="798" t="s">
        <v>2680</v>
      </c>
      <c r="C868" s="556"/>
      <c r="D868" s="1942" t="s">
        <v>2284</v>
      </c>
      <c r="E868" s="1942"/>
      <c r="F868" s="1942"/>
      <c r="G868" s="1739"/>
      <c r="I868" s="1774" t="s">
        <v>2473</v>
      </c>
    </row>
    <row r="869" spans="1:9" ht="12.75" customHeight="1">
      <c r="A869" s="714"/>
      <c r="B869" s="714"/>
      <c r="C869" s="556"/>
      <c r="D869" s="1942" t="s">
        <v>2285</v>
      </c>
      <c r="E869" s="1942"/>
      <c r="F869" s="1942"/>
      <c r="G869" s="1739"/>
    </row>
    <row r="870" spans="1:9" ht="12.75" customHeight="1">
      <c r="A870" s="714"/>
      <c r="B870" s="714"/>
      <c r="C870" s="556"/>
      <c r="D870" s="5" t="s">
        <v>1503</v>
      </c>
      <c r="E870" s="1979" t="s">
        <v>2286</v>
      </c>
      <c r="F870" s="1979"/>
      <c r="G870" s="1739"/>
    </row>
    <row r="871" spans="1:9" ht="12.75" customHeight="1">
      <c r="A871" s="714"/>
      <c r="B871" s="714"/>
      <c r="C871" s="556"/>
      <c r="D871" s="1708"/>
      <c r="E871" s="1738"/>
      <c r="F871" s="1738"/>
      <c r="G871" s="1739"/>
    </row>
    <row r="872" spans="1:9" ht="12.75" customHeight="1">
      <c r="A872" s="714"/>
      <c r="B872" s="798" t="s">
        <v>2680</v>
      </c>
      <c r="C872" s="556"/>
      <c r="D872" s="1876" t="s">
        <v>2287</v>
      </c>
      <c r="E872" s="1876"/>
      <c r="F872" s="1876"/>
      <c r="G872" s="1739"/>
      <c r="I872" s="1774" t="s">
        <v>2493</v>
      </c>
    </row>
    <row r="873" spans="1:9" ht="12.75" customHeight="1">
      <c r="A873" s="714"/>
      <c r="B873" s="714"/>
      <c r="C873" s="556"/>
      <c r="D873" s="1876"/>
      <c r="E873" s="1876"/>
      <c r="F873" s="1876"/>
      <c r="G873" s="1739"/>
    </row>
    <row r="874" spans="1:9" ht="12.75" customHeight="1">
      <c r="A874" s="714"/>
      <c r="B874" s="714"/>
      <c r="C874" s="556"/>
      <c r="D874" s="1876"/>
      <c r="E874" s="1876"/>
      <c r="F874" s="1876"/>
      <c r="G874" s="1739"/>
    </row>
    <row r="875" spans="1:9" ht="12.75" customHeight="1">
      <c r="A875" s="714"/>
      <c r="B875" s="714"/>
      <c r="C875" s="556"/>
      <c r="D875" s="1876"/>
      <c r="E875" s="1876"/>
      <c r="F875" s="1876"/>
      <c r="G875" s="1739"/>
    </row>
    <row r="876" spans="1:9" ht="12.75" customHeight="1">
      <c r="A876" s="1709"/>
      <c r="B876" s="1709"/>
      <c r="C876" s="1740"/>
      <c r="D876" s="1738"/>
      <c r="E876" s="1738"/>
      <c r="F876" s="1738"/>
      <c r="G876" s="1739"/>
    </row>
    <row r="877" spans="1:9" ht="12.75" customHeight="1">
      <c r="A877" s="1945" t="s">
        <v>2327</v>
      </c>
      <c r="B877" s="1945"/>
      <c r="C877" s="1945"/>
      <c r="D877" s="1945"/>
      <c r="E877" s="1945"/>
      <c r="F877" s="1945"/>
      <c r="G877" s="194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35" t="s">
        <v>2333</v>
      </c>
      <c r="E879" s="1935"/>
      <c r="F879" s="193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2679</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35" t="s">
        <v>2328</v>
      </c>
      <c r="E883" s="1935"/>
      <c r="F883" s="1935"/>
      <c r="G883" s="1739"/>
    </row>
    <row r="884" spans="1:9" ht="12.75" customHeight="1">
      <c r="A884" s="1714"/>
      <c r="B884" s="1714"/>
      <c r="C884" s="1746"/>
      <c r="D884" s="1889" t="s">
        <v>2293</v>
      </c>
      <c r="E884" s="1889"/>
      <c r="F884" s="1889"/>
      <c r="G884" s="1739"/>
    </row>
    <row r="885" spans="1:9" ht="12.75" customHeight="1">
      <c r="A885" s="1756"/>
      <c r="B885" s="1756"/>
      <c r="C885" s="1740"/>
      <c r="D885" s="5"/>
      <c r="E885" s="1738"/>
      <c r="F885" s="1738"/>
      <c r="G885" s="1739"/>
    </row>
    <row r="886" spans="1:9" ht="12.75" customHeight="1">
      <c r="A886" s="714"/>
      <c r="B886" s="798" t="s">
        <v>2679</v>
      </c>
      <c r="C886" s="556"/>
      <c r="D886" s="1876" t="s">
        <v>2297</v>
      </c>
      <c r="E886" s="1876"/>
      <c r="F886" s="1876"/>
      <c r="G886" s="678"/>
      <c r="I886" s="1774" t="s">
        <v>2457</v>
      </c>
    </row>
    <row r="887" spans="1:9" ht="12.75" customHeight="1">
      <c r="A887" s="1742"/>
      <c r="B887" s="1742"/>
      <c r="C887" s="556"/>
      <c r="D887" s="1876"/>
      <c r="E887" s="1876"/>
      <c r="F887" s="1876"/>
      <c r="G887" s="678"/>
    </row>
    <row r="888" spans="1:9" s="1772" customFormat="1" ht="12.75" customHeight="1">
      <c r="A888" s="1846"/>
      <c r="B888" s="1846"/>
      <c r="C888" s="1746"/>
      <c r="D888" s="1876" t="s">
        <v>2296</v>
      </c>
      <c r="E888" s="1876"/>
      <c r="F888" s="1876"/>
      <c r="G888" s="1739"/>
      <c r="I888" s="1774"/>
    </row>
    <row r="889" spans="1:9" s="1772" customFormat="1" ht="12.75" customHeight="1">
      <c r="A889" s="1846"/>
      <c r="B889" s="1846"/>
      <c r="C889" s="1746"/>
      <c r="D889" s="1876"/>
      <c r="E889" s="1876"/>
      <c r="F889" s="1876"/>
      <c r="G889" s="1739"/>
      <c r="I889" s="1774"/>
    </row>
    <row r="890" spans="1:9" ht="12.75" customHeight="1">
      <c r="A890" s="1714"/>
      <c r="B890" s="1714"/>
      <c r="C890" s="1746"/>
      <c r="D890" s="6"/>
      <c r="E890" s="6"/>
      <c r="F890" s="1738"/>
      <c r="G890" s="1739"/>
    </row>
    <row r="891" spans="1:9" ht="12.75" customHeight="1">
      <c r="A891" s="403"/>
      <c r="B891" s="798" t="s">
        <v>2679</v>
      </c>
      <c r="C891" s="486"/>
      <c r="D891" s="1975" t="s">
        <v>2294</v>
      </c>
      <c r="E891" s="1975"/>
      <c r="F891" s="1975"/>
      <c r="G891" s="1739"/>
      <c r="I891" s="1774" t="s">
        <v>2456</v>
      </c>
    </row>
    <row r="892" spans="1:9" ht="12.75" customHeight="1">
      <c r="A892" s="403"/>
      <c r="B892" s="403"/>
      <c r="C892" s="486"/>
      <c r="D892" s="1975"/>
      <c r="E892" s="1975"/>
      <c r="F892" s="1975"/>
      <c r="G892" s="1739"/>
    </row>
    <row r="893" spans="1:9" ht="12.75" customHeight="1">
      <c r="A893" s="403"/>
      <c r="B893" s="403"/>
      <c r="C893" s="486"/>
      <c r="D893" s="1975"/>
      <c r="E893" s="1975"/>
      <c r="F893" s="1975"/>
      <c r="G893" s="1739"/>
    </row>
    <row r="894" spans="1:9" s="1772" customFormat="1" ht="12.75" customHeight="1">
      <c r="A894" s="403"/>
      <c r="B894" s="403"/>
      <c r="C894" s="486"/>
      <c r="D894" s="1975"/>
      <c r="E894" s="1975"/>
      <c r="F894" s="1975"/>
      <c r="G894" s="1739"/>
      <c r="I894" s="1774"/>
    </row>
    <row r="895" spans="1:9" ht="12.75" customHeight="1">
      <c r="A895" s="403"/>
      <c r="B895" s="403"/>
      <c r="C895" s="486"/>
      <c r="D895" s="1975"/>
      <c r="E895" s="1975"/>
      <c r="F895" s="1975"/>
      <c r="G895" s="1739"/>
    </row>
    <row r="896" spans="1:9" ht="12.75" customHeight="1">
      <c r="A896" s="487"/>
      <c r="B896" s="487"/>
      <c r="C896" s="486"/>
      <c r="D896" s="1975"/>
      <c r="E896" s="1975"/>
      <c r="F896" s="1975"/>
      <c r="G896" s="1739"/>
    </row>
    <row r="897" spans="1:9" ht="12.75" customHeight="1">
      <c r="A897" s="487"/>
      <c r="B897" s="487"/>
      <c r="C897" s="486"/>
      <c r="D897" s="1975"/>
      <c r="E897" s="1975"/>
      <c r="F897" s="1975"/>
      <c r="G897" s="1739"/>
    </row>
    <row r="898" spans="1:9" ht="12.75" customHeight="1">
      <c r="A898" s="487"/>
      <c r="B898" s="487"/>
      <c r="C898" s="486"/>
      <c r="D898" s="1975"/>
      <c r="E898" s="1975"/>
      <c r="F898" s="1975"/>
      <c r="G898" s="1739"/>
    </row>
    <row r="899" spans="1:9" s="1772" customFormat="1" ht="12.75" customHeight="1">
      <c r="A899" s="487"/>
      <c r="B899" s="487"/>
      <c r="C899" s="486"/>
      <c r="D899" s="1847"/>
      <c r="E899" s="1847"/>
      <c r="F899" s="1847"/>
      <c r="G899" s="1739"/>
      <c r="I899" s="1774"/>
    </row>
    <row r="900" spans="1:9" ht="12.75" customHeight="1">
      <c r="A900" s="1756"/>
      <c r="B900" s="798" t="s">
        <v>2680</v>
      </c>
      <c r="C900" s="1740"/>
      <c r="D900" s="1876" t="s">
        <v>2298</v>
      </c>
      <c r="E900" s="1876"/>
      <c r="F900" s="1876"/>
      <c r="G900" s="1739"/>
    </row>
    <row r="901" spans="1:9" ht="12.75" customHeight="1">
      <c r="A901" s="1756"/>
      <c r="B901" s="1756"/>
      <c r="C901" s="1740"/>
      <c r="D901" s="1876"/>
      <c r="E901" s="1876"/>
      <c r="F901" s="1876"/>
      <c r="G901" s="1739"/>
    </row>
    <row r="902" spans="1:9" ht="12.75" customHeight="1">
      <c r="A902" s="1756"/>
      <c r="B902" s="1756"/>
      <c r="C902" s="1740"/>
      <c r="D902" s="1738"/>
      <c r="E902" s="1738"/>
      <c r="F902" s="1738"/>
      <c r="G902" s="1739"/>
    </row>
    <row r="903" spans="1:9" ht="12.75" customHeight="1">
      <c r="A903" s="1756"/>
      <c r="B903" s="798" t="s">
        <v>2680</v>
      </c>
      <c r="C903" s="1740"/>
      <c r="D903" s="1933" t="s">
        <v>2299</v>
      </c>
      <c r="E903" s="1933"/>
      <c r="F903" s="1933"/>
      <c r="G903" s="1739"/>
    </row>
    <row r="904" spans="1:9" ht="12.75" customHeight="1">
      <c r="A904" s="1756"/>
      <c r="B904" s="1756"/>
      <c r="C904" s="1740"/>
      <c r="D904" s="1933"/>
      <c r="E904" s="1933"/>
      <c r="F904" s="1933"/>
      <c r="G904" s="1739"/>
    </row>
    <row r="905" spans="1:9" ht="12.75" customHeight="1">
      <c r="A905" s="1756"/>
      <c r="B905" s="1756"/>
      <c r="C905" s="1740"/>
      <c r="D905" s="1933"/>
      <c r="E905" s="1933"/>
      <c r="F905" s="1933"/>
      <c r="G905" s="1739"/>
    </row>
    <row r="906" spans="1:9" ht="12.75" customHeight="1">
      <c r="A906" s="1756"/>
      <c r="B906" s="1756"/>
      <c r="C906" s="1740"/>
      <c r="D906" s="1933"/>
      <c r="E906" s="1933"/>
      <c r="F906" s="1933"/>
      <c r="G906" s="1739"/>
    </row>
    <row r="907" spans="1:9" ht="12.75" customHeight="1">
      <c r="A907" s="1756"/>
      <c r="B907" s="1756"/>
      <c r="C907" s="1740"/>
      <c r="D907" s="1708"/>
      <c r="E907" s="1738"/>
      <c r="F907" s="1738"/>
      <c r="G907" s="1739"/>
    </row>
    <row r="908" spans="1:9" ht="12.75" customHeight="1">
      <c r="A908" s="1756"/>
      <c r="B908" s="798" t="s">
        <v>2680</v>
      </c>
      <c r="C908" s="1740"/>
      <c r="D908" s="1889" t="s">
        <v>2300</v>
      </c>
      <c r="E908" s="1889"/>
      <c r="F908" s="1889"/>
      <c r="G908" s="1739"/>
    </row>
    <row r="909" spans="1:9" ht="12.75" customHeight="1">
      <c r="A909" s="1756"/>
      <c r="B909" s="1756"/>
      <c r="C909" s="1740"/>
      <c r="D909" s="1708"/>
      <c r="E909" s="1738"/>
      <c r="F909" s="1738"/>
      <c r="G909" s="1739"/>
    </row>
    <row r="910" spans="1:9" ht="12.75" customHeight="1">
      <c r="A910" s="1756"/>
      <c r="B910" s="798" t="s">
        <v>2680</v>
      </c>
      <c r="C910" s="1740"/>
      <c r="D910" s="1889" t="s">
        <v>2301</v>
      </c>
      <c r="E910" s="1889"/>
      <c r="F910" s="1889"/>
      <c r="G910" s="1739"/>
    </row>
    <row r="911" spans="1:9" ht="12.75" customHeight="1">
      <c r="A911" s="487"/>
      <c r="B911" s="487"/>
      <c r="C911" s="486"/>
      <c r="D911" s="183"/>
      <c r="E911" s="678"/>
      <c r="F911" s="1739"/>
      <c r="G911" s="1739"/>
    </row>
    <row r="912" spans="1:9" ht="12.75" customHeight="1">
      <c r="A912" s="1752"/>
      <c r="B912" s="798" t="s">
        <v>2680</v>
      </c>
      <c r="C912" s="1753"/>
      <c r="D912" s="1975" t="s">
        <v>2295</v>
      </c>
      <c r="E912" s="1975"/>
      <c r="F912" s="1975"/>
      <c r="G912" s="1754"/>
      <c r="I912" s="1774" t="s">
        <v>2508</v>
      </c>
    </row>
    <row r="913" spans="1:9" ht="12.75" customHeight="1">
      <c r="A913" s="1752"/>
      <c r="B913" s="1752"/>
      <c r="C913" s="1753"/>
      <c r="D913" s="1975"/>
      <c r="E913" s="1975"/>
      <c r="F913" s="1975"/>
      <c r="G913" s="1754"/>
    </row>
    <row r="914" spans="1:9" ht="12.75" customHeight="1">
      <c r="A914" s="1752"/>
      <c r="B914" s="1752"/>
      <c r="C914" s="1753"/>
      <c r="D914" s="1975"/>
      <c r="E914" s="1975"/>
      <c r="F914" s="1975"/>
      <c r="G914" s="1754"/>
    </row>
    <row r="915" spans="1:9" ht="12.75" customHeight="1">
      <c r="A915" s="1752"/>
      <c r="B915" s="1752"/>
      <c r="C915" s="1753"/>
      <c r="D915" s="1975"/>
      <c r="E915" s="1975"/>
      <c r="F915" s="1975"/>
      <c r="G915" s="1754"/>
    </row>
    <row r="916" spans="1:9" ht="12.75" customHeight="1">
      <c r="A916" s="1752"/>
      <c r="B916" s="1752"/>
      <c r="C916" s="1753"/>
      <c r="D916" s="1975"/>
      <c r="E916" s="1975"/>
      <c r="F916" s="1975"/>
      <c r="G916" s="1754"/>
    </row>
    <row r="917" spans="1:9" ht="12.75" customHeight="1">
      <c r="A917" s="1752"/>
      <c r="B917" s="1752"/>
      <c r="C917" s="1753"/>
      <c r="D917" s="1975"/>
      <c r="E917" s="1975"/>
      <c r="F917" s="1975"/>
      <c r="G917" s="1754"/>
    </row>
    <row r="918" spans="1:9" ht="12.75" customHeight="1">
      <c r="A918" s="1752"/>
      <c r="B918" s="1752"/>
      <c r="C918" s="1753"/>
      <c r="D918" s="1975"/>
      <c r="E918" s="1975"/>
      <c r="F918" s="1975"/>
      <c r="G918" s="1754"/>
    </row>
    <row r="919" spans="1:9" ht="12.75" customHeight="1">
      <c r="A919" s="1752"/>
      <c r="B919" s="1752"/>
      <c r="C919" s="1753"/>
      <c r="D919" s="1975"/>
      <c r="E919" s="1975"/>
      <c r="F919" s="1975"/>
      <c r="G919" s="1754"/>
    </row>
    <row r="920" spans="1:9" ht="12.75" customHeight="1">
      <c r="A920" s="1752"/>
      <c r="B920" s="1752"/>
      <c r="C920" s="1753"/>
      <c r="D920" s="1975"/>
      <c r="E920" s="1975"/>
      <c r="F920" s="1975"/>
      <c r="G920" s="1754"/>
    </row>
    <row r="921" spans="1:9" ht="12.75" customHeight="1">
      <c r="A921" s="487"/>
      <c r="B921" s="487"/>
      <c r="C921" s="486"/>
      <c r="D921" s="183"/>
      <c r="E921" s="678"/>
      <c r="F921" s="1739"/>
      <c r="G921" s="1739"/>
    </row>
    <row r="922" spans="1:9" ht="12.75" customHeight="1">
      <c r="A922" s="403"/>
      <c r="B922" s="798" t="s">
        <v>2679</v>
      </c>
      <c r="C922" s="486"/>
      <c r="D922" s="1976" t="s">
        <v>2511</v>
      </c>
      <c r="E922" s="1976"/>
      <c r="F922" s="1976"/>
      <c r="G922" s="1739"/>
      <c r="I922" s="1774" t="s">
        <v>2508</v>
      </c>
    </row>
    <row r="923" spans="1:9" ht="12.75" customHeight="1">
      <c r="A923" s="403"/>
      <c r="B923" s="403"/>
      <c r="C923" s="486"/>
      <c r="D923" s="1976"/>
      <c r="E923" s="1976"/>
      <c r="F923" s="1976"/>
      <c r="G923" s="1739"/>
    </row>
    <row r="924" spans="1:9" ht="12.75" customHeight="1">
      <c r="A924" s="403"/>
      <c r="B924" s="403"/>
      <c r="C924" s="486"/>
      <c r="D924" s="1976"/>
      <c r="E924" s="1976"/>
      <c r="F924" s="1976"/>
      <c r="G924" s="1739"/>
    </row>
    <row r="925" spans="1:9" ht="12.75" customHeight="1">
      <c r="A925" s="403"/>
      <c r="B925" s="403"/>
      <c r="C925" s="486"/>
      <c r="D925" s="1976"/>
      <c r="E925" s="1976"/>
      <c r="F925" s="1976"/>
      <c r="G925" s="1739"/>
    </row>
    <row r="926" spans="1:9" ht="12.75" customHeight="1">
      <c r="A926" s="403"/>
      <c r="B926" s="403"/>
      <c r="C926" s="486"/>
      <c r="D926" s="1976"/>
      <c r="E926" s="1976"/>
      <c r="F926" s="1976"/>
      <c r="G926" s="1739"/>
    </row>
    <row r="927" spans="1:9" ht="12.75" customHeight="1">
      <c r="A927" s="403"/>
      <c r="B927" s="403"/>
      <c r="C927" s="486"/>
      <c r="D927" s="1976"/>
      <c r="E927" s="1976"/>
      <c r="F927" s="1976"/>
      <c r="G927" s="1739"/>
    </row>
    <row r="928" spans="1:9" ht="12.75" customHeight="1">
      <c r="A928" s="403"/>
      <c r="B928" s="403"/>
      <c r="C928" s="486"/>
      <c r="D928" s="1976"/>
      <c r="E928" s="1976"/>
      <c r="F928" s="197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2679</v>
      </c>
      <c r="C930" s="486"/>
      <c r="D930" s="1888" t="s">
        <v>2509</v>
      </c>
      <c r="E930" s="1888"/>
      <c r="F930" s="1888"/>
      <c r="G930" s="1739"/>
      <c r="I930" s="1774"/>
    </row>
    <row r="931" spans="1:9" s="1772" customFormat="1" ht="12.75" customHeight="1">
      <c r="A931" s="403"/>
      <c r="B931" s="403"/>
      <c r="C931" s="486"/>
      <c r="D931" s="1888"/>
      <c r="E931" s="1888"/>
      <c r="F931" s="1888"/>
      <c r="G931" s="1739"/>
      <c r="I931" s="1774"/>
    </row>
    <row r="932" spans="1:9" s="1772" customFormat="1" ht="12.75" customHeight="1">
      <c r="A932" s="403"/>
      <c r="B932" s="403"/>
      <c r="C932" s="486"/>
      <c r="D932" s="1888"/>
      <c r="E932" s="1888"/>
      <c r="F932" s="1888"/>
      <c r="G932" s="1739"/>
      <c r="I932" s="1774"/>
    </row>
    <row r="933" spans="1:9" s="1772" customFormat="1" ht="12.75" customHeight="1">
      <c r="A933" s="403"/>
      <c r="B933" s="403"/>
      <c r="C933" s="486"/>
      <c r="D933" s="1888"/>
      <c r="E933" s="1888"/>
      <c r="F933" s="1888"/>
      <c r="G933" s="1739"/>
      <c r="I933" s="1774"/>
    </row>
    <row r="934" spans="1:9" s="1772" customFormat="1" ht="12.75" customHeight="1">
      <c r="A934" s="403"/>
      <c r="B934" s="403"/>
      <c r="C934" s="486"/>
      <c r="D934" s="1888"/>
      <c r="E934" s="1888"/>
      <c r="F934" s="1888"/>
      <c r="G934" s="1739"/>
      <c r="I934" s="1774"/>
    </row>
    <row r="935" spans="1:9" s="1772" customFormat="1" ht="12.75" customHeight="1">
      <c r="A935" s="403"/>
      <c r="B935" s="403"/>
      <c r="C935" s="486"/>
      <c r="D935" s="1888"/>
      <c r="E935" s="1888"/>
      <c r="F935" s="1888"/>
      <c r="G935" s="1739"/>
      <c r="I935" s="1774"/>
    </row>
    <row r="936" spans="1:9" s="1772" customFormat="1" ht="12.75" customHeight="1">
      <c r="A936" s="403"/>
      <c r="B936" s="403"/>
      <c r="C936" s="486"/>
      <c r="D936" s="1848"/>
      <c r="E936" s="1848"/>
      <c r="F936" s="1848"/>
      <c r="G936" s="1739"/>
      <c r="I936" s="1774"/>
    </row>
    <row r="937" spans="1:9" ht="12.75" customHeight="1">
      <c r="A937" s="1756"/>
      <c r="B937" s="798" t="s">
        <v>2680</v>
      </c>
      <c r="C937" s="1740"/>
      <c r="D937" s="1980" t="s">
        <v>2302</v>
      </c>
      <c r="E937" s="1980"/>
      <c r="F937" s="1980"/>
      <c r="G937" s="1739"/>
    </row>
    <row r="938" spans="1:9" ht="12.75" customHeight="1">
      <c r="A938" s="1756"/>
      <c r="B938" s="1756"/>
      <c r="C938" s="1740"/>
      <c r="D938" s="1980"/>
      <c r="E938" s="1980"/>
      <c r="F938" s="1980"/>
      <c r="G938" s="1739"/>
    </row>
    <row r="939" spans="1:9" ht="12.75" customHeight="1">
      <c r="A939" s="1756"/>
      <c r="B939" s="1756"/>
      <c r="C939" s="1740"/>
      <c r="D939" s="1980"/>
      <c r="E939" s="1980"/>
      <c r="F939" s="198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2680</v>
      </c>
      <c r="C942" s="486"/>
      <c r="D942" s="1975" t="s">
        <v>2510</v>
      </c>
      <c r="E942" s="1975"/>
      <c r="F942" s="1975"/>
      <c r="G942" s="1739"/>
      <c r="I942" s="1774" t="s">
        <v>2508</v>
      </c>
    </row>
    <row r="943" spans="1:9" ht="12.75" customHeight="1">
      <c r="A943" s="403"/>
      <c r="B943" s="403"/>
      <c r="C943" s="486"/>
      <c r="D943" s="1975"/>
      <c r="E943" s="1975"/>
      <c r="F943" s="1975"/>
      <c r="G943" s="1739"/>
    </row>
    <row r="944" spans="1:9" ht="12.75" customHeight="1">
      <c r="A944" s="403"/>
      <c r="B944" s="403"/>
      <c r="C944" s="486"/>
      <c r="D944" s="1975"/>
      <c r="E944" s="1975"/>
      <c r="F944" s="1975"/>
      <c r="G944" s="1739"/>
    </row>
    <row r="945" spans="1:9" ht="12.75" customHeight="1">
      <c r="A945" s="403"/>
      <c r="B945" s="403"/>
      <c r="C945" s="486"/>
      <c r="D945" s="1975"/>
      <c r="E945" s="1975"/>
      <c r="F945" s="1975"/>
      <c r="G945" s="1739"/>
    </row>
    <row r="946" spans="1:9" ht="12.75" customHeight="1">
      <c r="A946" s="1758"/>
      <c r="B946" s="1758"/>
      <c r="C946" s="1744"/>
      <c r="D946" s="1705"/>
      <c r="E946" s="1705"/>
      <c r="F946" s="1705"/>
      <c r="G946" s="1705"/>
    </row>
    <row r="947" spans="1:9" ht="12.75" customHeight="1">
      <c r="A947" s="1742"/>
      <c r="B947" s="1742"/>
      <c r="C947" s="556"/>
      <c r="D947" s="1899" t="s">
        <v>2303</v>
      </c>
      <c r="E947" s="1899"/>
      <c r="F947" s="1899"/>
      <c r="G947" s="678"/>
    </row>
    <row r="948" spans="1:9" ht="12.75" customHeight="1">
      <c r="A948" s="714"/>
      <c r="B948" s="798" t="s">
        <v>2680</v>
      </c>
      <c r="C948" s="556"/>
      <c r="D948" s="1889" t="s">
        <v>2329</v>
      </c>
      <c r="E948" s="1889"/>
      <c r="F948" s="1889"/>
      <c r="G948" s="678"/>
      <c r="I948" s="1774" t="s">
        <v>2508</v>
      </c>
    </row>
    <row r="949" spans="1:9" ht="12.75" customHeight="1">
      <c r="A949" s="1742"/>
      <c r="B949" s="1742"/>
      <c r="C949" s="556"/>
      <c r="D949" s="6"/>
      <c r="E949" s="6"/>
      <c r="F949" s="6"/>
      <c r="G949" s="678"/>
    </row>
    <row r="950" spans="1:9" ht="12.75" customHeight="1">
      <c r="A950" s="1742"/>
      <c r="B950" s="1742"/>
      <c r="C950" s="556"/>
      <c r="D950" s="1899" t="s">
        <v>2304</v>
      </c>
      <c r="E950" s="1899"/>
      <c r="F950" s="1899"/>
      <c r="G950" s="677"/>
    </row>
    <row r="951" spans="1:9" ht="12.75" customHeight="1">
      <c r="A951" s="714"/>
      <c r="B951" s="798" t="s">
        <v>2680</v>
      </c>
      <c r="C951" s="556"/>
      <c r="D951" s="1876" t="s">
        <v>2305</v>
      </c>
      <c r="E951" s="1876"/>
      <c r="F951" s="1876"/>
      <c r="G951" s="677"/>
      <c r="I951" s="1774" t="s">
        <v>2508</v>
      </c>
    </row>
    <row r="952" spans="1:9" ht="12.75" customHeight="1">
      <c r="A952" s="714"/>
      <c r="B952" s="714"/>
      <c r="C952" s="556"/>
      <c r="D952" s="1876"/>
      <c r="E952" s="1876"/>
      <c r="F952" s="1876"/>
      <c r="G952" s="677"/>
    </row>
    <row r="953" spans="1:9" ht="12.75" customHeight="1">
      <c r="A953" s="714"/>
      <c r="B953" s="714"/>
      <c r="C953" s="556"/>
      <c r="D953" s="1876"/>
      <c r="E953" s="1876"/>
      <c r="F953" s="1876"/>
      <c r="G953" s="677"/>
    </row>
    <row r="954" spans="1:9" ht="12.75" customHeight="1">
      <c r="A954" s="714"/>
      <c r="B954" s="714"/>
      <c r="C954" s="556"/>
      <c r="D954" s="1876"/>
      <c r="E954" s="1876"/>
      <c r="F954" s="1876"/>
      <c r="G954" s="677"/>
    </row>
    <row r="955" spans="1:9" ht="12.75" customHeight="1">
      <c r="A955" s="714"/>
      <c r="B955" s="714"/>
      <c r="C955" s="556"/>
      <c r="D955" s="1876"/>
      <c r="E955" s="1876"/>
      <c r="F955" s="1876"/>
      <c r="G955" s="677"/>
    </row>
    <row r="956" spans="1:9" ht="12.75" customHeight="1">
      <c r="A956" s="714"/>
      <c r="B956" s="714"/>
      <c r="C956" s="556"/>
      <c r="D956" s="1876"/>
      <c r="E956" s="1876"/>
      <c r="F956" s="1876"/>
      <c r="G956" s="677"/>
    </row>
    <row r="957" spans="1:9" ht="12.75" customHeight="1">
      <c r="A957" s="714"/>
      <c r="B957" s="714"/>
      <c r="C957" s="556"/>
      <c r="D957" s="1876"/>
      <c r="E957" s="1876"/>
      <c r="F957" s="1876"/>
      <c r="G957" s="677"/>
    </row>
    <row r="958" spans="1:9" ht="12.75" customHeight="1">
      <c r="A958" s="714"/>
      <c r="B958" s="714"/>
      <c r="C958" s="556"/>
      <c r="D958" s="1876"/>
      <c r="E958" s="1876"/>
      <c r="F958" s="1876"/>
      <c r="G958" s="677"/>
    </row>
    <row r="959" spans="1:9" ht="12.75" customHeight="1">
      <c r="A959" s="714"/>
      <c r="B959" s="714"/>
      <c r="C959" s="556"/>
      <c r="D959" s="1876"/>
      <c r="E959" s="1876"/>
      <c r="F959" s="1876"/>
      <c r="G959" s="677"/>
    </row>
    <row r="960" spans="1:9" ht="12.75" customHeight="1">
      <c r="A960" s="714"/>
      <c r="B960" s="714"/>
      <c r="C960" s="556"/>
      <c r="D960" s="1876"/>
      <c r="E960" s="1876"/>
      <c r="F960" s="1876"/>
      <c r="G960" s="677"/>
    </row>
    <row r="961" spans="1:9" ht="12.75" customHeight="1">
      <c r="A961" s="714"/>
      <c r="B961" s="714"/>
      <c r="C961" s="556"/>
      <c r="D961" s="1876"/>
      <c r="E961" s="1876"/>
      <c r="F961" s="1876"/>
      <c r="G961" s="677"/>
    </row>
    <row r="962" spans="1:9" ht="12.75" customHeight="1">
      <c r="A962" s="714"/>
      <c r="B962" s="714"/>
      <c r="C962" s="556"/>
      <c r="D962" s="1876"/>
      <c r="E962" s="1876"/>
      <c r="F962" s="1876"/>
      <c r="G962" s="677"/>
    </row>
    <row r="963" spans="1:9" s="1772" customFormat="1" ht="12.75" customHeight="1">
      <c r="A963" s="714"/>
      <c r="B963" s="714"/>
      <c r="C963" s="556"/>
      <c r="D963" s="1876"/>
      <c r="E963" s="1876"/>
      <c r="F963" s="1876"/>
      <c r="G963" s="677"/>
      <c r="I963" s="1774"/>
    </row>
    <row r="964" spans="1:9" ht="12.75" customHeight="1">
      <c r="A964" s="714"/>
      <c r="B964" s="714"/>
      <c r="C964" s="556"/>
      <c r="D964" s="1876"/>
      <c r="E964" s="1876"/>
      <c r="F964" s="1876"/>
      <c r="G964" s="677"/>
    </row>
    <row r="965" spans="1:9" ht="12.75" customHeight="1">
      <c r="A965" s="714"/>
      <c r="B965" s="714"/>
      <c r="C965" s="556"/>
      <c r="D965" s="1876"/>
      <c r="E965" s="1876"/>
      <c r="F965" s="1876"/>
      <c r="G965" s="678"/>
    </row>
    <row r="966" spans="1:9" ht="12.75" customHeight="1">
      <c r="A966" s="1742"/>
      <c r="B966" s="1742"/>
      <c r="C966" s="556"/>
      <c r="D966" s="6"/>
      <c r="E966" s="6"/>
      <c r="F966" s="6"/>
      <c r="G966" s="678"/>
    </row>
    <row r="967" spans="1:9" ht="12.75" customHeight="1">
      <c r="A967" s="1945" t="s">
        <v>2306</v>
      </c>
      <c r="B967" s="1945"/>
      <c r="C967" s="1945"/>
      <c r="D967" s="1945"/>
      <c r="E967" s="1945"/>
      <c r="F967" s="1945"/>
      <c r="G967" s="1945"/>
      <c r="H967" s="1853"/>
      <c r="I967" s="1854"/>
    </row>
    <row r="968" spans="1:9" ht="12.75" customHeight="1">
      <c r="A968" s="1709"/>
      <c r="B968" s="1709"/>
      <c r="C968" s="556"/>
      <c r="D968" s="6"/>
      <c r="E968" s="6"/>
      <c r="F968" s="6"/>
      <c r="G968" s="678"/>
    </row>
    <row r="969" spans="1:9" ht="12.75" customHeight="1">
      <c r="A969" s="1742"/>
      <c r="B969" s="1742"/>
      <c r="C969" s="1740"/>
      <c r="D969" s="1899" t="s">
        <v>2330</v>
      </c>
      <c r="E969" s="1899"/>
      <c r="F969" s="1899"/>
      <c r="G969" s="678"/>
    </row>
    <row r="970" spans="1:9" ht="12.75" customHeight="1">
      <c r="A970" s="1714"/>
      <c r="B970" s="1714"/>
      <c r="C970" s="1746"/>
      <c r="D970" s="1889" t="s">
        <v>2307</v>
      </c>
      <c r="E970" s="1889"/>
      <c r="F970" s="1889"/>
      <c r="G970" s="678"/>
    </row>
    <row r="971" spans="1:9" ht="12.75" customHeight="1">
      <c r="A971" s="1714"/>
      <c r="B971" s="1714"/>
      <c r="C971" s="1746"/>
      <c r="D971" s="6"/>
      <c r="E971" s="6"/>
      <c r="F971" s="1738"/>
      <c r="G971" s="677"/>
    </row>
    <row r="972" spans="1:9" ht="12.75" customHeight="1">
      <c r="A972" s="1742"/>
      <c r="B972" s="798" t="s">
        <v>2679</v>
      </c>
      <c r="C972" s="556"/>
      <c r="D972" s="1885" t="s">
        <v>2308</v>
      </c>
      <c r="E972" s="1885"/>
      <c r="F972" s="1885"/>
      <c r="G972" s="677"/>
      <c r="I972" s="1774" t="s">
        <v>2486</v>
      </c>
    </row>
    <row r="973" spans="1:9" ht="12.75" customHeight="1">
      <c r="A973" s="1742"/>
      <c r="B973" s="1742"/>
      <c r="C973" s="556"/>
      <c r="D973" s="1885"/>
      <c r="E973" s="1885"/>
      <c r="F973" s="1885"/>
      <c r="G973" s="677"/>
    </row>
    <row r="974" spans="1:9" ht="12.75" customHeight="1">
      <c r="A974" s="1742"/>
      <c r="B974" s="1742"/>
      <c r="C974" s="556"/>
      <c r="D974" s="1885"/>
      <c r="E974" s="1885"/>
      <c r="F974" s="1885"/>
      <c r="G974" s="677"/>
    </row>
    <row r="975" spans="1:9" ht="12.75" customHeight="1">
      <c r="A975" s="1742"/>
      <c r="B975" s="1742"/>
      <c r="C975" s="556"/>
      <c r="D975" s="1885"/>
      <c r="E975" s="1885"/>
      <c r="F975" s="1885"/>
      <c r="G975" s="677"/>
    </row>
    <row r="976" spans="1:9" ht="12.75" customHeight="1">
      <c r="A976" s="1726"/>
      <c r="B976" s="1726"/>
      <c r="C976" s="557"/>
      <c r="D976" s="1885"/>
      <c r="E976" s="1885"/>
      <c r="F976" s="1885"/>
      <c r="G976" s="677"/>
    </row>
    <row r="977" spans="1:7" ht="12.75" customHeight="1">
      <c r="A977" s="1726"/>
      <c r="B977" s="1726"/>
      <c r="C977" s="557"/>
      <c r="D977" s="1885"/>
      <c r="E977" s="1885"/>
      <c r="F977" s="1885"/>
      <c r="G977" s="677"/>
    </row>
    <row r="978" spans="1:7" ht="12.75" customHeight="1">
      <c r="A978" s="720"/>
      <c r="B978" s="720"/>
      <c r="C978" s="313"/>
      <c r="D978" s="1885"/>
      <c r="E978" s="1885"/>
      <c r="F978" s="1885"/>
      <c r="G978" s="677"/>
    </row>
    <row r="979" spans="1:7" ht="12.75" customHeight="1">
      <c r="A979" s="720"/>
      <c r="B979" s="720"/>
      <c r="C979" s="313"/>
      <c r="D979" s="1885"/>
      <c r="E979" s="1885"/>
      <c r="F979" s="1885"/>
      <c r="G979" s="677"/>
    </row>
    <row r="980" spans="1:7" ht="12.75" customHeight="1">
      <c r="A980" s="720"/>
      <c r="B980" s="720"/>
      <c r="C980" s="313"/>
      <c r="D980" s="1706"/>
      <c r="E980" s="1706"/>
      <c r="F980" s="1706"/>
      <c r="G980" s="677"/>
    </row>
    <row r="981" spans="1:7" ht="12.75" customHeight="1">
      <c r="A981" s="720"/>
      <c r="B981" s="798" t="s">
        <v>2680</v>
      </c>
      <c r="C981" s="313"/>
      <c r="D981" s="1877" t="s">
        <v>2309</v>
      </c>
      <c r="E981" s="1877"/>
      <c r="F981" s="1877"/>
      <c r="G981" s="677"/>
    </row>
    <row r="982" spans="1:7" ht="12.75" customHeight="1">
      <c r="A982" s="720"/>
      <c r="B982" s="720"/>
      <c r="C982" s="313"/>
      <c r="D982" s="1877"/>
      <c r="E982" s="1877"/>
      <c r="F982" s="1877"/>
      <c r="G982" s="677"/>
    </row>
    <row r="983" spans="1:7" ht="12.75" customHeight="1">
      <c r="A983" s="720"/>
      <c r="B983" s="720"/>
      <c r="C983" s="313"/>
      <c r="D983" s="1877"/>
      <c r="E983" s="1877"/>
      <c r="F983" s="1877"/>
      <c r="G983" s="677"/>
    </row>
    <row r="984" spans="1:7" ht="12.75" customHeight="1">
      <c r="A984" s="720"/>
      <c r="B984" s="720"/>
      <c r="C984" s="313"/>
      <c r="D984" s="1877"/>
      <c r="E984" s="1877"/>
      <c r="F984" s="1877"/>
      <c r="G984" s="677"/>
    </row>
    <row r="985" spans="1:7" ht="12.75" customHeight="1">
      <c r="A985" s="720"/>
      <c r="B985" s="720"/>
      <c r="C985" s="313"/>
      <c r="D985" s="1704"/>
      <c r="E985" s="1704"/>
      <c r="F985" s="1704"/>
      <c r="G985" s="677"/>
    </row>
    <row r="986" spans="1:7" ht="12.75" customHeight="1">
      <c r="A986" s="720"/>
      <c r="B986" s="798" t="s">
        <v>2680</v>
      </c>
      <c r="C986" s="313"/>
      <c r="D986" s="1877" t="s">
        <v>2310</v>
      </c>
      <c r="E986" s="1877"/>
      <c r="F986" s="1877"/>
      <c r="G986" s="677"/>
    </row>
    <row r="987" spans="1:7" ht="12.75" customHeight="1">
      <c r="A987" s="720"/>
      <c r="B987" s="720"/>
      <c r="C987" s="313"/>
      <c r="D987" s="1877"/>
      <c r="E987" s="1877"/>
      <c r="F987" s="1877"/>
      <c r="G987" s="677"/>
    </row>
    <row r="988" spans="1:7" ht="12.75" customHeight="1">
      <c r="A988" s="720"/>
      <c r="B988" s="720"/>
      <c r="C988" s="313"/>
      <c r="D988" s="1704"/>
      <c r="E988" s="1704"/>
      <c r="F988" s="1704"/>
      <c r="G988" s="677"/>
    </row>
    <row r="989" spans="1:7" ht="12.75" customHeight="1">
      <c r="A989" s="714"/>
      <c r="B989" s="798" t="s">
        <v>2679</v>
      </c>
      <c r="C989" s="556"/>
      <c r="D989" s="1889" t="s">
        <v>2311</v>
      </c>
      <c r="E989" s="1889"/>
      <c r="F989" s="1889"/>
      <c r="G989" s="677"/>
    </row>
    <row r="990" spans="1:7" ht="12.75" customHeight="1">
      <c r="A990" s="1742"/>
      <c r="B990" s="1742"/>
      <c r="C990" s="556"/>
      <c r="D990" s="6"/>
      <c r="E990" s="6"/>
      <c r="F990" s="6"/>
      <c r="G990" s="677"/>
    </row>
    <row r="991" spans="1:7" ht="12.75" customHeight="1">
      <c r="A991" s="714"/>
      <c r="B991" s="798" t="s">
        <v>2680</v>
      </c>
      <c r="C991" s="556"/>
      <c r="D991" s="1889" t="s">
        <v>2312</v>
      </c>
      <c r="E991" s="1889"/>
      <c r="F991" s="1889"/>
      <c r="G991" s="677"/>
    </row>
    <row r="992" spans="1:7" ht="12.75" customHeight="1">
      <c r="A992" s="1742"/>
      <c r="B992" s="1742"/>
      <c r="C992" s="556"/>
      <c r="D992" s="1708"/>
      <c r="E992" s="6"/>
      <c r="F992" s="6"/>
      <c r="G992" s="677"/>
    </row>
    <row r="993" spans="1:9" ht="12.75" customHeight="1">
      <c r="A993" s="714"/>
      <c r="B993" s="798" t="s">
        <v>2679</v>
      </c>
      <c r="C993" s="556"/>
      <c r="D993" s="1889" t="s">
        <v>2313</v>
      </c>
      <c r="E993" s="1889"/>
      <c r="F993" s="1889"/>
      <c r="G993" s="677"/>
    </row>
    <row r="994" spans="1:9" ht="12.75" customHeight="1">
      <c r="A994" s="1742"/>
      <c r="B994" s="1742"/>
      <c r="C994" s="556"/>
      <c r="D994" s="1708"/>
      <c r="E994" s="6"/>
      <c r="F994" s="6"/>
      <c r="G994" s="677"/>
    </row>
    <row r="995" spans="1:9" ht="12.75" customHeight="1">
      <c r="A995" s="714"/>
      <c r="B995" s="798" t="s">
        <v>2680</v>
      </c>
      <c r="C995" s="556"/>
      <c r="D995" s="1876" t="s">
        <v>2314</v>
      </c>
      <c r="E995" s="1876"/>
      <c r="F995" s="1876"/>
      <c r="G995" s="677"/>
    </row>
    <row r="996" spans="1:9" ht="12.75" customHeight="1">
      <c r="A996" s="714"/>
      <c r="B996" s="714"/>
      <c r="C996" s="556"/>
      <c r="D996" s="1876"/>
      <c r="E996" s="1876"/>
      <c r="F996" s="1876"/>
      <c r="G996" s="677"/>
    </row>
    <row r="997" spans="1:9" ht="12.75" customHeight="1">
      <c r="A997" s="714"/>
      <c r="B997" s="714"/>
      <c r="C997" s="556"/>
      <c r="D997" s="1708"/>
      <c r="E997" s="6"/>
      <c r="F997" s="6"/>
      <c r="G997" s="678"/>
    </row>
    <row r="998" spans="1:9" ht="12.75" customHeight="1">
      <c r="A998" s="407"/>
      <c r="B998" s="798" t="s">
        <v>2680</v>
      </c>
      <c r="C998" s="1759"/>
      <c r="D998" s="1943" t="s">
        <v>2315</v>
      </c>
      <c r="E998" s="1943"/>
      <c r="F998" s="1943"/>
      <c r="G998" s="1760"/>
    </row>
    <row r="999" spans="1:9" ht="12.75" customHeight="1">
      <c r="A999" s="1759"/>
      <c r="B999" s="1759"/>
      <c r="C999" s="1759"/>
      <c r="D999" s="1943"/>
      <c r="E999" s="1943"/>
      <c r="F999" s="1943"/>
      <c r="G999" s="1760"/>
    </row>
    <row r="1000" spans="1:9" ht="12.75" customHeight="1">
      <c r="A1000" s="1759"/>
      <c r="B1000" s="1759"/>
      <c r="C1000" s="1759"/>
      <c r="D1000" s="1761"/>
      <c r="E1000" s="1762"/>
      <c r="F1000" s="1762"/>
      <c r="G1000" s="1760"/>
    </row>
    <row r="1001" spans="1:9" ht="12.75" customHeight="1">
      <c r="A1001" s="407"/>
      <c r="B1001" s="798" t="s">
        <v>2680</v>
      </c>
      <c r="C1001" s="1759"/>
      <c r="D1001" s="1974" t="s">
        <v>2316</v>
      </c>
      <c r="E1001" s="1974"/>
      <c r="F1001" s="1974"/>
      <c r="G1001" s="1760"/>
    </row>
    <row r="1002" spans="1:9" ht="12.75" customHeight="1">
      <c r="A1002" s="1759"/>
      <c r="B1002" s="1759"/>
      <c r="C1002" s="1759"/>
      <c r="D1002" s="1761"/>
      <c r="E1002" s="1762"/>
      <c r="F1002" s="1762"/>
      <c r="G1002" s="1760"/>
    </row>
    <row r="1003" spans="1:9" ht="12.75" customHeight="1">
      <c r="A1003" s="714"/>
      <c r="B1003" s="798" t="s">
        <v>2680</v>
      </c>
      <c r="C1003" s="556"/>
      <c r="D1003" s="1889" t="s">
        <v>2317</v>
      </c>
      <c r="E1003" s="1889"/>
      <c r="F1003" s="1889"/>
      <c r="G1003" s="678"/>
    </row>
    <row r="1004" spans="1:9" ht="12.75" customHeight="1">
      <c r="A1004" s="714"/>
      <c r="B1004" s="714"/>
      <c r="C1004" s="556"/>
      <c r="D1004" s="1708"/>
      <c r="E1004" s="6"/>
      <c r="F1004" s="6"/>
      <c r="G1004" s="678"/>
    </row>
    <row r="1005" spans="1:9" ht="12.75" customHeight="1">
      <c r="A1005" s="714"/>
      <c r="B1005" s="798" t="s">
        <v>2680</v>
      </c>
      <c r="C1005" s="556"/>
      <c r="D1005" s="1876" t="s">
        <v>2318</v>
      </c>
      <c r="E1005" s="1876"/>
      <c r="F1005" s="1876"/>
      <c r="G1005" s="678"/>
    </row>
    <row r="1006" spans="1:9" ht="12.75" customHeight="1">
      <c r="A1006" s="714"/>
      <c r="B1006" s="714"/>
      <c r="C1006" s="556"/>
      <c r="D1006" s="1876"/>
      <c r="E1006" s="1876"/>
      <c r="F1006" s="1876"/>
      <c r="G1006" s="678"/>
    </row>
    <row r="1007" spans="1:9" ht="12.75" customHeight="1">
      <c r="A1007" s="1742"/>
      <c r="B1007" s="1742"/>
      <c r="C1007" s="556"/>
      <c r="D1007" s="6"/>
      <c r="E1007" s="6"/>
      <c r="F1007" s="6"/>
      <c r="G1007" s="678"/>
    </row>
    <row r="1008" spans="1:9" ht="12.75" customHeight="1">
      <c r="A1008" s="1945" t="s">
        <v>2319</v>
      </c>
      <c r="B1008" s="1945"/>
      <c r="C1008" s="1945"/>
      <c r="D1008" s="1945"/>
      <c r="E1008" s="1945"/>
      <c r="F1008" s="1945"/>
      <c r="G1008" s="1945"/>
      <c r="H1008" s="1853"/>
      <c r="I1008" s="1854"/>
    </row>
    <row r="1009" spans="1:9" ht="12.75" customHeight="1">
      <c r="A1009" s="1742"/>
      <c r="B1009" s="1742"/>
      <c r="C1009" s="556"/>
      <c r="D1009" s="6"/>
      <c r="E1009" s="6"/>
      <c r="F1009" s="6"/>
      <c r="G1009" s="678"/>
    </row>
    <row r="1010" spans="1:9" ht="12.75" customHeight="1">
      <c r="A1010" s="1726"/>
      <c r="B1010" s="1726"/>
      <c r="C1010" s="557"/>
      <c r="D1010" s="1935" t="s">
        <v>2320</v>
      </c>
      <c r="E1010" s="1935"/>
      <c r="F1010" s="1935"/>
      <c r="G1010" s="678"/>
    </row>
    <row r="1011" spans="1:9" ht="12.75" customHeight="1">
      <c r="A1011" s="1726"/>
      <c r="B1011" s="1726"/>
      <c r="C1011" s="557"/>
      <c r="D1011" s="1973" t="s">
        <v>2321</v>
      </c>
      <c r="E1011" s="1973"/>
      <c r="F1011" s="1973"/>
      <c r="G1011" s="678"/>
    </row>
    <row r="1012" spans="1:9" ht="12.75" customHeight="1">
      <c r="A1012" s="674"/>
      <c r="B1012" s="674"/>
      <c r="C1012" s="1715"/>
      <c r="D1012" s="678"/>
      <c r="E1012" s="678"/>
      <c r="F1012" s="678"/>
      <c r="G1012" s="678"/>
    </row>
    <row r="1013" spans="1:9" ht="12.75" customHeight="1">
      <c r="A1013" s="714"/>
      <c r="B1013" s="714"/>
      <c r="C1013" s="313"/>
      <c r="D1013" s="1935" t="s">
        <v>2335</v>
      </c>
      <c r="E1013" s="1935"/>
      <c r="F1013" s="1935"/>
      <c r="G1013" s="678"/>
      <c r="I1013" s="1774" t="s">
        <v>2458</v>
      </c>
    </row>
    <row r="1014" spans="1:9" ht="12.75" customHeight="1">
      <c r="A1014" s="1742"/>
      <c r="B1014" s="798" t="s">
        <v>2679</v>
      </c>
      <c r="C1014" s="556"/>
      <c r="D1014" s="1973" t="s">
        <v>1504</v>
      </c>
      <c r="E1014" s="1973"/>
      <c r="F1014" s="1973"/>
      <c r="G1014" s="678"/>
    </row>
    <row r="1015" spans="1:9" s="1772" customFormat="1" ht="12.75" customHeight="1">
      <c r="A1015" s="1742"/>
      <c r="B1015" s="714"/>
      <c r="C1015" s="556"/>
      <c r="D1015" s="1970" t="s">
        <v>2322</v>
      </c>
      <c r="E1015" s="1970"/>
      <c r="F1015" s="1970"/>
      <c r="G1015" s="678"/>
      <c r="I1015" s="1774"/>
    </row>
    <row r="1016" spans="1:9" ht="12.75" customHeight="1">
      <c r="A1016" s="1742"/>
      <c r="B1016" s="1742"/>
      <c r="C1016" s="556"/>
      <c r="D1016" s="1973"/>
      <c r="E1016" s="1973"/>
      <c r="F1016" s="1973"/>
      <c r="G1016" s="678"/>
    </row>
    <row r="1017" spans="1:9" ht="12.75" customHeight="1">
      <c r="A1017" s="1965" t="s">
        <v>2331</v>
      </c>
      <c r="B1017" s="1965"/>
      <c r="C1017" s="1965"/>
      <c r="D1017" s="1965"/>
      <c r="E1017" s="1965"/>
      <c r="F1017" s="1965"/>
      <c r="G1017" s="1965"/>
      <c r="H1017" s="1853"/>
      <c r="I1017" s="1854"/>
    </row>
    <row r="1018" spans="1:9" ht="12.75" customHeight="1">
      <c r="A1018" s="254"/>
      <c r="B1018" s="254"/>
      <c r="C1018" s="1734"/>
      <c r="D1018" s="686"/>
      <c r="E1018" s="686"/>
      <c r="F1018" s="686"/>
      <c r="G1018" s="686"/>
    </row>
    <row r="1019" spans="1:9" ht="12.75" customHeight="1">
      <c r="A1019" s="254"/>
      <c r="B1019" s="1769"/>
      <c r="C1019" s="1776"/>
      <c r="D1019" s="1949" t="s">
        <v>1505</v>
      </c>
      <c r="E1019" s="1949"/>
      <c r="F1019" s="1949"/>
      <c r="G1019" s="686"/>
    </row>
    <row r="1020" spans="1:9" ht="12.75" customHeight="1">
      <c r="A1020" s="254"/>
      <c r="B1020" s="1775" t="s">
        <v>2680</v>
      </c>
      <c r="C1020" s="1776"/>
      <c r="D1020" s="1952" t="s">
        <v>1504</v>
      </c>
      <c r="E1020" s="1952"/>
      <c r="F1020" s="1952"/>
      <c r="G1020" s="686"/>
    </row>
    <row r="1021" spans="1:9" ht="12.75" customHeight="1">
      <c r="A1021" s="254"/>
      <c r="B1021" s="1772"/>
      <c r="C1021" s="1776"/>
      <c r="D1021" s="1952" t="s">
        <v>2332</v>
      </c>
      <c r="E1021" s="1952"/>
      <c r="F1021" s="1952"/>
      <c r="G1021" s="686"/>
    </row>
    <row r="1022" spans="1:9" s="1772" customFormat="1" ht="12.75" customHeight="1">
      <c r="A1022" s="254"/>
      <c r="C1022" s="1776"/>
      <c r="D1022" s="1770"/>
      <c r="E1022" s="1770"/>
      <c r="F1022" s="1770"/>
      <c r="G1022" s="686"/>
      <c r="I1022" s="1774"/>
    </row>
    <row r="1023" spans="1:9" ht="12.75" customHeight="1">
      <c r="A1023" s="254"/>
      <c r="B1023" s="254"/>
      <c r="C1023" s="1734"/>
      <c r="D1023" s="1971" t="s">
        <v>1184</v>
      </c>
      <c r="E1023" s="1971"/>
      <c r="F1023" s="1971"/>
      <c r="G1023" s="686"/>
      <c r="I1023" s="1774" t="s">
        <v>2487</v>
      </c>
    </row>
    <row r="1024" spans="1:9" ht="12.75" customHeight="1">
      <c r="A1024" s="503"/>
      <c r="B1024" s="503"/>
      <c r="C1024" s="502"/>
      <c r="D1024" s="1972" t="s">
        <v>1201</v>
      </c>
      <c r="E1024" s="1972"/>
      <c r="F1024" s="1972"/>
      <c r="G1024" s="1763"/>
    </row>
    <row r="1025" spans="1:9" ht="12.75" customHeight="1">
      <c r="A1025" s="714"/>
      <c r="B1025" s="1775" t="s">
        <v>2680</v>
      </c>
      <c r="C1025" s="557"/>
      <c r="D1025" s="1942" t="s">
        <v>1069</v>
      </c>
      <c r="E1025" s="1942"/>
      <c r="F1025" s="1942"/>
      <c r="G1025" s="678"/>
    </row>
    <row r="1026" spans="1:9" ht="12.75" customHeight="1">
      <c r="A1026" s="1726"/>
      <c r="B1026" s="1726"/>
      <c r="C1026" s="557"/>
      <c r="D1026" s="6"/>
      <c r="E1026" s="1967" t="s">
        <v>1185</v>
      </c>
      <c r="F1026" s="1967"/>
      <c r="G1026" s="678"/>
    </row>
    <row r="1027" spans="1:9">
      <c r="A1027" s="790"/>
      <c r="B1027" s="790"/>
      <c r="C1027" s="790"/>
      <c r="D1027" s="790"/>
      <c r="E1027" s="790"/>
      <c r="F1027" s="790"/>
      <c r="G1027" s="790"/>
    </row>
    <row r="1028" spans="1:9">
      <c r="A1028" s="1965" t="s">
        <v>2352</v>
      </c>
      <c r="B1028" s="1965"/>
      <c r="C1028" s="1965"/>
      <c r="D1028" s="1965"/>
      <c r="E1028" s="1965"/>
      <c r="F1028" s="1965"/>
      <c r="G1028" s="1965"/>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2680</v>
      </c>
      <c r="C1033" s="790"/>
      <c r="D1033" s="1968" t="s">
        <v>2336</v>
      </c>
      <c r="E1033" s="1968"/>
      <c r="F1033" s="1968"/>
      <c r="G1033" s="790"/>
      <c r="I1033" s="1774" t="s">
        <v>2459</v>
      </c>
    </row>
    <row r="1034" spans="1:9">
      <c r="A1034" s="790"/>
      <c r="B1034" s="790"/>
      <c r="C1034" s="790"/>
      <c r="D1034" s="1968"/>
      <c r="E1034" s="1968"/>
      <c r="F1034" s="1968"/>
      <c r="G1034" s="790"/>
    </row>
    <row r="1035" spans="1:9">
      <c r="A1035" s="790"/>
      <c r="B1035" s="790"/>
      <c r="C1035" s="790"/>
      <c r="D1035" s="1968"/>
      <c r="E1035" s="1968"/>
      <c r="F1035" s="1968"/>
      <c r="G1035" s="790"/>
    </row>
    <row r="1036" spans="1:9">
      <c r="A1036" s="790"/>
      <c r="B1036" s="790"/>
      <c r="C1036" s="790"/>
      <c r="D1036" s="1968"/>
      <c r="E1036" s="1968"/>
      <c r="F1036" s="1968"/>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2679</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2679</v>
      </c>
      <c r="C1043" s="790"/>
      <c r="D1043" s="1968" t="s">
        <v>2340</v>
      </c>
      <c r="E1043" s="1968"/>
      <c r="F1043" s="1968"/>
      <c r="G1043" s="790"/>
      <c r="I1043" s="1774" t="s">
        <v>2461</v>
      </c>
    </row>
    <row r="1044" spans="1:9">
      <c r="A1044" s="790"/>
      <c r="B1044" s="790"/>
      <c r="C1044" s="790"/>
      <c r="D1044" s="1968"/>
      <c r="E1044" s="1968"/>
      <c r="F1044" s="1968"/>
      <c r="G1044" s="790"/>
    </row>
    <row r="1045" spans="1:9">
      <c r="A1045" s="790"/>
      <c r="B1045" s="790"/>
      <c r="C1045" s="790"/>
      <c r="D1045" s="1968"/>
      <c r="E1045" s="1968"/>
      <c r="F1045" s="1968"/>
      <c r="G1045" s="790"/>
    </row>
    <row r="1046" spans="1:9">
      <c r="A1046" s="790"/>
      <c r="B1046" s="790"/>
      <c r="C1046" s="790"/>
      <c r="D1046" s="1968"/>
      <c r="E1046" s="1968"/>
      <c r="F1046" s="1968"/>
      <c r="G1046" s="790"/>
    </row>
    <row r="1047" spans="1:9">
      <c r="A1047" s="790"/>
      <c r="B1047" s="790"/>
      <c r="C1047" s="790"/>
      <c r="D1047" s="1968"/>
      <c r="E1047" s="1968"/>
      <c r="F1047" s="1968"/>
      <c r="G1047" s="790"/>
    </row>
    <row r="1048" spans="1:9">
      <c r="A1048" s="790"/>
      <c r="B1048" s="790"/>
      <c r="C1048" s="790"/>
      <c r="D1048" s="790"/>
      <c r="E1048" s="790"/>
      <c r="F1048" s="790"/>
      <c r="G1048" s="790"/>
    </row>
    <row r="1049" spans="1:9">
      <c r="A1049" s="1965" t="s">
        <v>2341</v>
      </c>
      <c r="B1049" s="1965"/>
      <c r="C1049" s="1965"/>
      <c r="D1049" s="1965"/>
      <c r="E1049" s="1965"/>
      <c r="F1049" s="1965"/>
      <c r="G1049" s="1965"/>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2679</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2679</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2680</v>
      </c>
      <c r="C1058" s="790"/>
      <c r="D1058" s="1766" t="s">
        <v>2350</v>
      </c>
      <c r="E1058" s="1771"/>
      <c r="F1058" s="790"/>
      <c r="G1058" s="790"/>
      <c r="I1058" s="1774" t="s">
        <v>2464</v>
      </c>
    </row>
    <row r="1059" spans="1:9" s="1772" customFormat="1">
      <c r="D1059" s="1969" t="s">
        <v>2351</v>
      </c>
      <c r="E1059" s="1969"/>
      <c r="F1059" s="1969"/>
      <c r="I1059" s="1774"/>
    </row>
    <row r="1060" spans="1:9" s="1772" customFormat="1">
      <c r="D1060" s="1969"/>
      <c r="E1060" s="1969"/>
      <c r="F1060" s="1969"/>
      <c r="I1060" s="1774"/>
    </row>
    <row r="1061" spans="1:9" s="1772" customFormat="1">
      <c r="D1061" s="1969"/>
      <c r="E1061" s="1969"/>
      <c r="F1061" s="1969"/>
      <c r="I1061" s="1774"/>
    </row>
    <row r="1062" spans="1:9" s="1772" customFormat="1">
      <c r="D1062" s="1969"/>
      <c r="E1062" s="1969"/>
      <c r="F1062" s="1969"/>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2680</v>
      </c>
      <c r="C1066" s="790"/>
      <c r="D1066" s="1964" t="s">
        <v>2343</v>
      </c>
      <c r="E1066" s="1964"/>
      <c r="F1066" s="1964"/>
      <c r="G1066" s="790"/>
    </row>
    <row r="1067" spans="1:9" s="1772" customFormat="1">
      <c r="D1067" s="1964"/>
      <c r="E1067" s="1964"/>
      <c r="F1067" s="1964"/>
      <c r="I1067" s="1774"/>
    </row>
    <row r="1068" spans="1:9" s="1772" customFormat="1">
      <c r="D1068" s="1964"/>
      <c r="E1068" s="1964"/>
      <c r="F1068" s="1964"/>
      <c r="I1068" s="1774"/>
    </row>
    <row r="1069" spans="1:9" s="1772" customFormat="1">
      <c r="D1069" s="1964"/>
      <c r="E1069" s="1964"/>
      <c r="F1069" s="1964"/>
      <c r="I1069" s="1774"/>
    </row>
    <row r="1070" spans="1:9">
      <c r="A1070" s="790"/>
      <c r="B1070" s="790"/>
      <c r="C1070" s="790"/>
      <c r="D1070" s="1964"/>
      <c r="E1070" s="1964"/>
      <c r="F1070" s="1964"/>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65" t="s">
        <v>2353</v>
      </c>
      <c r="B1073" s="1965"/>
      <c r="C1073" s="1965"/>
      <c r="D1073" s="1965"/>
      <c r="E1073" s="1965"/>
      <c r="F1073" s="1965"/>
      <c r="G1073" s="1965"/>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2680</v>
      </c>
      <c r="C1076" s="790"/>
      <c r="D1076" s="1964" t="s">
        <v>2354</v>
      </c>
      <c r="E1076" s="1964"/>
      <c r="F1076" s="1964"/>
      <c r="G1076" s="790"/>
      <c r="I1076" s="1774" t="s">
        <v>2466</v>
      </c>
    </row>
    <row r="1077" spans="1:9" s="1772" customFormat="1">
      <c r="D1077" s="1964"/>
      <c r="E1077" s="1964"/>
      <c r="F1077" s="1964"/>
      <c r="I1077" s="1774"/>
    </row>
    <row r="1078" spans="1:9" s="1772" customFormat="1">
      <c r="D1078" s="1964"/>
      <c r="E1078" s="1964"/>
      <c r="F1078" s="1964"/>
      <c r="I1078" s="1774"/>
    </row>
    <row r="1079" spans="1:9" s="1772" customFormat="1">
      <c r="D1079" s="1767"/>
      <c r="I1079" s="1774"/>
    </row>
    <row r="1080" spans="1:9">
      <c r="A1080" s="790"/>
      <c r="B1080" s="1775" t="s">
        <v>2680</v>
      </c>
      <c r="C1080" s="790"/>
      <c r="D1080" s="1964" t="s">
        <v>2355</v>
      </c>
      <c r="E1080" s="1964"/>
      <c r="F1080" s="1964"/>
      <c r="G1080" s="790"/>
      <c r="I1080" s="1774" t="s">
        <v>2467</v>
      </c>
    </row>
    <row r="1081" spans="1:9" s="1772" customFormat="1">
      <c r="D1081" s="1964"/>
      <c r="E1081" s="1964"/>
      <c r="F1081" s="1964"/>
      <c r="I1081" s="1774"/>
    </row>
    <row r="1082" spans="1:9" s="1772" customFormat="1">
      <c r="D1082" s="1767"/>
      <c r="I1082" s="1774"/>
    </row>
    <row r="1083" spans="1:9">
      <c r="A1083" s="790"/>
      <c r="B1083" s="1775" t="s">
        <v>2680</v>
      </c>
      <c r="C1083" s="790"/>
      <c r="D1083" s="1964" t="s">
        <v>2514</v>
      </c>
      <c r="E1083" s="1964"/>
      <c r="F1083" s="1964"/>
      <c r="G1083" s="790"/>
      <c r="I1083" s="1774" t="s">
        <v>2512</v>
      </c>
    </row>
    <row r="1084" spans="1:9" s="1772" customFormat="1">
      <c r="D1084" s="1964"/>
      <c r="E1084" s="1964"/>
      <c r="F1084" s="1964"/>
      <c r="I1084" s="1774"/>
    </row>
    <row r="1085" spans="1:9" s="1772" customFormat="1">
      <c r="D1085" s="1964"/>
      <c r="E1085" s="1964"/>
      <c r="F1085" s="1964"/>
      <c r="I1085" s="1774"/>
    </row>
    <row r="1086" spans="1:9" s="1772" customFormat="1">
      <c r="D1086" s="1964"/>
      <c r="E1086" s="1964"/>
      <c r="F1086" s="1964"/>
      <c r="I1086" s="1774"/>
    </row>
    <row r="1087" spans="1:9" s="1772" customFormat="1">
      <c r="D1087" s="1964"/>
      <c r="E1087" s="1964"/>
      <c r="F1087" s="1964"/>
      <c r="I1087" s="1774"/>
    </row>
    <row r="1088" spans="1:9" s="1772" customFormat="1">
      <c r="D1088" s="1964"/>
      <c r="E1088" s="1964"/>
      <c r="F1088" s="1964"/>
      <c r="I1088" s="1774"/>
    </row>
    <row r="1089" spans="1:9" s="1773" customFormat="1" ht="12.5">
      <c r="B1089" s="1772"/>
      <c r="D1089" s="1767" t="s">
        <v>2513</v>
      </c>
    </row>
    <row r="1090" spans="1:9">
      <c r="A1090" s="790"/>
      <c r="B1090" s="1775" t="s">
        <v>2680</v>
      </c>
      <c r="C1090" s="790"/>
      <c r="D1090" s="1964" t="s">
        <v>2356</v>
      </c>
      <c r="E1090" s="1964"/>
      <c r="F1090" s="1964"/>
      <c r="G1090" s="790"/>
      <c r="I1090" s="1837" t="s">
        <v>2468</v>
      </c>
    </row>
    <row r="1091" spans="1:9" s="1772" customFormat="1">
      <c r="D1091" s="1964"/>
      <c r="E1091" s="1964"/>
      <c r="F1091" s="1964"/>
      <c r="I1091" s="1774"/>
    </row>
    <row r="1092" spans="1:9" s="1772" customFormat="1">
      <c r="D1092" s="1964"/>
      <c r="E1092" s="1964"/>
      <c r="F1092" s="1964"/>
      <c r="I1092" s="1774"/>
    </row>
    <row r="1093" spans="1:9" s="1772" customFormat="1">
      <c r="D1093" s="1767"/>
      <c r="I1093" s="1774"/>
    </row>
    <row r="1094" spans="1:9">
      <c r="A1094" s="790"/>
      <c r="B1094" s="1775" t="s">
        <v>2679</v>
      </c>
      <c r="C1094" s="790"/>
      <c r="D1094" s="1966" t="s">
        <v>2515</v>
      </c>
      <c r="E1094" s="1966"/>
      <c r="F1094" s="1966"/>
      <c r="G1094" s="790"/>
      <c r="I1094" s="1774" t="s">
        <v>2469</v>
      </c>
    </row>
    <row r="1095" spans="1:9">
      <c r="A1095" s="790"/>
      <c r="B1095" s="790"/>
      <c r="C1095" s="790"/>
      <c r="D1095" s="1966"/>
      <c r="E1095" s="1966"/>
      <c r="F1095" s="1966"/>
      <c r="G1095" s="790"/>
    </row>
    <row r="1096" spans="1:9">
      <c r="A1096" s="790"/>
      <c r="B1096" s="790"/>
      <c r="C1096" s="790"/>
      <c r="D1096" s="1966"/>
      <c r="E1096" s="1966"/>
      <c r="F1096" s="1966"/>
      <c r="G1096" s="790"/>
    </row>
    <row r="1097" spans="1:9" s="1772" customFormat="1">
      <c r="D1097" s="1849"/>
      <c r="E1097" s="1849"/>
      <c r="F1097" s="1849"/>
      <c r="I1097" s="1774"/>
    </row>
    <row r="1098" spans="1:9" s="1772" customFormat="1" ht="15.75" customHeight="1">
      <c r="B1098" s="1775" t="s">
        <v>2680</v>
      </c>
      <c r="D1098" s="1877" t="s">
        <v>2517</v>
      </c>
      <c r="E1098" s="1877"/>
      <c r="F1098" s="1877"/>
      <c r="I1098" s="1774" t="s">
        <v>2516</v>
      </c>
    </row>
    <row r="1099" spans="1:9" s="1772" customFormat="1">
      <c r="D1099" s="1877"/>
      <c r="E1099" s="1877"/>
      <c r="F1099" s="1877"/>
      <c r="I1099" s="1774"/>
    </row>
    <row r="1100" spans="1:9" s="1772" customFormat="1">
      <c r="D1100" s="1877"/>
      <c r="E1100" s="1877"/>
      <c r="F1100" s="1877"/>
      <c r="I1100" s="1774"/>
    </row>
    <row r="1101" spans="1:9" s="1772" customFormat="1">
      <c r="D1101" s="1877"/>
      <c r="E1101" s="1877"/>
      <c r="F1101" s="1877"/>
      <c r="I1101" s="1774"/>
    </row>
    <row r="1102" spans="1:9" s="1772" customFormat="1">
      <c r="D1102" s="1849"/>
      <c r="E1102" s="1849"/>
      <c r="F1102" s="1849"/>
      <c r="I1102" s="1774"/>
    </row>
    <row r="1103" spans="1:9" ht="37.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13"/>
      <c r="H1516" s="1913"/>
      <c r="I1516" s="191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I933" sqref="I933:T933"/>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15" t="s">
        <v>105</v>
      </c>
      <c r="B8" s="2315"/>
      <c r="C8" s="2315"/>
      <c r="D8" s="2315"/>
      <c r="E8" s="2315"/>
      <c r="F8" s="2315"/>
      <c r="G8" s="2315"/>
      <c r="H8" s="2315"/>
      <c r="I8" s="2315"/>
      <c r="J8" s="2315"/>
      <c r="K8" s="2315"/>
      <c r="L8" s="2315"/>
      <c r="M8" s="2315"/>
      <c r="N8" s="2315"/>
      <c r="O8" s="2315"/>
      <c r="P8" s="2315"/>
      <c r="Q8" s="2315"/>
      <c r="R8" s="2315"/>
      <c r="S8" s="2315"/>
      <c r="T8" s="2315"/>
      <c r="U8" s="2315"/>
      <c r="V8" s="2315"/>
      <c r="W8" s="2315"/>
      <c r="X8" s="2315"/>
      <c r="Y8" s="2315"/>
      <c r="Z8" s="2315"/>
      <c r="AA8" s="2315"/>
      <c r="AB8" s="2315"/>
      <c r="AC8" s="2315"/>
      <c r="AD8" s="2315"/>
      <c r="AE8" s="2315"/>
      <c r="AF8" s="2315"/>
      <c r="AG8" s="2315"/>
      <c r="AH8" s="2315"/>
      <c r="AI8" s="2315"/>
      <c r="AJ8" s="2315"/>
      <c r="AK8" s="2315"/>
      <c r="AL8" s="2315"/>
      <c r="AM8" s="1571"/>
      <c r="AN8" s="1571"/>
      <c r="AO8" s="1571"/>
      <c r="AP8" s="1571"/>
      <c r="AQ8" s="1571"/>
      <c r="AR8" s="1571"/>
      <c r="AS8" s="1571"/>
      <c r="AT8" s="1571"/>
      <c r="AU8" s="1571"/>
      <c r="AV8" s="1571"/>
      <c r="AW8" s="1571"/>
      <c r="AX8" s="1571"/>
      <c r="AY8" s="1571"/>
    </row>
    <row r="9" spans="1:96" s="719" customFormat="1" ht="13">
      <c r="A9" s="2450" t="s">
        <v>1990</v>
      </c>
      <c r="B9" s="2450"/>
      <c r="C9" s="2450"/>
      <c r="D9" s="2450"/>
      <c r="E9" s="2450"/>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0"/>
      <c r="AD9" s="2450"/>
      <c r="AE9" s="2450"/>
      <c r="AF9" s="2450"/>
      <c r="AG9" s="2450"/>
      <c r="AH9" s="2450"/>
      <c r="AI9" s="2450"/>
      <c r="AJ9" s="2450"/>
      <c r="AK9" s="2450"/>
      <c r="AL9" s="2450"/>
      <c r="AM9" s="1510"/>
      <c r="AN9" s="1510"/>
      <c r="AO9" s="1510"/>
      <c r="AP9" s="1510"/>
      <c r="AQ9" s="1510"/>
      <c r="AR9" s="1510"/>
      <c r="AS9" s="1510"/>
      <c r="AT9" s="1510"/>
      <c r="AU9" s="1510"/>
      <c r="AV9" s="1510"/>
      <c r="AW9" s="1510"/>
      <c r="AX9" s="1510"/>
      <c r="AY9" s="1510"/>
      <c r="CR9" s="25"/>
    </row>
    <row r="10" spans="1:96" ht="15" customHeight="1">
      <c r="A10" s="2117" t="s">
        <v>1991</v>
      </c>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0"/>
      <c r="AN10" s="20"/>
      <c r="AO10" s="20"/>
      <c r="AP10" s="20"/>
      <c r="AQ10" s="20"/>
      <c r="AR10" s="20"/>
      <c r="AS10" s="20"/>
      <c r="AT10" s="20"/>
      <c r="AU10" s="20"/>
      <c r="AV10" s="20"/>
      <c r="AW10" s="20"/>
      <c r="AX10" s="20"/>
      <c r="AY10" s="20"/>
    </row>
    <row r="11" spans="1:96" ht="15" customHeight="1">
      <c r="A11" s="2450" t="s">
        <v>2011</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0"/>
      <c r="AK11" s="2450"/>
      <c r="AL11" s="2450"/>
      <c r="AM11" s="1510"/>
      <c r="AN11" s="1510"/>
      <c r="AO11" s="1510"/>
      <c r="AP11" s="1510"/>
      <c r="AQ11" s="1510"/>
      <c r="AR11" s="1510"/>
      <c r="AS11" s="1510"/>
      <c r="AT11" s="1510"/>
      <c r="AU11" s="1510"/>
      <c r="AV11" s="1510"/>
      <c r="AW11" s="1510"/>
      <c r="AX11" s="1510"/>
      <c r="AY11" s="1510"/>
    </row>
    <row r="12" spans="1:96" ht="12.5">
      <c r="A12" s="2475" t="s">
        <v>2519</v>
      </c>
      <c r="B12" s="2476"/>
      <c r="C12" s="2476"/>
      <c r="D12" s="2476"/>
      <c r="E12" s="2476"/>
      <c r="F12" s="2476"/>
      <c r="G12" s="2476"/>
      <c r="H12" s="2476"/>
      <c r="I12" s="2476"/>
      <c r="J12" s="2476"/>
      <c r="K12" s="2476"/>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1516"/>
      <c r="AN12" s="1516"/>
      <c r="AO12" s="1516"/>
      <c r="AP12" s="1516"/>
      <c r="AQ12" s="1516"/>
      <c r="AR12" s="1516"/>
      <c r="AS12" s="1516"/>
      <c r="AT12" s="1516"/>
      <c r="AU12" s="1516"/>
      <c r="AV12" s="1516"/>
      <c r="AW12" s="1516"/>
      <c r="AX12" s="1516"/>
      <c r="AY12" s="1516"/>
    </row>
    <row r="13" spans="1:96" ht="13">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56" t="s">
        <v>2617</v>
      </c>
      <c r="I16" s="2446"/>
      <c r="J16" s="2446"/>
      <c r="K16" s="2446"/>
      <c r="L16" s="2446"/>
      <c r="M16" s="2446"/>
      <c r="N16" s="2446"/>
      <c r="O16" s="2446"/>
      <c r="P16" s="2446"/>
      <c r="Q16" s="2446"/>
      <c r="R16" s="2446"/>
      <c r="S16" s="2446"/>
      <c r="T16" s="2446"/>
      <c r="U16" s="2446"/>
      <c r="V16" s="2446"/>
      <c r="W16" s="2446"/>
      <c r="X16" s="2446"/>
      <c r="Y16" s="2446"/>
      <c r="Z16" s="2446"/>
      <c r="AA16" s="2446"/>
      <c r="AB16" s="2446"/>
      <c r="AC16" s="2446"/>
      <c r="AD16" s="2446"/>
      <c r="AE16" s="2446"/>
      <c r="AF16" s="2446"/>
      <c r="AG16" s="2446"/>
      <c r="AH16" s="2446"/>
      <c r="AI16" s="2446"/>
      <c r="AJ16" s="2446"/>
    </row>
    <row r="17" spans="1:96" ht="12.75" customHeight="1"/>
    <row r="18" spans="1:96" ht="12.75" customHeight="1">
      <c r="A18" s="134" t="s">
        <v>106</v>
      </c>
      <c r="C18" s="7"/>
      <c r="D18" s="7"/>
      <c r="E18" s="7"/>
      <c r="F18" s="7"/>
      <c r="G18" s="7"/>
      <c r="H18" s="2322" t="s">
        <v>2599</v>
      </c>
      <c r="I18" s="2359"/>
      <c r="J18" s="2359"/>
      <c r="K18" s="2359"/>
      <c r="L18" s="2359"/>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row>
    <row r="19" spans="1:96" ht="12.75" customHeight="1"/>
    <row r="20" spans="1:96" ht="14.25" customHeight="1">
      <c r="A20" s="2463" t="s">
        <v>936</v>
      </c>
      <c r="B20" s="2463"/>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2463"/>
      <c r="AM20" s="1574"/>
      <c r="AN20" s="1574"/>
      <c r="AO20" s="1574"/>
      <c r="AP20" s="1574"/>
      <c r="AQ20" s="1574"/>
      <c r="AR20" s="1574"/>
      <c r="AS20" s="1574"/>
      <c r="AT20" s="1574"/>
      <c r="AU20" s="1574"/>
      <c r="AV20" s="1574"/>
      <c r="AW20" s="1574"/>
      <c r="AX20" s="1574"/>
      <c r="AY20" s="1574"/>
    </row>
    <row r="21" spans="1:96" ht="12.75" customHeight="1">
      <c r="A21" s="2478" t="s">
        <v>1115</v>
      </c>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247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7">
        <f>'Basis &amp; Credits'!AB56</f>
        <v>1151692</v>
      </c>
      <c r="N26" s="2477"/>
      <c r="O26" s="2477"/>
      <c r="P26" s="2477"/>
      <c r="Q26" s="247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41">
        <f>'Basis &amp; Credits'!AB77</f>
        <v>0</v>
      </c>
      <c r="N27" s="2041"/>
      <c r="O27" s="2041"/>
      <c r="P27" s="2041"/>
      <c r="Q27" s="204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46" t="s">
        <v>706</v>
      </c>
      <c r="P33" s="2046"/>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64"/>
      <c r="H122" s="2464"/>
      <c r="I122" s="239" t="s">
        <v>187</v>
      </c>
      <c r="L122" s="2464"/>
      <c r="M122" s="2464"/>
      <c r="N122" s="2464"/>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80"/>
      <c r="D124" s="2480"/>
      <c r="E124" s="2480"/>
      <c r="F124" s="2480"/>
      <c r="G124" s="2480"/>
      <c r="H124" s="2480"/>
      <c r="I124" s="2480"/>
      <c r="J124" s="2480"/>
      <c r="K124" s="248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64"/>
      <c r="Z126" s="2464"/>
      <c r="AA126" s="2464"/>
      <c r="AB126" s="2464"/>
      <c r="AC126" s="2464"/>
      <c r="AD126" s="2464"/>
      <c r="AE126" s="2464"/>
      <c r="AF126" s="2464"/>
      <c r="AG126" s="2464"/>
      <c r="AH126" s="2464"/>
      <c r="AI126" s="2464"/>
      <c r="AJ126" s="2464"/>
      <c r="AK126" s="2464"/>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49"/>
      <c r="Z129" s="2449"/>
      <c r="AA129" s="2449"/>
      <c r="AB129" s="2449"/>
      <c r="AC129" s="2449"/>
      <c r="AD129" s="2449"/>
      <c r="AE129" s="2449"/>
      <c r="AF129" s="2449"/>
      <c r="AG129" s="2449"/>
      <c r="AH129" s="2449"/>
      <c r="AI129" s="2449"/>
      <c r="AJ129" s="2449"/>
      <c r="AK129" s="2449"/>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9"/>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9"/>
      <c r="G150" s="2479"/>
      <c r="H150" s="2479"/>
      <c r="I150" s="2479"/>
      <c r="J150" s="2479"/>
      <c r="K150" s="2479"/>
      <c r="L150" s="2479"/>
      <c r="M150" s="2479"/>
      <c r="N150" s="2479"/>
      <c r="O150" s="2479"/>
      <c r="P150" s="2479"/>
      <c r="Q150" s="2479"/>
      <c r="R150" s="2479"/>
      <c r="S150" s="2479"/>
      <c r="T150" s="247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322" t="s">
        <v>2520</v>
      </c>
      <c r="P153" s="2359"/>
      <c r="Q153" s="2359"/>
      <c r="R153" s="2359"/>
      <c r="S153" s="2359"/>
      <c r="T153" s="2359"/>
      <c r="U153" s="2359"/>
      <c r="V153" s="2359"/>
      <c r="W153" s="2359"/>
      <c r="X153" s="2359"/>
      <c r="Y153" s="2359"/>
      <c r="Z153" s="2359"/>
      <c r="AA153" s="2359"/>
      <c r="AB153" s="2359"/>
      <c r="AC153" s="2359"/>
      <c r="AD153" s="2359"/>
      <c r="AE153" s="2359"/>
      <c r="AF153" s="2359"/>
      <c r="AG153" s="2359"/>
      <c r="AH153" s="2359"/>
    </row>
    <row r="154" spans="1:96" ht="12.75" customHeight="1">
      <c r="D154" s="466" t="s">
        <v>462</v>
      </c>
      <c r="F154" s="32"/>
      <c r="G154" s="32"/>
      <c r="H154" s="32"/>
      <c r="I154" s="32"/>
      <c r="J154" s="32"/>
      <c r="K154" s="32"/>
      <c r="L154" s="32"/>
      <c r="M154" s="32"/>
      <c r="N154" s="32"/>
      <c r="O154" s="2102" t="s">
        <v>2521</v>
      </c>
      <c r="P154" s="2047"/>
      <c r="Q154" s="2047"/>
      <c r="R154" s="2047"/>
      <c r="S154" s="2047"/>
      <c r="T154" s="2047"/>
      <c r="U154" s="2047"/>
      <c r="V154" s="2047"/>
      <c r="W154" s="2047"/>
      <c r="X154" s="2047"/>
      <c r="Y154" s="2047"/>
      <c r="Z154" s="2047"/>
      <c r="AA154" s="2047"/>
      <c r="AB154" s="2047"/>
      <c r="AC154" s="2047"/>
      <c r="AD154" s="2047"/>
      <c r="AE154" s="2047"/>
      <c r="AF154" s="2047"/>
      <c r="AG154" s="2047"/>
      <c r="AH154" s="2047"/>
      <c r="AZ154" s="25"/>
    </row>
    <row r="155" spans="1:96" ht="12.5">
      <c r="D155" s="13" t="s">
        <v>464</v>
      </c>
      <c r="F155" s="13"/>
      <c r="G155" s="13"/>
      <c r="H155" s="13"/>
      <c r="I155" s="13"/>
      <c r="J155" s="13"/>
      <c r="K155" s="13"/>
      <c r="L155" s="13"/>
      <c r="M155" s="13"/>
      <c r="N155" s="13"/>
      <c r="O155" s="2451" t="s">
        <v>463</v>
      </c>
      <c r="P155" s="2451"/>
      <c r="Q155" s="2451"/>
      <c r="R155" s="2451"/>
      <c r="S155" s="2451"/>
      <c r="T155" s="2451"/>
      <c r="U155" s="2451"/>
      <c r="V155" s="2451"/>
      <c r="W155" s="2451"/>
      <c r="X155" s="2451"/>
      <c r="Y155" s="2451"/>
      <c r="Z155" s="2451"/>
      <c r="AA155" s="2451"/>
      <c r="AB155" s="2451"/>
      <c r="AC155" s="2451"/>
      <c r="AD155" s="2451"/>
      <c r="AE155" s="2451"/>
      <c r="AF155" s="2451"/>
      <c r="AG155" s="2451"/>
      <c r="AH155" s="2451"/>
      <c r="AZ155" s="25"/>
    </row>
    <row r="156" spans="1:96" ht="12.5">
      <c r="D156" s="32" t="s">
        <v>322</v>
      </c>
      <c r="F156" s="32"/>
      <c r="G156" s="32"/>
      <c r="H156" s="32"/>
      <c r="I156" s="32"/>
      <c r="J156" s="32"/>
      <c r="K156" s="32"/>
      <c r="L156" s="32"/>
      <c r="M156" s="32"/>
      <c r="N156" s="32"/>
      <c r="O156" s="2054" t="s">
        <v>2522</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3">
      <c r="D157" s="32" t="s">
        <v>323</v>
      </c>
      <c r="F157" s="32"/>
      <c r="G157" s="32"/>
      <c r="H157" s="32"/>
      <c r="I157" s="32"/>
      <c r="J157" s="32"/>
      <c r="K157" s="32"/>
      <c r="L157" s="32"/>
      <c r="M157" s="32"/>
      <c r="N157" s="32"/>
      <c r="O157" s="2322" t="s">
        <v>2523</v>
      </c>
      <c r="P157" s="2359"/>
      <c r="Q157" s="2359"/>
      <c r="R157" s="2359"/>
      <c r="S157" s="2359"/>
      <c r="T157" s="2359"/>
      <c r="U157" s="2359"/>
      <c r="V157" s="2359"/>
      <c r="W157" s="2359"/>
      <c r="X157" s="2359"/>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52">
        <v>92630</v>
      </c>
      <c r="P158" s="2452"/>
      <c r="Q158" s="2452"/>
      <c r="R158" s="2452"/>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4">
        <v>9494613410</v>
      </c>
      <c r="P159" s="2454"/>
      <c r="Q159" s="2454"/>
      <c r="R159" s="2454"/>
      <c r="S159" s="2454"/>
      <c r="T159" s="2454"/>
      <c r="V159" s="146" t="s">
        <v>277</v>
      </c>
      <c r="W159" s="2453"/>
      <c r="X159" s="2453"/>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4">
        <v>9494613510</v>
      </c>
      <c r="P160" s="2454"/>
      <c r="Q160" s="2454"/>
      <c r="R160" s="2454"/>
      <c r="S160" s="2454"/>
      <c r="T160" s="2454"/>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65" t="s">
        <v>2524</v>
      </c>
      <c r="P161" s="2365"/>
      <c r="Q161" s="2365"/>
      <c r="R161" s="2365"/>
      <c r="S161" s="2365"/>
      <c r="T161" s="2365"/>
      <c r="U161" s="2365"/>
      <c r="V161" s="2365"/>
      <c r="W161" s="2365"/>
      <c r="X161" s="2365"/>
      <c r="Y161" s="2365"/>
      <c r="Z161" s="2365"/>
      <c r="AA161" s="2365"/>
      <c r="AB161" s="2365"/>
      <c r="AC161" s="2365"/>
      <c r="AD161" s="2365"/>
      <c r="AE161" s="2365"/>
      <c r="AF161" s="2365"/>
      <c r="AG161" s="2365"/>
      <c r="AH161" s="2365"/>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81" t="s">
        <v>1455</v>
      </c>
      <c r="E164" s="2481"/>
      <c r="F164" s="2481"/>
      <c r="G164" s="2481"/>
      <c r="H164" s="2481"/>
      <c r="I164" s="2481"/>
      <c r="J164" s="2481"/>
      <c r="K164" s="2481"/>
      <c r="L164" s="2481"/>
      <c r="M164" s="2481"/>
      <c r="N164" s="2481"/>
      <c r="O164" s="2481"/>
      <c r="P164" s="2481"/>
      <c r="Q164" s="2481"/>
      <c r="R164" s="2481"/>
      <c r="S164" s="2481"/>
      <c r="T164" s="2481"/>
      <c r="U164" s="2481"/>
      <c r="V164" s="2481"/>
      <c r="W164" s="2481"/>
      <c r="X164" s="2481"/>
      <c r="Y164" s="2481"/>
      <c r="Z164" s="2481"/>
      <c r="AA164" s="2481"/>
      <c r="AB164" s="2481"/>
      <c r="AC164" s="2481"/>
      <c r="AD164" s="2481"/>
      <c r="AE164" s="2481"/>
      <c r="AF164" s="2481"/>
      <c r="AG164" s="2481"/>
      <c r="AH164" s="2481"/>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84" t="s">
        <v>572</v>
      </c>
      <c r="B169" s="2384"/>
      <c r="C169" s="2384"/>
      <c r="D169" s="2384"/>
      <c r="E169" s="2384"/>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D169" s="2384"/>
      <c r="AE169" s="2384"/>
      <c r="AF169" s="2384"/>
      <c r="AG169" s="2384"/>
      <c r="AH169" s="2384"/>
      <c r="AI169" s="2384"/>
      <c r="AJ169" s="2384"/>
      <c r="AK169" s="2384"/>
      <c r="AL169" s="238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85"/>
      <c r="B170" s="2385"/>
      <c r="C170" s="2385"/>
      <c r="D170" s="2385"/>
      <c r="E170" s="2385"/>
      <c r="F170" s="2385"/>
      <c r="G170" s="2385"/>
      <c r="H170" s="2385"/>
      <c r="I170" s="2385"/>
      <c r="J170" s="2385"/>
      <c r="K170" s="2385"/>
      <c r="L170" s="2385"/>
      <c r="M170" s="2385"/>
      <c r="N170" s="2385"/>
      <c r="O170" s="2385"/>
      <c r="P170" s="2385"/>
      <c r="Q170" s="2385"/>
      <c r="R170" s="2385"/>
      <c r="S170" s="2385"/>
      <c r="T170" s="2385"/>
      <c r="U170" s="2385"/>
      <c r="V170" s="2385"/>
      <c r="W170" s="2385"/>
      <c r="X170" s="2385"/>
      <c r="Y170" s="2385"/>
      <c r="Z170" s="2385"/>
      <c r="AA170" s="2385"/>
      <c r="AB170" s="2385"/>
      <c r="AC170" s="2385"/>
      <c r="AD170" s="2385"/>
      <c r="AE170" s="2385"/>
      <c r="AF170" s="2385"/>
      <c r="AG170" s="2385"/>
      <c r="AH170" s="2385"/>
      <c r="AI170" s="2385"/>
      <c r="AJ170" s="2385"/>
      <c r="AK170" s="2385"/>
      <c r="AL170" s="23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70" t="s">
        <v>389</v>
      </c>
      <c r="K173" s="2470"/>
      <c r="L173" s="2470"/>
      <c r="M173" s="2470"/>
      <c r="N173" s="2470"/>
      <c r="O173" s="2470"/>
      <c r="P173" s="2470"/>
      <c r="Q173" s="2470"/>
      <c r="R173" s="2470"/>
      <c r="S173" s="247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1408</v>
      </c>
      <c r="E174" s="25"/>
      <c r="F174" s="25"/>
      <c r="G174" s="25"/>
      <c r="H174" s="25"/>
      <c r="I174" s="25"/>
      <c r="J174" s="2054" t="s">
        <v>2525</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46" t="s">
        <v>706</v>
      </c>
      <c r="V175" s="204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63"/>
      <c r="V176" s="2063"/>
      <c r="W176" s="4" t="s">
        <v>315</v>
      </c>
      <c r="X176" s="2471"/>
      <c r="Y176" s="247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46"/>
      <c r="S177" s="204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23"/>
      <c r="AG178" s="2323"/>
      <c r="AH178" s="4" t="s">
        <v>315</v>
      </c>
      <c r="AI178" s="2439"/>
      <c r="AJ178" s="2439"/>
      <c r="AK178" s="243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46"/>
      <c r="Y180" s="204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36" t="str">
        <f>H18</f>
        <v>The Meadows Seniors Apartments</v>
      </c>
      <c r="J184" s="2036"/>
      <c r="K184" s="2036"/>
      <c r="L184" s="2036"/>
      <c r="M184" s="2036"/>
      <c r="N184" s="2036"/>
      <c r="O184" s="2036"/>
      <c r="P184" s="2036"/>
      <c r="Q184" s="2036"/>
      <c r="R184" s="2036"/>
      <c r="S184" s="2036"/>
      <c r="T184" s="2036"/>
      <c r="U184" s="2036"/>
      <c r="V184" s="2036"/>
      <c r="W184" s="2036"/>
      <c r="X184" s="2036"/>
      <c r="Y184" s="2036"/>
      <c r="Z184" s="2036"/>
      <c r="AA184" s="2036"/>
      <c r="AB184" s="2036"/>
      <c r="AC184" s="2036"/>
      <c r="AD184" s="2036"/>
      <c r="AE184" s="2036"/>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48" t="s">
        <v>2541</v>
      </c>
      <c r="J185" s="2048"/>
      <c r="K185" s="2048"/>
      <c r="L185" s="2048"/>
      <c r="M185" s="2048"/>
      <c r="N185" s="2048"/>
      <c r="O185" s="2048"/>
      <c r="P185" s="2048"/>
      <c r="Q185" s="2048"/>
      <c r="R185" s="2048"/>
      <c r="S185" s="2048"/>
      <c r="T185" s="2048"/>
      <c r="U185" s="2048"/>
      <c r="V185" s="2048"/>
      <c r="W185" s="2048"/>
      <c r="X185" s="2048"/>
      <c r="Y185" s="2048"/>
      <c r="Z185" s="2048"/>
      <c r="AA185" s="2048"/>
      <c r="AB185" s="2048"/>
      <c r="AC185" s="2048"/>
      <c r="AD185" s="2048"/>
      <c r="AE185" s="2048"/>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59"/>
      <c r="F187" s="2459"/>
      <c r="G187" s="2459"/>
      <c r="H187" s="2459"/>
      <c r="I187" s="2459"/>
      <c r="J187" s="2459"/>
      <c r="K187" s="2459"/>
      <c r="L187" s="2459"/>
      <c r="M187" s="2459"/>
      <c r="N187" s="2459"/>
      <c r="O187" s="2459"/>
      <c r="P187" s="2459"/>
      <c r="Q187" s="2459"/>
      <c r="R187" s="2459"/>
      <c r="S187" s="2459"/>
      <c r="T187" s="2459"/>
      <c r="U187" s="2459"/>
      <c r="V187" s="2459"/>
      <c r="W187" s="2459"/>
      <c r="X187" s="2459"/>
      <c r="Y187" s="2459"/>
      <c r="Z187" s="2459"/>
      <c r="AA187" s="2459"/>
      <c r="AB187" s="2459"/>
      <c r="AC187" s="2459"/>
      <c r="AD187" s="2459"/>
      <c r="AE187" s="245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60"/>
      <c r="F188" s="2460"/>
      <c r="G188" s="2460"/>
      <c r="H188" s="2460"/>
      <c r="I188" s="2460"/>
      <c r="J188" s="2460"/>
      <c r="K188" s="2460"/>
      <c r="L188" s="2460"/>
      <c r="M188" s="2460"/>
      <c r="N188" s="2460"/>
      <c r="O188" s="2460"/>
      <c r="P188" s="2460"/>
      <c r="Q188" s="2460"/>
      <c r="R188" s="2460"/>
      <c r="S188" s="2460"/>
      <c r="T188" s="2460"/>
      <c r="U188" s="2460"/>
      <c r="V188" s="2460"/>
      <c r="W188" s="2460"/>
      <c r="X188" s="2460"/>
      <c r="Y188" s="2460"/>
      <c r="Z188" s="2460"/>
      <c r="AA188" s="2460"/>
      <c r="AB188" s="2460"/>
      <c r="AC188" s="2460"/>
      <c r="AD188" s="2460"/>
      <c r="AE188" s="246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4" t="s">
        <v>2523</v>
      </c>
      <c r="J189" s="2054"/>
      <c r="K189" s="2054"/>
      <c r="L189" s="2054"/>
      <c r="M189" s="2054"/>
      <c r="N189" s="2054"/>
      <c r="O189" s="2054"/>
      <c r="P189" s="2054"/>
      <c r="Q189" s="25" t="s">
        <v>617</v>
      </c>
      <c r="T189" s="2054" t="s">
        <v>67</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8">
        <v>92630</v>
      </c>
      <c r="J190" s="2048"/>
      <c r="K190" s="2048"/>
      <c r="L190" s="2048"/>
      <c r="M190" s="2048"/>
      <c r="N190" s="2048"/>
      <c r="O190" s="25" t="s">
        <v>620</v>
      </c>
      <c r="P190" s="25"/>
      <c r="Q190" s="25"/>
      <c r="R190" s="25"/>
      <c r="S190" s="25"/>
      <c r="T190" s="2457">
        <v>524.22</v>
      </c>
      <c r="U190" s="2457"/>
      <c r="V190" s="2457"/>
      <c r="W190" s="2457"/>
      <c r="X190" s="2457"/>
      <c r="Y190" s="2457"/>
      <c r="Z190" s="2457"/>
      <c r="AA190" s="2457"/>
      <c r="AB190" s="2457"/>
      <c r="AC190" s="2457"/>
      <c r="AD190" s="2457"/>
      <c r="AE190" s="2457"/>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3">
      <c r="A191" s="25"/>
      <c r="C191" s="46"/>
      <c r="D191" s="25" t="s">
        <v>495</v>
      </c>
      <c r="E191" s="25"/>
      <c r="F191" s="25"/>
      <c r="G191" s="25"/>
      <c r="H191" s="25"/>
      <c r="I191" s="25"/>
      <c r="J191" s="25"/>
      <c r="K191" s="25"/>
      <c r="L191" s="25"/>
      <c r="M191" s="25"/>
      <c r="N191" s="2459" t="s">
        <v>2542</v>
      </c>
      <c r="O191" s="2459"/>
      <c r="P191" s="2459"/>
      <c r="Q191" s="2459"/>
      <c r="R191" s="2459"/>
      <c r="S191" s="2459"/>
      <c r="T191" s="2459"/>
      <c r="U191" s="2459"/>
      <c r="V191" s="2459"/>
      <c r="W191" s="2459"/>
      <c r="X191" s="2459"/>
      <c r="Y191" s="2459"/>
      <c r="Z191" s="2459"/>
      <c r="AA191" s="2459"/>
      <c r="AB191" s="2459"/>
      <c r="AC191" s="2459"/>
      <c r="AD191" s="2459"/>
      <c r="AE191" s="2459"/>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3">
      <c r="A192" s="25"/>
      <c r="C192" s="46"/>
      <c r="D192" s="25"/>
      <c r="E192" s="25"/>
      <c r="F192" s="25"/>
      <c r="G192" s="25"/>
      <c r="H192" s="25"/>
      <c r="I192" s="25"/>
      <c r="J192" s="25"/>
      <c r="K192" s="25"/>
      <c r="L192" s="25"/>
      <c r="M192" s="170"/>
      <c r="N192" s="2460"/>
      <c r="O192" s="2460"/>
      <c r="P192" s="2460"/>
      <c r="Q192" s="2460"/>
      <c r="R192" s="2460"/>
      <c r="S192" s="2460"/>
      <c r="T192" s="2460"/>
      <c r="U192" s="2460"/>
      <c r="V192" s="2460"/>
      <c r="W192" s="2460"/>
      <c r="X192" s="2460"/>
      <c r="Y192" s="2460"/>
      <c r="Z192" s="2460"/>
      <c r="AA192" s="2460"/>
      <c r="AB192" s="2460"/>
      <c r="AC192" s="2460"/>
      <c r="AD192" s="2460"/>
      <c r="AE192" s="246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472"/>
      <c r="U193" s="2472"/>
      <c r="V193" s="2472"/>
      <c r="W193" s="2472"/>
      <c r="X193" s="2472"/>
      <c r="Y193" s="2472"/>
      <c r="Z193" s="2472"/>
      <c r="AA193" s="2472"/>
      <c r="AB193" s="2472"/>
      <c r="AC193" s="2472"/>
      <c r="AD193" s="2472"/>
      <c r="AE193" s="2472"/>
      <c r="AF193" s="2472"/>
      <c r="AG193" s="2472"/>
      <c r="AH193" s="2472"/>
      <c r="AI193" s="2472"/>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46" t="s">
        <v>578</v>
      </c>
      <c r="U194" s="2046"/>
      <c r="W194" s="25" t="s">
        <v>722</v>
      </c>
      <c r="X194" s="25"/>
      <c r="Y194" s="25"/>
      <c r="Z194" s="25"/>
      <c r="AA194" s="25"/>
      <c r="AB194" s="25"/>
      <c r="AC194" s="25"/>
      <c r="AD194" s="25"/>
      <c r="AE194" s="25"/>
      <c r="AF194" s="25"/>
      <c r="AG194" s="25"/>
      <c r="AH194" s="2046">
        <v>45</v>
      </c>
      <c r="AI194" s="2046"/>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9" t="s">
        <v>706</v>
      </c>
      <c r="U195" s="2209"/>
      <c r="V195" s="12"/>
      <c r="W195" s="25" t="s">
        <v>723</v>
      </c>
      <c r="X195" s="25"/>
      <c r="Y195" s="25"/>
      <c r="Z195" s="25"/>
      <c r="AA195" s="25"/>
      <c r="AB195" s="25"/>
      <c r="AC195" s="25"/>
      <c r="AD195" s="25"/>
      <c r="AE195" s="25"/>
      <c r="AF195" s="25"/>
      <c r="AG195" s="25"/>
      <c r="AH195" s="2046">
        <v>68</v>
      </c>
      <c r="AI195" s="2046"/>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09" t="s">
        <v>706</v>
      </c>
      <c r="U196" s="2209"/>
      <c r="W196" s="25" t="s">
        <v>724</v>
      </c>
      <c r="X196" s="25"/>
      <c r="Y196" s="25"/>
      <c r="Z196" s="25"/>
      <c r="AA196" s="25"/>
      <c r="AB196" s="25"/>
      <c r="AC196" s="25"/>
      <c r="AD196" s="25"/>
      <c r="AE196" s="25"/>
      <c r="AF196" s="25"/>
      <c r="AG196" s="25"/>
      <c r="AH196" s="2046">
        <v>37</v>
      </c>
      <c r="AI196" s="204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9"/>
      <c r="U197" s="220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6" t="s">
        <v>706</v>
      </c>
      <c r="Z198" s="204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75" customHeight="1">
      <c r="A203" s="25"/>
      <c r="C203" s="25"/>
      <c r="D203" s="2036" t="s">
        <v>403</v>
      </c>
      <c r="E203" s="2036"/>
      <c r="F203" s="2036"/>
      <c r="G203" s="2036"/>
      <c r="H203" s="2036"/>
      <c r="I203" s="2036"/>
      <c r="J203" s="2036"/>
      <c r="K203" s="2036"/>
      <c r="L203" s="2036"/>
      <c r="M203" s="2036"/>
      <c r="P203" s="2461">
        <f>M26</f>
        <v>1151692</v>
      </c>
      <c r="Q203" s="2462"/>
      <c r="R203" s="2462"/>
      <c r="S203" s="2462"/>
      <c r="T203" s="2462"/>
      <c r="U203" s="2462"/>
      <c r="V203" s="25"/>
      <c r="W203" s="25"/>
      <c r="X203" s="25"/>
      <c r="Y203" s="25"/>
      <c r="Z203" s="2465" t="s">
        <v>1383</v>
      </c>
      <c r="AA203" s="2465"/>
      <c r="AB203" s="2465"/>
      <c r="AC203" s="2465"/>
      <c r="AD203" s="2465"/>
      <c r="AE203" s="2465"/>
      <c r="AF203" s="246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75" customHeight="1">
      <c r="A204" s="25"/>
      <c r="C204" s="45"/>
      <c r="D204" s="2473" t="s">
        <v>1476</v>
      </c>
      <c r="E204" s="2036"/>
      <c r="F204" s="2036"/>
      <c r="G204" s="2036"/>
      <c r="H204" s="2036"/>
      <c r="I204" s="2036"/>
      <c r="J204" s="2036"/>
      <c r="K204" s="2036"/>
      <c r="L204" s="2036"/>
      <c r="M204" s="2036"/>
      <c r="P204" s="2462">
        <f>M27</f>
        <v>0</v>
      </c>
      <c r="Q204" s="2462"/>
      <c r="R204" s="2462"/>
      <c r="S204" s="2462"/>
      <c r="T204" s="2462"/>
      <c r="U204" s="2462"/>
      <c r="V204" s="47"/>
      <c r="W204" s="58" t="s">
        <v>2218</v>
      </c>
      <c r="Z204" s="2465"/>
      <c r="AA204" s="2465"/>
      <c r="AB204" s="2465"/>
      <c r="AC204" s="2465"/>
      <c r="AD204" s="2465"/>
      <c r="AE204" s="2465"/>
      <c r="AF204" s="2465"/>
      <c r="AG204" s="25" t="s">
        <v>1477</v>
      </c>
      <c r="AH204" s="25"/>
      <c r="AI204" s="25"/>
      <c r="AJ204" s="25"/>
      <c r="AK204" s="25"/>
      <c r="AL204" s="25"/>
      <c r="AM204" s="25"/>
      <c r="AN204" s="25"/>
      <c r="AO204" s="25"/>
      <c r="AP204" s="2046" t="s">
        <v>706</v>
      </c>
      <c r="AQ204" s="2046"/>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6"/>
      <c r="AA205" s="2466"/>
      <c r="AB205" s="2466"/>
      <c r="AC205" s="2466"/>
      <c r="AD205" s="2466"/>
      <c r="AE205" s="2466"/>
      <c r="AF205" s="2466"/>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359" t="s">
        <v>2526</v>
      </c>
      <c r="E207" s="2359"/>
      <c r="F207" s="2359"/>
      <c r="G207" s="2359"/>
      <c r="H207" s="2359"/>
      <c r="I207" s="2359"/>
      <c r="J207" s="2359"/>
      <c r="K207" s="2359"/>
      <c r="L207" s="2359"/>
      <c r="M207" s="235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59" t="s">
        <v>1153</v>
      </c>
      <c r="E210" s="2359"/>
      <c r="F210" s="2359"/>
      <c r="G210" s="2359"/>
      <c r="H210" s="2359"/>
      <c r="I210" s="2359"/>
      <c r="J210" s="2359"/>
      <c r="K210" s="2359"/>
      <c r="L210" s="2359"/>
      <c r="M210" s="235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46">
        <v>7</v>
      </c>
      <c r="Z211" s="204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54" t="s">
        <v>626</v>
      </c>
      <c r="E213" s="2554"/>
      <c r="F213" s="2554"/>
      <c r="G213" s="2554"/>
      <c r="H213" s="2554"/>
      <c r="I213" s="2554"/>
      <c r="J213" s="2554"/>
      <c r="K213" s="2554"/>
      <c r="L213" s="2554"/>
      <c r="M213" s="2554"/>
      <c r="N213" s="2554"/>
      <c r="O213" s="2554"/>
      <c r="P213" s="2554"/>
      <c r="Q213" s="2554"/>
      <c r="R213" s="2554"/>
      <c r="S213" s="2554"/>
      <c r="T213" s="2554"/>
      <c r="U213" s="2554"/>
      <c r="V213" s="2554"/>
      <c r="W213" s="2554"/>
      <c r="X213" s="2554"/>
      <c r="Y213" s="2554"/>
      <c r="Z213" s="255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9">
        <v>62</v>
      </c>
      <c r="AC214" s="2539"/>
      <c r="AD214" s="2539"/>
      <c r="AE214" s="2539"/>
      <c r="AF214" s="2539"/>
      <c r="AG214" s="2539"/>
      <c r="AH214" s="2539"/>
      <c r="AI214" s="2539"/>
      <c r="AJ214" s="2539"/>
      <c r="AK214" s="2539"/>
      <c r="AL214" s="253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2004</v>
      </c>
      <c r="Z215" s="69"/>
      <c r="AB215" s="2539"/>
      <c r="AC215" s="2539"/>
      <c r="AD215" s="2539"/>
      <c r="AE215" s="2539"/>
      <c r="AF215" s="2539"/>
      <c r="AG215" s="2539"/>
      <c r="AH215" s="2539"/>
      <c r="AI215" s="2539"/>
      <c r="AJ215" s="2539"/>
      <c r="AK215" s="2539"/>
      <c r="AL215" s="253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9" t="s">
        <v>645</v>
      </c>
      <c r="E219" s="2359"/>
      <c r="F219" s="2359"/>
      <c r="G219" s="2359"/>
      <c r="H219" s="2359"/>
      <c r="I219" s="2359"/>
      <c r="J219" s="2359"/>
      <c r="K219" s="2359"/>
      <c r="L219" s="2359"/>
      <c r="M219" s="2359"/>
      <c r="N219" s="2359"/>
      <c r="O219" s="2359"/>
      <c r="P219" s="2359"/>
      <c r="Q219" s="2359"/>
      <c r="R219" s="2359"/>
      <c r="S219" s="2359"/>
      <c r="T219" s="2359"/>
      <c r="U219" s="2359"/>
      <c r="V219" s="2359"/>
      <c r="W219" s="2359"/>
      <c r="X219" s="2359"/>
      <c r="Y219" s="2359"/>
      <c r="Z219" s="235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84" t="s">
        <v>573</v>
      </c>
      <c r="B221" s="2384"/>
      <c r="C221" s="2384"/>
      <c r="D221" s="2384"/>
      <c r="E221" s="2384"/>
      <c r="F221" s="2384"/>
      <c r="G221" s="2384"/>
      <c r="H221" s="2384"/>
      <c r="I221" s="2384"/>
      <c r="J221" s="2384"/>
      <c r="K221" s="2384"/>
      <c r="L221" s="2384"/>
      <c r="M221" s="2384"/>
      <c r="N221" s="2384"/>
      <c r="O221" s="2384"/>
      <c r="P221" s="2384"/>
      <c r="Q221" s="2384"/>
      <c r="R221" s="2384"/>
      <c r="S221" s="2384"/>
      <c r="T221" s="2384"/>
      <c r="U221" s="2384"/>
      <c r="V221" s="2384"/>
      <c r="W221" s="2384"/>
      <c r="X221" s="2384"/>
      <c r="Y221" s="2384"/>
      <c r="Z221" s="2384"/>
      <c r="AA221" s="2384"/>
      <c r="AB221" s="2384"/>
      <c r="AC221" s="2384"/>
      <c r="AD221" s="2384"/>
      <c r="AE221" s="2384"/>
      <c r="AF221" s="2384"/>
      <c r="AG221" s="2384"/>
      <c r="AH221" s="2384"/>
      <c r="AI221" s="2384"/>
      <c r="AJ221" s="2384"/>
      <c r="AK221" s="2384"/>
      <c r="AL221" s="2384"/>
      <c r="AM221" s="144"/>
      <c r="AN221" s="144"/>
      <c r="AO221" s="144"/>
      <c r="AP221" s="144"/>
      <c r="AQ221" s="144"/>
      <c r="AR221" s="144"/>
      <c r="AS221" s="144"/>
      <c r="AT221" s="144"/>
      <c r="AU221" s="144"/>
      <c r="AV221" s="144"/>
      <c r="AW221" s="144"/>
      <c r="AX221" s="144"/>
      <c r="AY221" s="144"/>
      <c r="BA221" s="58"/>
    </row>
    <row r="222" spans="1:96" ht="13.5" thickBot="1">
      <c r="A222" s="2385"/>
      <c r="B222" s="2385"/>
      <c r="C222" s="2385"/>
      <c r="D222" s="2385"/>
      <c r="E222" s="2385"/>
      <c r="F222" s="2385"/>
      <c r="G222" s="2385"/>
      <c r="H222" s="2385"/>
      <c r="I222" s="2385"/>
      <c r="J222" s="2385"/>
      <c r="K222" s="2385"/>
      <c r="L222" s="2385"/>
      <c r="M222" s="2385"/>
      <c r="N222" s="2385"/>
      <c r="O222" s="2385"/>
      <c r="P222" s="2385"/>
      <c r="Q222" s="2385"/>
      <c r="R222" s="2385"/>
      <c r="S222" s="2385"/>
      <c r="T222" s="2385"/>
      <c r="U222" s="2385"/>
      <c r="V222" s="2385"/>
      <c r="W222" s="2385"/>
      <c r="X222" s="2385"/>
      <c r="Y222" s="2385"/>
      <c r="Z222" s="2385"/>
      <c r="AA222" s="2385"/>
      <c r="AB222" s="2385"/>
      <c r="AC222" s="2385"/>
      <c r="AD222" s="2385"/>
      <c r="AE222" s="2385"/>
      <c r="AF222" s="2385"/>
      <c r="AG222" s="2385"/>
      <c r="AH222" s="2385"/>
      <c r="AI222" s="2385"/>
      <c r="AJ222" s="2385"/>
      <c r="AK222" s="2385"/>
      <c r="AL222" s="2385"/>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6" t="s">
        <v>626</v>
      </c>
      <c r="AJ225" s="2046"/>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6" t="s">
        <v>578</v>
      </c>
      <c r="AJ226" s="204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6" t="s">
        <v>578</v>
      </c>
      <c r="AJ227" s="204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6" t="s">
        <v>626</v>
      </c>
      <c r="AJ228" s="204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58" t="str">
        <f>H16</f>
        <v>Meadows Seniors LP (to be formed)</v>
      </c>
      <c r="N231" s="2458"/>
      <c r="O231" s="2458"/>
      <c r="P231" s="2458"/>
      <c r="Q231" s="2458"/>
      <c r="R231" s="2458"/>
      <c r="S231" s="2458"/>
      <c r="T231" s="2458"/>
      <c r="U231" s="2458"/>
      <c r="V231" s="2458"/>
      <c r="W231" s="2458"/>
      <c r="X231" s="2458"/>
      <c r="Y231" s="2458"/>
      <c r="Z231" s="2458"/>
      <c r="AA231" s="2458"/>
      <c r="AB231" s="2458"/>
      <c r="AC231" s="2458"/>
      <c r="AD231" s="2458"/>
      <c r="AE231" s="2458"/>
      <c r="AF231" s="2458"/>
      <c r="AG231" s="2458"/>
      <c r="AH231" s="2458"/>
      <c r="AI231" s="2458"/>
      <c r="AJ231" s="2458"/>
      <c r="AK231" s="2458"/>
      <c r="BA231" s="58"/>
      <c r="BB231" s="384"/>
      <c r="BG231" s="387"/>
      <c r="BQ231" s="61"/>
    </row>
    <row r="232" spans="1:69" ht="13">
      <c r="D232" s="57" t="s">
        <v>90</v>
      </c>
      <c r="E232" s="57"/>
      <c r="F232" s="57"/>
      <c r="G232" s="57"/>
      <c r="H232" s="57"/>
      <c r="I232" s="57"/>
      <c r="J232" s="57"/>
      <c r="K232" s="7"/>
      <c r="M232" s="2322" t="s">
        <v>2528</v>
      </c>
      <c r="N232" s="2359"/>
      <c r="O232" s="2359"/>
      <c r="P232" s="2359"/>
      <c r="Q232" s="2359"/>
      <c r="R232" s="2359"/>
      <c r="S232" s="2359"/>
      <c r="T232" s="2359"/>
      <c r="U232" s="2359"/>
      <c r="V232" s="2359"/>
      <c r="W232" s="2359"/>
      <c r="X232" s="2359"/>
      <c r="Y232" s="2359"/>
      <c r="Z232" s="2359"/>
      <c r="AA232" s="2359"/>
      <c r="AB232" s="2359"/>
      <c r="AC232" s="2359"/>
      <c r="AD232" s="2359"/>
      <c r="AE232" s="2359"/>
      <c r="AZ232" s="7"/>
      <c r="BA232" s="58"/>
      <c r="BB232" s="334" t="s">
        <v>571</v>
      </c>
      <c r="BG232" s="389">
        <f>IF(AND(AND($M$248="nonprofit",$M$256="nonprofit",$M$264="for profit")),2,0)</f>
        <v>0</v>
      </c>
      <c r="BQ232" s="61"/>
    </row>
    <row r="233" spans="1:69" ht="13">
      <c r="D233" s="57" t="s">
        <v>615</v>
      </c>
      <c r="E233" s="57"/>
      <c r="M233" s="2322" t="s">
        <v>2529</v>
      </c>
      <c r="N233" s="2359"/>
      <c r="O233" s="2359"/>
      <c r="P233" s="2359"/>
      <c r="Q233" s="2359"/>
      <c r="R233" s="2359"/>
      <c r="S233" s="2359"/>
      <c r="T233" s="2359"/>
      <c r="V233" s="59" t="s">
        <v>91</v>
      </c>
      <c r="W233" s="2102" t="s">
        <v>2530</v>
      </c>
      <c r="X233" s="2047"/>
      <c r="Y233" s="57" t="s">
        <v>618</v>
      </c>
      <c r="AC233" s="2359">
        <v>92780</v>
      </c>
      <c r="AD233" s="2359"/>
      <c r="AE233" s="2359"/>
      <c r="BB233" s="334" t="s">
        <v>571</v>
      </c>
      <c r="BG233" s="389">
        <f>IF(AND(AND($M$248="nonprofit",$M$256="for profit",$M$264="nonprofit")),2,0)</f>
        <v>0</v>
      </c>
    </row>
    <row r="234" spans="1:69" ht="13">
      <c r="D234" s="60" t="s">
        <v>92</v>
      </c>
      <c r="E234" s="7"/>
      <c r="F234" s="7"/>
      <c r="G234" s="7"/>
      <c r="H234" s="7"/>
      <c r="I234" s="7"/>
      <c r="J234" s="7"/>
      <c r="K234" s="29"/>
      <c r="M234" s="2322" t="s">
        <v>2531</v>
      </c>
      <c r="N234" s="2359"/>
      <c r="O234" s="2359"/>
      <c r="P234" s="2359"/>
      <c r="Q234" s="2359"/>
      <c r="R234" s="2359"/>
      <c r="S234" s="2359"/>
      <c r="T234" s="2359"/>
      <c r="U234" s="2359"/>
      <c r="V234" s="2359"/>
      <c r="W234" s="2359"/>
      <c r="X234" s="2359"/>
      <c r="Y234" s="2359"/>
      <c r="Z234" s="2359"/>
      <c r="AA234" s="2359"/>
      <c r="AB234" s="2359"/>
      <c r="AC234" s="2359"/>
      <c r="AD234" s="2359"/>
      <c r="AE234" s="235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078">
        <v>7142887600</v>
      </c>
      <c r="N235" s="2078"/>
      <c r="O235" s="2078"/>
      <c r="P235" s="2078"/>
      <c r="Q235" s="2078"/>
      <c r="R235" s="2078"/>
      <c r="S235" s="7" t="s">
        <v>212</v>
      </c>
      <c r="T235" s="7"/>
      <c r="U235" s="2047">
        <v>250</v>
      </c>
      <c r="V235" s="2047"/>
      <c r="W235" s="2047"/>
      <c r="X235" s="7" t="s">
        <v>94</v>
      </c>
      <c r="Z235" s="2078">
        <v>8665700728</v>
      </c>
      <c r="AA235" s="2078"/>
      <c r="AB235" s="2078"/>
      <c r="AC235" s="2078"/>
      <c r="AD235" s="2078"/>
      <c r="AE235" s="2078"/>
      <c r="BB235" s="385"/>
      <c r="BG235" s="386"/>
    </row>
    <row r="236" spans="1:69" ht="12.5">
      <c r="D236" s="60" t="s">
        <v>95</v>
      </c>
      <c r="E236" s="7"/>
      <c r="F236" s="7"/>
      <c r="M236" s="2365" t="s">
        <v>2532</v>
      </c>
      <c r="N236" s="2365"/>
      <c r="O236" s="2365"/>
      <c r="P236" s="2365"/>
      <c r="Q236" s="2365"/>
      <c r="R236" s="2365"/>
      <c r="S236" s="2365"/>
      <c r="T236" s="2365"/>
      <c r="U236" s="2365"/>
      <c r="V236" s="2365"/>
      <c r="W236" s="2365"/>
      <c r="X236" s="2365"/>
      <c r="Y236" s="2365"/>
      <c r="Z236" s="2365"/>
      <c r="AA236" s="2365"/>
      <c r="AB236" s="2365"/>
      <c r="AC236" s="2365"/>
      <c r="AD236" s="2365"/>
      <c r="AE236" s="236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8" t="s">
        <v>308</v>
      </c>
      <c r="N237" s="2048"/>
      <c r="O237" s="2048"/>
      <c r="P237" s="2048"/>
      <c r="Q237" s="2048"/>
      <c r="R237" s="2048"/>
      <c r="S237" s="2048"/>
      <c r="T237" s="2048"/>
      <c r="U237" s="387" t="s">
        <v>975</v>
      </c>
      <c r="V237" s="325"/>
      <c r="W237" s="325"/>
      <c r="X237" s="325"/>
      <c r="Y237" s="325"/>
      <c r="Z237" s="325"/>
      <c r="AA237" s="2448"/>
      <c r="AB237" s="2448"/>
      <c r="AC237" s="2448"/>
      <c r="AD237" s="2448"/>
      <c r="AE237" s="2448"/>
      <c r="AF237" s="2448"/>
      <c r="AG237" s="2448"/>
      <c r="AH237" s="2448"/>
      <c r="AI237" s="2448"/>
      <c r="AJ237" s="2448"/>
      <c r="AK237" s="244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1382</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56" t="s">
        <v>2618</v>
      </c>
      <c r="N242" s="2446"/>
      <c r="O242" s="2446"/>
      <c r="P242" s="2446"/>
      <c r="Q242" s="2446"/>
      <c r="R242" s="2446"/>
      <c r="S242" s="2446"/>
      <c r="T242" s="2446"/>
      <c r="U242" s="2446"/>
      <c r="V242" s="2446"/>
      <c r="W242" s="2446"/>
      <c r="X242" s="2446"/>
      <c r="Y242" s="2446"/>
      <c r="Z242" s="2446"/>
      <c r="AA242" s="2446"/>
      <c r="AB242" s="2446"/>
      <c r="AC242" s="2446"/>
      <c r="AD242" s="2446"/>
      <c r="AE242" s="2446"/>
      <c r="AF242" s="2446" t="s">
        <v>2601</v>
      </c>
      <c r="AG242" s="2446"/>
      <c r="AH242" s="2446"/>
      <c r="AI242" s="2446"/>
      <c r="AJ242" s="2446"/>
      <c r="AK242" s="2446"/>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22" t="s">
        <v>2528</v>
      </c>
      <c r="N243" s="2359"/>
      <c r="O243" s="2359"/>
      <c r="P243" s="2359"/>
      <c r="Q243" s="2359"/>
      <c r="R243" s="2359"/>
      <c r="S243" s="2359"/>
      <c r="T243" s="2359"/>
      <c r="U243" s="2359"/>
      <c r="V243" s="2359"/>
      <c r="W243" s="2359"/>
      <c r="X243" s="2359"/>
      <c r="Y243" s="2359"/>
      <c r="Z243" s="2359"/>
      <c r="AA243" s="2359"/>
      <c r="AB243" s="2359"/>
      <c r="AC243" s="2359"/>
      <c r="AD243" s="2359"/>
      <c r="AE243" s="235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322" t="s">
        <v>2529</v>
      </c>
      <c r="N244" s="2359"/>
      <c r="O244" s="2359"/>
      <c r="P244" s="2359"/>
      <c r="Q244" s="2359"/>
      <c r="R244" s="2359"/>
      <c r="S244" s="2359"/>
      <c r="T244" s="2359"/>
      <c r="V244" s="59" t="s">
        <v>91</v>
      </c>
      <c r="W244" s="2102" t="s">
        <v>2530</v>
      </c>
      <c r="X244" s="2047"/>
      <c r="Y244" s="57" t="s">
        <v>618</v>
      </c>
      <c r="AC244" s="2359">
        <v>92780</v>
      </c>
      <c r="AD244" s="2359"/>
      <c r="AE244" s="2359"/>
      <c r="AF244" s="58" t="s">
        <v>1379</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322" t="s">
        <v>2531</v>
      </c>
      <c r="N245" s="2359"/>
      <c r="O245" s="2359"/>
      <c r="P245" s="2359"/>
      <c r="Q245" s="2359"/>
      <c r="R245" s="2359"/>
      <c r="S245" s="2359"/>
      <c r="T245" s="2359"/>
      <c r="U245" s="2359"/>
      <c r="V245" s="2359"/>
      <c r="W245" s="2359"/>
      <c r="X245" s="2359"/>
      <c r="Y245" s="2359"/>
      <c r="Z245" s="2359"/>
      <c r="AA245" s="2359"/>
      <c r="AB245" s="2359"/>
      <c r="AC245" s="2359"/>
      <c r="AD245" s="2359"/>
      <c r="AE245" s="2359"/>
      <c r="AH245" s="2455">
        <v>9.4999999999999998E-3</v>
      </c>
      <c r="AI245" s="2455"/>
      <c r="AJ245" s="2455"/>
      <c r="AK245" s="245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078">
        <v>7142887600</v>
      </c>
      <c r="N246" s="2078"/>
      <c r="O246" s="2078"/>
      <c r="P246" s="2078"/>
      <c r="Q246" s="2078"/>
      <c r="R246" s="2078"/>
      <c r="S246" s="7" t="s">
        <v>212</v>
      </c>
      <c r="T246" s="7"/>
      <c r="U246" s="2047">
        <v>250</v>
      </c>
      <c r="V246" s="2047"/>
      <c r="W246" s="2047"/>
      <c r="X246" s="7" t="s">
        <v>94</v>
      </c>
      <c r="Z246" s="2078">
        <v>8665700728</v>
      </c>
      <c r="AA246" s="2078"/>
      <c r="AB246" s="2078"/>
      <c r="AC246" s="2078"/>
      <c r="AD246" s="2078"/>
      <c r="AE246" s="2078"/>
      <c r="BB246" s="7" t="s">
        <v>178</v>
      </c>
      <c r="BG246" s="12">
        <v>3</v>
      </c>
      <c r="BH246" s="12" t="s">
        <v>569</v>
      </c>
      <c r="BN246" s="390"/>
      <c r="BO246" s="39"/>
    </row>
    <row r="247" spans="1:72" ht="12.5">
      <c r="A247" s="29"/>
      <c r="B247" s="7"/>
      <c r="C247" s="7"/>
      <c r="D247" s="60" t="s">
        <v>95</v>
      </c>
      <c r="E247" s="7"/>
      <c r="F247" s="7"/>
      <c r="M247" s="2365" t="s">
        <v>2532</v>
      </c>
      <c r="N247" s="2365"/>
      <c r="O247" s="2365"/>
      <c r="P247" s="2365"/>
      <c r="Q247" s="2365"/>
      <c r="R247" s="2365"/>
      <c r="S247" s="2365"/>
      <c r="T247" s="2365"/>
      <c r="U247" s="2365"/>
      <c r="V247" s="2365"/>
      <c r="W247" s="2365"/>
      <c r="X247" s="2365"/>
      <c r="Y247" s="2365"/>
      <c r="Z247" s="2365"/>
      <c r="AA247" s="2365"/>
      <c r="AB247" s="2365"/>
      <c r="AC247" s="2365"/>
      <c r="AD247" s="2365"/>
      <c r="AE247" s="236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8" t="s">
        <v>569</v>
      </c>
      <c r="N248" s="2048"/>
      <c r="O248" s="2048"/>
      <c r="P248" s="2048"/>
      <c r="Q248" s="2048"/>
      <c r="R248" s="2048"/>
      <c r="S248" s="2048"/>
      <c r="T248" s="2048"/>
      <c r="U248" s="387" t="s">
        <v>975</v>
      </c>
      <c r="V248" s="325"/>
      <c r="W248" s="325"/>
      <c r="X248" s="325"/>
      <c r="Y248" s="325"/>
      <c r="Z248" s="325"/>
      <c r="AA248" s="2447" t="s">
        <v>2527</v>
      </c>
      <c r="AB248" s="2448"/>
      <c r="AC248" s="2448"/>
      <c r="AD248" s="2448"/>
      <c r="AE248" s="2448"/>
      <c r="AF248" s="2448"/>
      <c r="AG248" s="2448"/>
      <c r="AH248" s="2448"/>
      <c r="AI248" s="2448"/>
      <c r="AJ248" s="2448"/>
      <c r="AK248" s="244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46"/>
      <c r="N250" s="2446"/>
      <c r="O250" s="2446"/>
      <c r="P250" s="2446"/>
      <c r="Q250" s="2446"/>
      <c r="R250" s="2446"/>
      <c r="S250" s="2446"/>
      <c r="T250" s="2446"/>
      <c r="U250" s="2446"/>
      <c r="V250" s="2446"/>
      <c r="W250" s="2446"/>
      <c r="X250" s="2446"/>
      <c r="Y250" s="2446"/>
      <c r="Z250" s="2446"/>
      <c r="AA250" s="2446"/>
      <c r="AB250" s="2446"/>
      <c r="AC250" s="2446"/>
      <c r="AD250" s="2446"/>
      <c r="AE250" s="2446"/>
      <c r="AF250" s="2446" t="s">
        <v>2600</v>
      </c>
      <c r="AG250" s="2446"/>
      <c r="AH250" s="2446"/>
      <c r="AI250" s="2446"/>
      <c r="AJ250" s="2446"/>
      <c r="AK250" s="2446"/>
      <c r="BN250" s="61"/>
    </row>
    <row r="251" spans="1:72" ht="12.5">
      <c r="A251" s="29"/>
      <c r="B251" s="7"/>
      <c r="C251" s="7"/>
      <c r="D251" s="57" t="s">
        <v>90</v>
      </c>
      <c r="E251" s="57"/>
      <c r="F251" s="57"/>
      <c r="G251" s="57"/>
      <c r="H251" s="57"/>
      <c r="I251" s="57"/>
      <c r="J251" s="57"/>
      <c r="K251" s="57"/>
      <c r="L251" s="7"/>
      <c r="M251" s="2359"/>
      <c r="N251" s="2359"/>
      <c r="O251" s="2359"/>
      <c r="P251" s="2359"/>
      <c r="Q251" s="2359"/>
      <c r="R251" s="2359"/>
      <c r="S251" s="2359"/>
      <c r="T251" s="2359"/>
      <c r="U251" s="2359"/>
      <c r="V251" s="2359"/>
      <c r="W251" s="2359"/>
      <c r="X251" s="2359"/>
      <c r="Y251" s="2359"/>
      <c r="Z251" s="2359"/>
      <c r="AA251" s="2359"/>
      <c r="AB251" s="2359"/>
      <c r="AC251" s="2359"/>
      <c r="AD251" s="2359"/>
      <c r="AE251" s="235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59"/>
      <c r="N252" s="2359"/>
      <c r="O252" s="2359"/>
      <c r="P252" s="2359"/>
      <c r="Q252" s="2359"/>
      <c r="R252" s="2359"/>
      <c r="S252" s="2359"/>
      <c r="T252" s="2359"/>
      <c r="V252" s="59" t="s">
        <v>91</v>
      </c>
      <c r="W252" s="2047"/>
      <c r="X252" s="2047"/>
      <c r="Y252" s="57" t="s">
        <v>618</v>
      </c>
      <c r="AC252" s="2359"/>
      <c r="AD252" s="2359"/>
      <c r="AE252" s="2359"/>
      <c r="AF252" s="58" t="s">
        <v>1379</v>
      </c>
      <c r="AG252" s="719"/>
      <c r="AH252" s="719"/>
      <c r="AI252" s="719"/>
      <c r="AJ252" s="719"/>
      <c r="AK252" s="719"/>
      <c r="BN252" s="61"/>
    </row>
    <row r="253" spans="1:72" ht="12.5">
      <c r="A253" s="29"/>
      <c r="B253" s="7"/>
      <c r="C253" s="7"/>
      <c r="D253" s="60" t="s">
        <v>92</v>
      </c>
      <c r="E253" s="7"/>
      <c r="F253" s="7"/>
      <c r="G253" s="7"/>
      <c r="H253" s="7"/>
      <c r="I253" s="7"/>
      <c r="J253" s="7"/>
      <c r="K253" s="7"/>
      <c r="L253" s="29"/>
      <c r="M253" s="2359"/>
      <c r="N253" s="2359"/>
      <c r="O253" s="2359"/>
      <c r="P253" s="2359"/>
      <c r="Q253" s="2359"/>
      <c r="R253" s="2359"/>
      <c r="S253" s="2359"/>
      <c r="T253" s="2359"/>
      <c r="U253" s="2359"/>
      <c r="V253" s="2359"/>
      <c r="W253" s="2359"/>
      <c r="X253" s="2359"/>
      <c r="Y253" s="2359"/>
      <c r="Z253" s="2359"/>
      <c r="AA253" s="2359"/>
      <c r="AB253" s="2359"/>
      <c r="AC253" s="2359"/>
      <c r="AD253" s="2359"/>
      <c r="AE253" s="2359"/>
      <c r="AF253" s="719"/>
      <c r="AG253" s="719"/>
      <c r="AH253" s="2455">
        <v>5.0000000000000001E-4</v>
      </c>
      <c r="AI253" s="2455"/>
      <c r="AJ253" s="2455"/>
      <c r="AK253" s="245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78"/>
      <c r="N254" s="2078"/>
      <c r="O254" s="2078"/>
      <c r="P254" s="2078"/>
      <c r="Q254" s="2078"/>
      <c r="R254" s="2078"/>
      <c r="S254" s="7" t="s">
        <v>212</v>
      </c>
      <c r="T254" s="7"/>
      <c r="U254" s="2047"/>
      <c r="V254" s="2047"/>
      <c r="W254" s="2047"/>
      <c r="X254" s="7" t="s">
        <v>94</v>
      </c>
      <c r="Z254" s="2078"/>
      <c r="AA254" s="2078"/>
      <c r="AB254" s="2078"/>
      <c r="AC254" s="2078"/>
      <c r="AD254" s="2078"/>
      <c r="AE254" s="2078"/>
    </row>
    <row r="255" spans="1:72" ht="12.5">
      <c r="A255" s="29"/>
      <c r="B255" s="7"/>
      <c r="C255" s="7"/>
      <c r="D255" s="60" t="s">
        <v>95</v>
      </c>
      <c r="E255" s="7"/>
      <c r="F255" s="7"/>
      <c r="M255" s="2365"/>
      <c r="N255" s="2365"/>
      <c r="O255" s="2365"/>
      <c r="P255" s="2365"/>
      <c r="Q255" s="2365"/>
      <c r="R255" s="2365"/>
      <c r="S255" s="2365"/>
      <c r="T255" s="2365"/>
      <c r="U255" s="2365"/>
      <c r="V255" s="2365"/>
      <c r="W255" s="2365"/>
      <c r="X255" s="2365"/>
      <c r="Y255" s="2365"/>
      <c r="Z255" s="2365"/>
      <c r="AA255" s="2365"/>
      <c r="AB255" s="2365"/>
      <c r="AC255" s="2365"/>
      <c r="AD255" s="2365"/>
      <c r="AE255" s="236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8" t="s">
        <v>567</v>
      </c>
      <c r="N256" s="2048"/>
      <c r="O256" s="2048"/>
      <c r="P256" s="2048"/>
      <c r="Q256" s="2048"/>
      <c r="R256" s="2048"/>
      <c r="S256" s="2048"/>
      <c r="T256" s="2048"/>
      <c r="U256" s="387" t="s">
        <v>975</v>
      </c>
      <c r="V256" s="325"/>
      <c r="W256" s="325"/>
      <c r="X256" s="325"/>
      <c r="Y256" s="325"/>
      <c r="Z256" s="325"/>
      <c r="AA256" s="2448"/>
      <c r="AB256" s="2448"/>
      <c r="AC256" s="2448"/>
      <c r="AD256" s="2448"/>
      <c r="AE256" s="2448"/>
      <c r="AF256" s="2448"/>
      <c r="AG256" s="2448"/>
      <c r="AH256" s="2448"/>
      <c r="AI256" s="2448"/>
      <c r="AJ256" s="2448"/>
      <c r="AK256" s="244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6"/>
      <c r="N258" s="2446"/>
      <c r="O258" s="2446"/>
      <c r="P258" s="2446"/>
      <c r="Q258" s="2446"/>
      <c r="R258" s="2446"/>
      <c r="S258" s="2446"/>
      <c r="T258" s="2446"/>
      <c r="U258" s="2446"/>
      <c r="V258" s="2446"/>
      <c r="W258" s="2446"/>
      <c r="X258" s="2446"/>
      <c r="Y258" s="2446"/>
      <c r="Z258" s="2446"/>
      <c r="AA258" s="2446"/>
      <c r="AB258" s="2446"/>
      <c r="AC258" s="2446"/>
      <c r="AD258" s="2446"/>
      <c r="AE258" s="2446"/>
      <c r="AF258" s="2446" t="s">
        <v>316</v>
      </c>
      <c r="AG258" s="2446"/>
      <c r="AH258" s="2446"/>
      <c r="AI258" s="2446"/>
      <c r="AJ258" s="2446"/>
      <c r="AK258" s="244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9"/>
      <c r="N259" s="2359"/>
      <c r="O259" s="2359"/>
      <c r="P259" s="2359"/>
      <c r="Q259" s="2359"/>
      <c r="R259" s="2359"/>
      <c r="S259" s="2359"/>
      <c r="T259" s="2359"/>
      <c r="U259" s="2359"/>
      <c r="V259" s="2359"/>
      <c r="W259" s="2359"/>
      <c r="X259" s="2359"/>
      <c r="Y259" s="2359"/>
      <c r="Z259" s="2359"/>
      <c r="AA259" s="2359"/>
      <c r="AB259" s="2359"/>
      <c r="AC259" s="2359"/>
      <c r="AD259" s="2359"/>
      <c r="AE259" s="235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9"/>
      <c r="N260" s="2359"/>
      <c r="O260" s="2359"/>
      <c r="P260" s="2359"/>
      <c r="Q260" s="2359"/>
      <c r="R260" s="2359"/>
      <c r="S260" s="2359"/>
      <c r="T260" s="2359"/>
      <c r="V260" s="59" t="s">
        <v>91</v>
      </c>
      <c r="W260" s="2047"/>
      <c r="X260" s="2047"/>
      <c r="Y260" s="57" t="s">
        <v>618</v>
      </c>
      <c r="AC260" s="2359"/>
      <c r="AD260" s="2359"/>
      <c r="AE260" s="235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9"/>
      <c r="N261" s="2359"/>
      <c r="O261" s="2359"/>
      <c r="P261" s="2359"/>
      <c r="Q261" s="2359"/>
      <c r="R261" s="2359"/>
      <c r="S261" s="2359"/>
      <c r="T261" s="2359"/>
      <c r="U261" s="2359"/>
      <c r="V261" s="2359"/>
      <c r="W261" s="2359"/>
      <c r="X261" s="2359"/>
      <c r="Y261" s="2359"/>
      <c r="Z261" s="2359"/>
      <c r="AA261" s="2359"/>
      <c r="AB261" s="2359"/>
      <c r="AC261" s="2359"/>
      <c r="AD261" s="2359"/>
      <c r="AE261" s="2359"/>
      <c r="AF261" s="719"/>
      <c r="AG261" s="719"/>
      <c r="AH261" s="2455"/>
      <c r="AI261" s="2455"/>
      <c r="AJ261" s="2455"/>
      <c r="AK261" s="245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78"/>
      <c r="N262" s="2078"/>
      <c r="O262" s="2078"/>
      <c r="P262" s="2078"/>
      <c r="Q262" s="2078"/>
      <c r="R262" s="2078"/>
      <c r="S262" s="7" t="s">
        <v>212</v>
      </c>
      <c r="T262" s="7"/>
      <c r="U262" s="2047"/>
      <c r="V262" s="2047"/>
      <c r="W262" s="2047"/>
      <c r="X262" s="7" t="s">
        <v>94</v>
      </c>
      <c r="Z262" s="2078"/>
      <c r="AA262" s="2078"/>
      <c r="AB262" s="2078"/>
      <c r="AC262" s="2078"/>
      <c r="AD262" s="2078"/>
      <c r="AE262" s="207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65"/>
      <c r="N263" s="2365"/>
      <c r="O263" s="2365"/>
      <c r="P263" s="2365"/>
      <c r="Q263" s="2365"/>
      <c r="R263" s="2365"/>
      <c r="S263" s="2365"/>
      <c r="T263" s="2365"/>
      <c r="U263" s="2365"/>
      <c r="V263" s="2365"/>
      <c r="W263" s="2365"/>
      <c r="X263" s="2365"/>
      <c r="Y263" s="2365"/>
      <c r="Z263" s="2365"/>
      <c r="AA263" s="2467"/>
      <c r="AB263" s="2467"/>
      <c r="AC263" s="2467"/>
      <c r="AD263" s="2467"/>
      <c r="AE263" s="246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8" t="s">
        <v>316</v>
      </c>
      <c r="N264" s="2048"/>
      <c r="O264" s="2048"/>
      <c r="P264" s="2048"/>
      <c r="Q264" s="2048"/>
      <c r="R264" s="2048"/>
      <c r="S264" s="2048"/>
      <c r="T264" s="2048"/>
      <c r="U264" s="387" t="s">
        <v>975</v>
      </c>
      <c r="V264" s="325"/>
      <c r="W264" s="325"/>
      <c r="X264" s="325"/>
      <c r="Y264" s="325"/>
      <c r="Z264" s="325"/>
      <c r="AA264" s="2468"/>
      <c r="AB264" s="2468"/>
      <c r="AC264" s="2468"/>
      <c r="AD264" s="2468"/>
      <c r="AE264" s="2468"/>
      <c r="AF264" s="2468"/>
      <c r="AG264" s="2468"/>
      <c r="AH264" s="2468"/>
      <c r="AI264" s="2468"/>
      <c r="AJ264" s="2468"/>
      <c r="AK264" s="2468"/>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69" t="str">
        <f>BO245</f>
        <v>Joint Venture</v>
      </c>
      <c r="U266" s="2469"/>
      <c r="V266" s="2469"/>
      <c r="W266" s="2469"/>
      <c r="X266" s="246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59" t="s">
        <v>178</v>
      </c>
      <c r="E269" s="2359"/>
      <c r="F269" s="2359"/>
      <c r="G269" s="2359"/>
      <c r="H269" s="2359"/>
      <c r="J269" s="12" t="s">
        <v>285</v>
      </c>
      <c r="X269" s="2346">
        <v>44681</v>
      </c>
      <c r="Y269" s="2346"/>
      <c r="Z269" s="2346"/>
      <c r="AA269" s="2346"/>
      <c r="AB269" s="2346"/>
      <c r="AC269" s="2346"/>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56" t="s">
        <v>2527</v>
      </c>
      <c r="M273" s="2446"/>
      <c r="N273" s="2446"/>
      <c r="O273" s="2446"/>
      <c r="P273" s="2446"/>
      <c r="Q273" s="2446"/>
      <c r="R273" s="2446"/>
      <c r="S273" s="2446"/>
      <c r="T273" s="2446"/>
      <c r="U273" s="2446"/>
      <c r="V273" s="2446"/>
      <c r="W273" s="2446"/>
      <c r="X273" s="2446"/>
      <c r="Y273" s="2446"/>
      <c r="Z273" s="2446"/>
      <c r="AA273" s="2446"/>
      <c r="AB273" s="2446"/>
      <c r="AC273" s="2446"/>
      <c r="AD273" s="2446"/>
      <c r="AE273" s="2446"/>
      <c r="AF273" s="2446"/>
      <c r="AG273" s="2446"/>
      <c r="AH273" s="2446"/>
      <c r="AI273" s="2446"/>
      <c r="AJ273" s="2446"/>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22" t="s">
        <v>2528</v>
      </c>
      <c r="M274" s="2359"/>
      <c r="N274" s="2359"/>
      <c r="O274" s="2359"/>
      <c r="P274" s="2359"/>
      <c r="Q274" s="2359"/>
      <c r="R274" s="2359"/>
      <c r="S274" s="2359"/>
      <c r="T274" s="2359"/>
      <c r="U274" s="2359"/>
      <c r="V274" s="2359"/>
      <c r="W274" s="2359"/>
      <c r="X274" s="2359"/>
      <c r="Y274" s="2359"/>
      <c r="Z274" s="2359"/>
      <c r="AA274" s="2359"/>
      <c r="AB274" s="2359"/>
      <c r="AC274" s="2359"/>
      <c r="AD274" s="2359"/>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322" t="s">
        <v>2529</v>
      </c>
      <c r="M275" s="2359"/>
      <c r="N275" s="2359"/>
      <c r="O275" s="2359"/>
      <c r="P275" s="2359"/>
      <c r="Q275" s="2359"/>
      <c r="R275" s="2359"/>
      <c r="S275" s="2359"/>
      <c r="U275" s="59" t="s">
        <v>91</v>
      </c>
      <c r="V275" s="2102" t="s">
        <v>2530</v>
      </c>
      <c r="W275" s="2047"/>
      <c r="X275" s="57" t="s">
        <v>618</v>
      </c>
      <c r="AB275" s="2359">
        <v>92780</v>
      </c>
      <c r="AC275" s="2359"/>
      <c r="AD275" s="235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22" t="s">
        <v>2531</v>
      </c>
      <c r="M276" s="2359"/>
      <c r="N276" s="2359"/>
      <c r="O276" s="2359"/>
      <c r="P276" s="2359"/>
      <c r="Q276" s="2359"/>
      <c r="R276" s="2359"/>
      <c r="S276" s="2359"/>
      <c r="T276" s="2359"/>
      <c r="U276" s="2359"/>
      <c r="V276" s="2359"/>
      <c r="W276" s="2359"/>
      <c r="X276" s="2359"/>
      <c r="Y276" s="2359"/>
      <c r="Z276" s="2359"/>
      <c r="AA276" s="2359"/>
      <c r="AB276" s="2359"/>
      <c r="AC276" s="2359"/>
      <c r="AD276" s="2359"/>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78">
        <v>7142887600</v>
      </c>
      <c r="M277" s="2078"/>
      <c r="N277" s="2078"/>
      <c r="O277" s="2078"/>
      <c r="P277" s="2078"/>
      <c r="Q277" s="2078"/>
      <c r="R277" s="7" t="s">
        <v>212</v>
      </c>
      <c r="S277" s="7"/>
      <c r="T277" s="2047">
        <v>250</v>
      </c>
      <c r="U277" s="2047"/>
      <c r="V277" s="2047"/>
      <c r="W277" s="7" t="s">
        <v>94</v>
      </c>
      <c r="Y277" s="2078">
        <v>8665700728</v>
      </c>
      <c r="Z277" s="2078"/>
      <c r="AA277" s="2078"/>
      <c r="AB277" s="2078"/>
      <c r="AC277" s="2078"/>
      <c r="AD277" s="2078"/>
      <c r="BN277" s="61"/>
    </row>
    <row r="278" spans="1:66" ht="12.5">
      <c r="D278" s="60" t="s">
        <v>95</v>
      </c>
      <c r="E278" s="7"/>
      <c r="F278" s="7"/>
      <c r="L278" s="2365" t="s">
        <v>2532</v>
      </c>
      <c r="M278" s="2365"/>
      <c r="N278" s="2365"/>
      <c r="O278" s="2365"/>
      <c r="P278" s="2365"/>
      <c r="Q278" s="2365"/>
      <c r="R278" s="2365"/>
      <c r="S278" s="2365"/>
      <c r="T278" s="2365"/>
      <c r="U278" s="2365"/>
      <c r="V278" s="2365"/>
      <c r="W278" s="2365"/>
      <c r="X278" s="2365"/>
      <c r="Y278" s="2365"/>
      <c r="Z278" s="2365"/>
      <c r="AA278" s="2365"/>
      <c r="AB278" s="2365"/>
      <c r="AC278" s="2365"/>
      <c r="AD278" s="2365"/>
      <c r="AF278" s="7"/>
      <c r="AG278" s="7"/>
      <c r="AH278" s="7"/>
      <c r="AI278" s="7"/>
      <c r="AJ278" s="7"/>
      <c r="BN278" s="61"/>
    </row>
    <row r="279" spans="1:66" ht="12.5">
      <c r="D279" s="58" t="s">
        <v>658</v>
      </c>
      <c r="E279" s="58"/>
      <c r="F279" s="58"/>
      <c r="G279" s="58"/>
      <c r="H279" s="58"/>
      <c r="I279" s="58"/>
      <c r="L279" s="2102" t="s">
        <v>2543</v>
      </c>
      <c r="M279" s="2102"/>
      <c r="N279" s="2102"/>
      <c r="O279" s="2102"/>
      <c r="P279" s="2102"/>
      <c r="Q279" s="2102"/>
      <c r="R279" s="2102"/>
      <c r="S279" s="2102"/>
      <c r="T279" s="2102"/>
      <c r="U279" s="2102"/>
      <c r="V279" s="2102"/>
      <c r="W279" s="2102"/>
      <c r="X279" s="2102"/>
      <c r="Y279" s="2102"/>
      <c r="Z279" s="2102"/>
      <c r="AA279" s="2102"/>
      <c r="AB279" s="2102"/>
      <c r="AC279" s="2102"/>
      <c r="AD279" s="2102"/>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84" t="s">
        <v>574</v>
      </c>
      <c r="B281" s="2384"/>
      <c r="C281" s="2384"/>
      <c r="D281" s="2384"/>
      <c r="E281" s="2384"/>
      <c r="F281" s="2384"/>
      <c r="G281" s="2384"/>
      <c r="H281" s="2384"/>
      <c r="I281" s="2384"/>
      <c r="J281" s="2384"/>
      <c r="K281" s="2384"/>
      <c r="L281" s="2384"/>
      <c r="M281" s="2384"/>
      <c r="N281" s="2384"/>
      <c r="O281" s="2384"/>
      <c r="P281" s="2384"/>
      <c r="Q281" s="2384"/>
      <c r="R281" s="2384"/>
      <c r="S281" s="2384"/>
      <c r="T281" s="2384"/>
      <c r="U281" s="2384"/>
      <c r="V281" s="2384"/>
      <c r="W281" s="2384"/>
      <c r="X281" s="2384"/>
      <c r="Y281" s="2384"/>
      <c r="Z281" s="2384"/>
      <c r="AA281" s="2384"/>
      <c r="AB281" s="2384"/>
      <c r="AC281" s="2384"/>
      <c r="AD281" s="2384"/>
      <c r="AE281" s="2384"/>
      <c r="AF281" s="2384"/>
      <c r="AG281" s="2384"/>
      <c r="AH281" s="2384"/>
      <c r="AI281" s="2384"/>
      <c r="AJ281" s="2384"/>
      <c r="AK281" s="2384"/>
      <c r="AL281" s="2384"/>
      <c r="AM281" s="144"/>
      <c r="AN281" s="144"/>
      <c r="AO281" s="144"/>
      <c r="AP281" s="144"/>
      <c r="AQ281" s="144"/>
      <c r="AR281" s="144"/>
      <c r="AS281" s="144"/>
      <c r="AT281" s="144"/>
      <c r="AU281" s="144"/>
      <c r="AV281" s="144"/>
      <c r="AW281" s="144"/>
      <c r="AX281" s="144"/>
      <c r="AY281" s="144"/>
      <c r="BN281" s="61"/>
    </row>
    <row r="282" spans="1:66" ht="13.5" thickBot="1">
      <c r="A282" s="2385"/>
      <c r="B282" s="2385"/>
      <c r="C282" s="2385"/>
      <c r="D282" s="2385"/>
      <c r="E282" s="2385"/>
      <c r="F282" s="2385"/>
      <c r="G282" s="2385"/>
      <c r="H282" s="2385"/>
      <c r="I282" s="2385"/>
      <c r="J282" s="2385"/>
      <c r="K282" s="2385"/>
      <c r="L282" s="2385"/>
      <c r="M282" s="2385"/>
      <c r="N282" s="2385"/>
      <c r="O282" s="2385"/>
      <c r="P282" s="2385"/>
      <c r="Q282" s="2385"/>
      <c r="R282" s="2385"/>
      <c r="S282" s="2385"/>
      <c r="T282" s="2385"/>
      <c r="U282" s="2385"/>
      <c r="V282" s="2385"/>
      <c r="W282" s="2385"/>
      <c r="X282" s="2385"/>
      <c r="Y282" s="2385"/>
      <c r="Z282" s="2385"/>
      <c r="AA282" s="2385"/>
      <c r="AB282" s="2385"/>
      <c r="AC282" s="2385"/>
      <c r="AD282" s="2385"/>
      <c r="AE282" s="2385"/>
      <c r="AF282" s="2385"/>
      <c r="AG282" s="2385"/>
      <c r="AH282" s="2385"/>
      <c r="AI282" s="2385"/>
      <c r="AJ282" s="2385"/>
      <c r="AK282" s="2385"/>
      <c r="AL282" s="2385"/>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54" t="s">
        <v>2527</v>
      </c>
      <c r="I286" s="2054"/>
      <c r="J286" s="2054"/>
      <c r="K286" s="2054"/>
      <c r="L286" s="2054"/>
      <c r="M286" s="2054"/>
      <c r="N286" s="2054"/>
      <c r="O286" s="2054"/>
      <c r="P286" s="2054"/>
      <c r="Q286" s="2054"/>
      <c r="R286" s="2054"/>
      <c r="T286" s="58" t="s">
        <v>600</v>
      </c>
      <c r="V286" s="58"/>
      <c r="W286" s="58"/>
      <c r="X286" s="58"/>
      <c r="Y286" s="58"/>
      <c r="AA286" s="2054" t="s">
        <v>2545</v>
      </c>
      <c r="AB286" s="2054"/>
      <c r="AC286" s="2054"/>
      <c r="AD286" s="2054"/>
      <c r="AE286" s="2054"/>
      <c r="AF286" s="2054"/>
      <c r="AG286" s="2054"/>
      <c r="AH286" s="2054"/>
      <c r="AI286" s="2054"/>
      <c r="AJ286" s="2054"/>
      <c r="AK286" s="2054"/>
      <c r="BN286" s="61"/>
    </row>
    <row r="287" spans="1:66" ht="12.5">
      <c r="B287" s="58" t="s">
        <v>504</v>
      </c>
      <c r="C287" s="58"/>
      <c r="D287" s="58"/>
      <c r="E287" s="58"/>
      <c r="F287" s="58"/>
      <c r="H287" s="2048" t="s">
        <v>2528</v>
      </c>
      <c r="I287" s="2048"/>
      <c r="J287" s="2048"/>
      <c r="K287" s="2048"/>
      <c r="L287" s="2048"/>
      <c r="M287" s="2048"/>
      <c r="N287" s="2048"/>
      <c r="O287" s="2048"/>
      <c r="P287" s="2048"/>
      <c r="Q287" s="2048"/>
      <c r="R287" s="2048"/>
      <c r="T287" s="58" t="s">
        <v>504</v>
      </c>
      <c r="V287" s="58"/>
      <c r="W287" s="58"/>
      <c r="X287" s="58"/>
      <c r="Y287" s="58"/>
      <c r="AA287" s="2048" t="s">
        <v>2547</v>
      </c>
      <c r="AB287" s="2048"/>
      <c r="AC287" s="2048"/>
      <c r="AD287" s="2048"/>
      <c r="AE287" s="2048"/>
      <c r="AF287" s="2048"/>
      <c r="AG287" s="2048"/>
      <c r="AH287" s="2048"/>
      <c r="AI287" s="2048"/>
      <c r="AJ287" s="2048"/>
      <c r="AK287" s="2048"/>
      <c r="BN287" s="61"/>
    </row>
    <row r="288" spans="1:66" ht="12.5">
      <c r="B288" s="58" t="s">
        <v>505</v>
      </c>
      <c r="C288" s="58"/>
      <c r="D288" s="58"/>
      <c r="E288" s="58"/>
      <c r="F288" s="58"/>
      <c r="H288" s="2048" t="s">
        <v>2544</v>
      </c>
      <c r="I288" s="2048"/>
      <c r="J288" s="2048"/>
      <c r="K288" s="2048"/>
      <c r="L288" s="2048"/>
      <c r="M288" s="2048"/>
      <c r="N288" s="2048"/>
      <c r="O288" s="2048"/>
      <c r="P288" s="2048"/>
      <c r="Q288" s="2048"/>
      <c r="R288" s="2048"/>
      <c r="T288" s="58" t="s">
        <v>79</v>
      </c>
      <c r="V288" s="58"/>
      <c r="W288" s="58"/>
      <c r="X288" s="58"/>
      <c r="Y288" s="58"/>
      <c r="AA288" s="2048" t="s">
        <v>2548</v>
      </c>
      <c r="AB288" s="2048"/>
      <c r="AC288" s="2048"/>
      <c r="AD288" s="2048"/>
      <c r="AE288" s="2048"/>
      <c r="AF288" s="2048"/>
      <c r="AG288" s="2048"/>
      <c r="AH288" s="2048"/>
      <c r="AI288" s="2048"/>
      <c r="AJ288" s="2048"/>
      <c r="AK288" s="2048"/>
      <c r="BN288" s="61"/>
    </row>
    <row r="289" spans="2:66" ht="12.75" customHeight="1">
      <c r="B289" s="58" t="s">
        <v>92</v>
      </c>
      <c r="C289" s="58"/>
      <c r="D289" s="58"/>
      <c r="E289" s="58"/>
      <c r="F289" s="58"/>
      <c r="H289" s="2048" t="s">
        <v>2531</v>
      </c>
      <c r="I289" s="2048"/>
      <c r="J289" s="2048"/>
      <c r="K289" s="2048"/>
      <c r="L289" s="2048"/>
      <c r="M289" s="2048"/>
      <c r="N289" s="2048"/>
      <c r="O289" s="2048"/>
      <c r="P289" s="2048"/>
      <c r="Q289" s="2048"/>
      <c r="R289" s="2048"/>
      <c r="T289" s="58" t="s">
        <v>92</v>
      </c>
      <c r="V289" s="58"/>
      <c r="W289" s="58"/>
      <c r="X289" s="58"/>
      <c r="Y289" s="58"/>
      <c r="AA289" s="2048" t="s">
        <v>2546</v>
      </c>
      <c r="AB289" s="2048"/>
      <c r="AC289" s="2048"/>
      <c r="AD289" s="2048"/>
      <c r="AE289" s="2048"/>
      <c r="AF289" s="2048"/>
      <c r="AG289" s="2048"/>
      <c r="AH289" s="2048"/>
      <c r="AI289" s="2048"/>
      <c r="AJ289" s="2048"/>
      <c r="AK289" s="2048"/>
      <c r="BN289" s="61"/>
    </row>
    <row r="290" spans="2:66" ht="12.75" customHeight="1">
      <c r="B290" s="58" t="s">
        <v>93</v>
      </c>
      <c r="C290" s="58"/>
      <c r="D290" s="58"/>
      <c r="E290" s="58"/>
      <c r="F290" s="58"/>
      <c r="G290" s="58"/>
      <c r="H290" s="2358">
        <v>7142887600</v>
      </c>
      <c r="I290" s="2358"/>
      <c r="J290" s="2358"/>
      <c r="K290" s="2358"/>
      <c r="L290" s="2358"/>
      <c r="M290" s="2358"/>
      <c r="N290" s="7" t="s">
        <v>212</v>
      </c>
      <c r="O290" s="7"/>
      <c r="P290" s="2359">
        <v>250</v>
      </c>
      <c r="Q290" s="2359"/>
      <c r="R290" s="2359"/>
      <c r="S290" s="58"/>
      <c r="T290" s="58" t="s">
        <v>93</v>
      </c>
      <c r="V290" s="58"/>
      <c r="W290" s="58"/>
      <c r="X290" s="58"/>
      <c r="Y290" s="58"/>
      <c r="AA290" s="2358">
        <v>9495539100</v>
      </c>
      <c r="AB290" s="2358"/>
      <c r="AC290" s="2358"/>
      <c r="AD290" s="2358"/>
      <c r="AE290" s="2358"/>
      <c r="AF290" s="2358"/>
      <c r="AG290" s="7" t="s">
        <v>212</v>
      </c>
      <c r="AH290" s="7"/>
      <c r="AI290" s="2359"/>
      <c r="AJ290" s="2359"/>
      <c r="AK290" s="2359"/>
      <c r="BN290" s="61"/>
    </row>
    <row r="291" spans="2:66" ht="12.75" customHeight="1">
      <c r="B291" s="58" t="s">
        <v>94</v>
      </c>
      <c r="C291" s="58"/>
      <c r="D291" s="58"/>
      <c r="E291" s="58"/>
      <c r="F291" s="58"/>
      <c r="G291" s="58"/>
      <c r="H291" s="2078">
        <v>8665700426</v>
      </c>
      <c r="I291" s="2078"/>
      <c r="J291" s="2078"/>
      <c r="K291" s="2078"/>
      <c r="L291" s="2078"/>
      <c r="M291" s="2078"/>
      <c r="N291" s="60"/>
      <c r="O291" s="60"/>
      <c r="P291" s="62"/>
      <c r="Q291" s="62"/>
      <c r="R291" s="62"/>
      <c r="S291" s="58"/>
      <c r="T291" s="58" t="s">
        <v>94</v>
      </c>
      <c r="V291" s="58"/>
      <c r="W291" s="58"/>
      <c r="X291" s="58"/>
      <c r="Y291" s="58"/>
      <c r="AA291" s="2078"/>
      <c r="AB291" s="2078"/>
      <c r="AC291" s="2078"/>
      <c r="AD291" s="2078"/>
      <c r="AE291" s="2078"/>
      <c r="AF291" s="2078"/>
      <c r="AG291" s="60"/>
      <c r="AH291" s="60"/>
      <c r="AI291" s="62"/>
      <c r="AJ291" s="62"/>
      <c r="AK291" s="62"/>
      <c r="BN291" s="61"/>
    </row>
    <row r="292" spans="2:66" ht="12.75" customHeight="1">
      <c r="B292" s="58" t="s">
        <v>80</v>
      </c>
      <c r="C292" s="58"/>
      <c r="D292" s="58"/>
      <c r="E292" s="58"/>
      <c r="F292" s="58"/>
      <c r="G292" s="58"/>
      <c r="H292" s="2048" t="s">
        <v>2532</v>
      </c>
      <c r="I292" s="2048"/>
      <c r="J292" s="2048"/>
      <c r="K292" s="2048"/>
      <c r="L292" s="2048"/>
      <c r="M292" s="2048"/>
      <c r="N292" s="2054"/>
      <c r="O292" s="2054"/>
      <c r="P292" s="2054"/>
      <c r="Q292" s="2054"/>
      <c r="R292" s="2054"/>
      <c r="S292" s="58"/>
      <c r="T292" s="58" t="s">
        <v>80</v>
      </c>
      <c r="V292" s="58"/>
      <c r="W292" s="58"/>
      <c r="X292" s="58"/>
      <c r="Y292" s="58"/>
      <c r="AA292" s="2048" t="s">
        <v>2549</v>
      </c>
      <c r="AB292" s="2048"/>
      <c r="AC292" s="2048"/>
      <c r="AD292" s="2048"/>
      <c r="AE292" s="2048"/>
      <c r="AF292" s="2048"/>
      <c r="AG292" s="2054"/>
      <c r="AH292" s="2054"/>
      <c r="AI292" s="2054"/>
      <c r="AJ292" s="2054"/>
      <c r="AK292" s="205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4" t="s">
        <v>2551</v>
      </c>
      <c r="I294" s="2054"/>
      <c r="J294" s="2054"/>
      <c r="K294" s="2054"/>
      <c r="L294" s="2054"/>
      <c r="M294" s="2054"/>
      <c r="N294" s="2054"/>
      <c r="O294" s="2054"/>
      <c r="P294" s="2054"/>
      <c r="Q294" s="2054"/>
      <c r="R294" s="2054"/>
      <c r="T294" s="58" t="s">
        <v>374</v>
      </c>
      <c r="V294" s="58"/>
      <c r="W294" s="58"/>
      <c r="X294" s="58"/>
      <c r="Y294" s="58"/>
      <c r="AA294" s="2054" t="s">
        <v>2550</v>
      </c>
      <c r="AB294" s="2054"/>
      <c r="AC294" s="2054"/>
      <c r="AD294" s="2054"/>
      <c r="AE294" s="2054"/>
      <c r="AF294" s="2054"/>
      <c r="AG294" s="2054"/>
      <c r="AH294" s="2054"/>
      <c r="AI294" s="2054"/>
      <c r="AJ294" s="2054"/>
      <c r="AK294" s="2054"/>
      <c r="BN294" s="61"/>
    </row>
    <row r="295" spans="2:66" ht="12.5">
      <c r="B295" s="58" t="s">
        <v>504</v>
      </c>
      <c r="C295" s="58"/>
      <c r="D295" s="58"/>
      <c r="E295" s="58"/>
      <c r="F295" s="58"/>
      <c r="H295" s="2048" t="s">
        <v>2552</v>
      </c>
      <c r="I295" s="2048"/>
      <c r="J295" s="2048"/>
      <c r="K295" s="2048"/>
      <c r="L295" s="2048"/>
      <c r="M295" s="2048"/>
      <c r="N295" s="2048"/>
      <c r="O295" s="2048"/>
      <c r="P295" s="2048"/>
      <c r="Q295" s="2048"/>
      <c r="R295" s="2048"/>
      <c r="T295" s="58" t="s">
        <v>504</v>
      </c>
      <c r="V295" s="58"/>
      <c r="W295" s="58"/>
      <c r="X295" s="58"/>
      <c r="Y295" s="58"/>
      <c r="AA295" s="2048"/>
      <c r="AB295" s="2048"/>
      <c r="AC295" s="2048"/>
      <c r="AD295" s="2048"/>
      <c r="AE295" s="2048"/>
      <c r="AF295" s="2048"/>
      <c r="AG295" s="2048"/>
      <c r="AH295" s="2048"/>
      <c r="AI295" s="2048"/>
      <c r="AJ295" s="2048"/>
      <c r="AK295" s="2048"/>
      <c r="BN295" s="61"/>
    </row>
    <row r="296" spans="2:66" ht="12.5">
      <c r="B296" s="58" t="s">
        <v>505</v>
      </c>
      <c r="C296" s="58"/>
      <c r="D296" s="58"/>
      <c r="E296" s="58"/>
      <c r="F296" s="58"/>
      <c r="H296" s="2048" t="s">
        <v>2553</v>
      </c>
      <c r="I296" s="2048"/>
      <c r="J296" s="2048"/>
      <c r="K296" s="2048"/>
      <c r="L296" s="2048"/>
      <c r="M296" s="2048"/>
      <c r="N296" s="2048"/>
      <c r="O296" s="2048"/>
      <c r="P296" s="2048"/>
      <c r="Q296" s="2048"/>
      <c r="R296" s="2048"/>
      <c r="T296" s="58" t="s">
        <v>79</v>
      </c>
      <c r="V296" s="58"/>
      <c r="W296" s="58"/>
      <c r="X296" s="58"/>
      <c r="Y296" s="58"/>
      <c r="AA296" s="2048"/>
      <c r="AB296" s="2048"/>
      <c r="AC296" s="2048"/>
      <c r="AD296" s="2048"/>
      <c r="AE296" s="2048"/>
      <c r="AF296" s="2048"/>
      <c r="AG296" s="2048"/>
      <c r="AH296" s="2048"/>
      <c r="AI296" s="2048"/>
      <c r="AJ296" s="2048"/>
      <c r="AK296" s="2048"/>
      <c r="BN296" s="61"/>
    </row>
    <row r="297" spans="2:66" ht="12.5">
      <c r="B297" s="58" t="s">
        <v>92</v>
      </c>
      <c r="C297" s="58"/>
      <c r="D297" s="58"/>
      <c r="E297" s="58"/>
      <c r="F297" s="58"/>
      <c r="H297" s="2048" t="s">
        <v>2554</v>
      </c>
      <c r="I297" s="2048"/>
      <c r="J297" s="2048"/>
      <c r="K297" s="2048"/>
      <c r="L297" s="2048"/>
      <c r="M297" s="2048"/>
      <c r="N297" s="2048"/>
      <c r="O297" s="2048"/>
      <c r="P297" s="2048"/>
      <c r="Q297" s="2048"/>
      <c r="R297" s="2048"/>
      <c r="T297" s="58" t="s">
        <v>92</v>
      </c>
      <c r="V297" s="58"/>
      <c r="W297" s="58"/>
      <c r="X297" s="58"/>
      <c r="Y297" s="58"/>
      <c r="AA297" s="2048"/>
      <c r="AB297" s="2048"/>
      <c r="AC297" s="2048"/>
      <c r="AD297" s="2048"/>
      <c r="AE297" s="2048"/>
      <c r="AF297" s="2048"/>
      <c r="AG297" s="2048"/>
      <c r="AH297" s="2048"/>
      <c r="AI297" s="2048"/>
      <c r="AJ297" s="2048"/>
      <c r="AK297" s="2048"/>
      <c r="BN297" s="61"/>
    </row>
    <row r="298" spans="2:66" ht="12.5">
      <c r="B298" s="58" t="s">
        <v>93</v>
      </c>
      <c r="C298" s="58"/>
      <c r="D298" s="58"/>
      <c r="E298" s="58"/>
      <c r="F298" s="58"/>
      <c r="G298" s="58"/>
      <c r="H298" s="2358">
        <v>5108366336</v>
      </c>
      <c r="I298" s="2358"/>
      <c r="J298" s="2358"/>
      <c r="K298" s="2358"/>
      <c r="L298" s="2358"/>
      <c r="M298" s="2358"/>
      <c r="N298" s="7" t="s">
        <v>212</v>
      </c>
      <c r="O298" s="7"/>
      <c r="P298" s="2359"/>
      <c r="Q298" s="2359"/>
      <c r="R298" s="2359"/>
      <c r="S298" s="58"/>
      <c r="T298" s="58" t="s">
        <v>93</v>
      </c>
      <c r="V298" s="58"/>
      <c r="W298" s="58"/>
      <c r="X298" s="58"/>
      <c r="Y298" s="58"/>
      <c r="AA298" s="2358"/>
      <c r="AB298" s="2358"/>
      <c r="AC298" s="2358"/>
      <c r="AD298" s="2358"/>
      <c r="AE298" s="2358"/>
      <c r="AF298" s="2358"/>
      <c r="AG298" s="7" t="s">
        <v>212</v>
      </c>
      <c r="AH298" s="7"/>
      <c r="AI298" s="2359"/>
      <c r="AJ298" s="2359"/>
      <c r="AK298" s="2359"/>
      <c r="BN298" s="61"/>
    </row>
    <row r="299" spans="2:66" ht="12.75" customHeight="1">
      <c r="B299" s="58" t="s">
        <v>94</v>
      </c>
      <c r="C299" s="58"/>
      <c r="D299" s="58"/>
      <c r="E299" s="58"/>
      <c r="F299" s="58"/>
      <c r="G299" s="58"/>
      <c r="H299" s="2078">
        <v>5105361035</v>
      </c>
      <c r="I299" s="2078"/>
      <c r="J299" s="2078"/>
      <c r="K299" s="2078"/>
      <c r="L299" s="2078"/>
      <c r="M299" s="2078"/>
      <c r="N299" s="60"/>
      <c r="O299" s="60"/>
      <c r="P299" s="62"/>
      <c r="Q299" s="62"/>
      <c r="R299" s="62"/>
      <c r="S299" s="58"/>
      <c r="T299" s="58" t="s">
        <v>94</v>
      </c>
      <c r="V299" s="58"/>
      <c r="W299" s="58"/>
      <c r="X299" s="58"/>
      <c r="Y299" s="58"/>
      <c r="AA299" s="2078"/>
      <c r="AB299" s="2078"/>
      <c r="AC299" s="2078"/>
      <c r="AD299" s="2078"/>
      <c r="AE299" s="2078"/>
      <c r="AF299" s="2078"/>
      <c r="AG299" s="60"/>
      <c r="AH299" s="60"/>
      <c r="AI299" s="62"/>
      <c r="AJ299" s="62"/>
      <c r="AK299" s="62"/>
      <c r="BN299" s="61"/>
    </row>
    <row r="300" spans="2:66" ht="12.75" customHeight="1">
      <c r="B300" s="58" t="s">
        <v>80</v>
      </c>
      <c r="C300" s="58"/>
      <c r="D300" s="58"/>
      <c r="E300" s="58"/>
      <c r="F300" s="58"/>
      <c r="G300" s="58"/>
      <c r="H300" s="2048" t="s">
        <v>2555</v>
      </c>
      <c r="I300" s="2048"/>
      <c r="J300" s="2048"/>
      <c r="K300" s="2048"/>
      <c r="L300" s="2048"/>
      <c r="M300" s="2048"/>
      <c r="N300" s="2054"/>
      <c r="O300" s="2054"/>
      <c r="P300" s="2054"/>
      <c r="Q300" s="2054"/>
      <c r="R300" s="2054"/>
      <c r="S300" s="58"/>
      <c r="T300" s="58" t="s">
        <v>80</v>
      </c>
      <c r="V300" s="58"/>
      <c r="W300" s="58"/>
      <c r="X300" s="58"/>
      <c r="Y300" s="58"/>
      <c r="AA300" s="2048"/>
      <c r="AB300" s="2048"/>
      <c r="AC300" s="2048"/>
      <c r="AD300" s="2048"/>
      <c r="AE300" s="2048"/>
      <c r="AF300" s="2048"/>
      <c r="AG300" s="2054"/>
      <c r="AH300" s="2054"/>
      <c r="AI300" s="2054"/>
      <c r="AJ300" s="2054"/>
      <c r="AK300" s="2054"/>
      <c r="BN300" s="61"/>
    </row>
    <row r="301" spans="2:66" ht="12.75" customHeight="1">
      <c r="BN301" s="61"/>
    </row>
    <row r="302" spans="2:66" ht="12.75" customHeight="1">
      <c r="B302" s="58" t="s">
        <v>81</v>
      </c>
      <c r="C302" s="58"/>
      <c r="D302" s="58"/>
      <c r="E302" s="58"/>
      <c r="F302" s="58"/>
      <c r="H302" s="2054" t="s">
        <v>2551</v>
      </c>
      <c r="I302" s="2054"/>
      <c r="J302" s="2054"/>
      <c r="K302" s="2054"/>
      <c r="L302" s="2054"/>
      <c r="M302" s="2054"/>
      <c r="N302" s="2054"/>
      <c r="O302" s="2054"/>
      <c r="P302" s="2054"/>
      <c r="Q302" s="2054"/>
      <c r="R302" s="2054"/>
      <c r="T302" s="7" t="s">
        <v>943</v>
      </c>
      <c r="V302" s="58"/>
      <c r="W302" s="58"/>
      <c r="X302" s="58"/>
      <c r="Y302" s="58"/>
      <c r="AA302" s="2054" t="s">
        <v>2550</v>
      </c>
      <c r="AB302" s="2054"/>
      <c r="AC302" s="2054"/>
      <c r="AD302" s="2054"/>
      <c r="AE302" s="2054"/>
      <c r="AF302" s="2054"/>
      <c r="AG302" s="2054"/>
      <c r="AH302" s="2054"/>
      <c r="AI302" s="2054"/>
      <c r="AJ302" s="2054"/>
      <c r="AK302" s="2054"/>
      <c r="BN302" s="61"/>
    </row>
    <row r="303" spans="2:66" ht="12.5">
      <c r="B303" s="58" t="s">
        <v>504</v>
      </c>
      <c r="C303" s="58"/>
      <c r="D303" s="58"/>
      <c r="E303" s="58"/>
      <c r="F303" s="58"/>
      <c r="H303" s="2048" t="s">
        <v>2552</v>
      </c>
      <c r="I303" s="2048"/>
      <c r="J303" s="2048"/>
      <c r="K303" s="2048"/>
      <c r="L303" s="2048"/>
      <c r="M303" s="2048"/>
      <c r="N303" s="2048"/>
      <c r="O303" s="2048"/>
      <c r="P303" s="2048"/>
      <c r="Q303" s="2048"/>
      <c r="R303" s="2048"/>
      <c r="T303" s="58" t="s">
        <v>504</v>
      </c>
      <c r="V303" s="58"/>
      <c r="W303" s="58"/>
      <c r="X303" s="58"/>
      <c r="Y303" s="58"/>
      <c r="AA303" s="2048"/>
      <c r="AB303" s="2048"/>
      <c r="AC303" s="2048"/>
      <c r="AD303" s="2048"/>
      <c r="AE303" s="2048"/>
      <c r="AF303" s="2048"/>
      <c r="AG303" s="2048"/>
      <c r="AH303" s="2048"/>
      <c r="AI303" s="2048"/>
      <c r="AJ303" s="2048"/>
      <c r="AK303" s="2048"/>
      <c r="BN303" s="61"/>
    </row>
    <row r="304" spans="2:66" ht="12.5">
      <c r="B304" s="58" t="s">
        <v>505</v>
      </c>
      <c r="C304" s="58"/>
      <c r="D304" s="58"/>
      <c r="E304" s="58"/>
      <c r="F304" s="58"/>
      <c r="H304" s="2048" t="s">
        <v>2553</v>
      </c>
      <c r="I304" s="2048"/>
      <c r="J304" s="2048"/>
      <c r="K304" s="2048"/>
      <c r="L304" s="2048"/>
      <c r="M304" s="2048"/>
      <c r="N304" s="2048"/>
      <c r="O304" s="2048"/>
      <c r="P304" s="2048"/>
      <c r="Q304" s="2048"/>
      <c r="R304" s="2048"/>
      <c r="T304" s="58" t="s">
        <v>79</v>
      </c>
      <c r="V304" s="58"/>
      <c r="W304" s="58"/>
      <c r="X304" s="58"/>
      <c r="Y304" s="58"/>
      <c r="AA304" s="2048"/>
      <c r="AB304" s="2048"/>
      <c r="AC304" s="2048"/>
      <c r="AD304" s="2048"/>
      <c r="AE304" s="2048"/>
      <c r="AF304" s="2048"/>
      <c r="AG304" s="2048"/>
      <c r="AH304" s="2048"/>
      <c r="AI304" s="2048"/>
      <c r="AJ304" s="2048"/>
      <c r="AK304" s="2048"/>
      <c r="BN304" s="61"/>
    </row>
    <row r="305" spans="2:66" ht="12.5">
      <c r="B305" s="58" t="s">
        <v>92</v>
      </c>
      <c r="C305" s="58"/>
      <c r="D305" s="58"/>
      <c r="E305" s="58"/>
      <c r="F305" s="58"/>
      <c r="H305" s="2048" t="s">
        <v>2556</v>
      </c>
      <c r="I305" s="2048"/>
      <c r="J305" s="2048"/>
      <c r="K305" s="2048"/>
      <c r="L305" s="2048"/>
      <c r="M305" s="2048"/>
      <c r="N305" s="2048"/>
      <c r="O305" s="2048"/>
      <c r="P305" s="2048"/>
      <c r="Q305" s="2048"/>
      <c r="R305" s="2048"/>
      <c r="T305" s="58" t="s">
        <v>92</v>
      </c>
      <c r="V305" s="58"/>
      <c r="W305" s="58"/>
      <c r="X305" s="58"/>
      <c r="Y305" s="58"/>
      <c r="AA305" s="2048"/>
      <c r="AB305" s="2048"/>
      <c r="AC305" s="2048"/>
      <c r="AD305" s="2048"/>
      <c r="AE305" s="2048"/>
      <c r="AF305" s="2048"/>
      <c r="AG305" s="2048"/>
      <c r="AH305" s="2048"/>
      <c r="AI305" s="2048"/>
      <c r="AJ305" s="2048"/>
      <c r="AK305" s="2048"/>
      <c r="BN305" s="61"/>
    </row>
    <row r="306" spans="2:66" ht="12.5">
      <c r="B306" s="58" t="s">
        <v>93</v>
      </c>
      <c r="C306" s="58"/>
      <c r="D306" s="58"/>
      <c r="E306" s="58"/>
      <c r="F306" s="58"/>
      <c r="G306" s="58"/>
      <c r="H306" s="2358">
        <v>5108366336</v>
      </c>
      <c r="I306" s="2358"/>
      <c r="J306" s="2358"/>
      <c r="K306" s="2358"/>
      <c r="L306" s="2358"/>
      <c r="M306" s="2358"/>
      <c r="N306" s="7" t="s">
        <v>212</v>
      </c>
      <c r="O306" s="7"/>
      <c r="P306" s="2359"/>
      <c r="Q306" s="2359"/>
      <c r="R306" s="2359"/>
      <c r="S306" s="58"/>
      <c r="T306" s="58" t="s">
        <v>93</v>
      </c>
      <c r="V306" s="58"/>
      <c r="W306" s="58"/>
      <c r="X306" s="58"/>
      <c r="Y306" s="58"/>
      <c r="AA306" s="2358"/>
      <c r="AB306" s="2358"/>
      <c r="AC306" s="2358"/>
      <c r="AD306" s="2358"/>
      <c r="AE306" s="2358"/>
      <c r="AF306" s="2358"/>
      <c r="AG306" s="7" t="s">
        <v>212</v>
      </c>
      <c r="AH306" s="7"/>
      <c r="AI306" s="2359"/>
      <c r="AJ306" s="2359"/>
      <c r="AK306" s="2359"/>
      <c r="BN306" s="61"/>
    </row>
    <row r="307" spans="2:66" ht="12.5">
      <c r="B307" s="58" t="s">
        <v>94</v>
      </c>
      <c r="C307" s="58"/>
      <c r="D307" s="58"/>
      <c r="E307" s="58"/>
      <c r="F307" s="58"/>
      <c r="G307" s="58"/>
      <c r="H307" s="2078">
        <v>5108361035</v>
      </c>
      <c r="I307" s="2078"/>
      <c r="J307" s="2078"/>
      <c r="K307" s="2078"/>
      <c r="L307" s="2078"/>
      <c r="M307" s="2078"/>
      <c r="N307" s="60"/>
      <c r="O307" s="60"/>
      <c r="P307" s="62"/>
      <c r="Q307" s="62"/>
      <c r="R307" s="62"/>
      <c r="S307" s="58"/>
      <c r="T307" s="58" t="s">
        <v>94</v>
      </c>
      <c r="V307" s="58"/>
      <c r="W307" s="58"/>
      <c r="X307" s="58"/>
      <c r="Y307" s="58"/>
      <c r="AA307" s="2078"/>
      <c r="AB307" s="2078"/>
      <c r="AC307" s="2078"/>
      <c r="AD307" s="2078"/>
      <c r="AE307" s="2078"/>
      <c r="AF307" s="2078"/>
      <c r="AG307" s="60"/>
      <c r="AH307" s="60"/>
      <c r="AI307" s="62"/>
      <c r="AJ307" s="62"/>
      <c r="AK307" s="62"/>
      <c r="BN307" s="61"/>
    </row>
    <row r="308" spans="2:66" ht="12.5">
      <c r="B308" s="58" t="s">
        <v>80</v>
      </c>
      <c r="C308" s="58"/>
      <c r="D308" s="58"/>
      <c r="E308" s="58"/>
      <c r="F308" s="58"/>
      <c r="G308" s="58"/>
      <c r="H308" s="2048" t="s">
        <v>2557</v>
      </c>
      <c r="I308" s="2048"/>
      <c r="J308" s="2048"/>
      <c r="K308" s="2048"/>
      <c r="L308" s="2048"/>
      <c r="M308" s="2048"/>
      <c r="N308" s="2054"/>
      <c r="O308" s="2054"/>
      <c r="P308" s="2054"/>
      <c r="Q308" s="2054"/>
      <c r="R308" s="2054"/>
      <c r="S308" s="58"/>
      <c r="T308" s="58" t="s">
        <v>80</v>
      </c>
      <c r="V308" s="58"/>
      <c r="W308" s="58"/>
      <c r="X308" s="58"/>
      <c r="Y308" s="58"/>
      <c r="AA308" s="2048"/>
      <c r="AB308" s="2048"/>
      <c r="AC308" s="2048"/>
      <c r="AD308" s="2048"/>
      <c r="AE308" s="2048"/>
      <c r="AF308" s="2048"/>
      <c r="AG308" s="2054"/>
      <c r="AH308" s="2054"/>
      <c r="AI308" s="2054"/>
      <c r="AJ308" s="2054"/>
      <c r="AK308" s="205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54" t="s">
        <v>2558</v>
      </c>
      <c r="I310" s="2054"/>
      <c r="J310" s="2054"/>
      <c r="K310" s="2054"/>
      <c r="L310" s="2054"/>
      <c r="M310" s="2054"/>
      <c r="N310" s="2054"/>
      <c r="O310" s="2054"/>
      <c r="P310" s="2054"/>
      <c r="Q310" s="2054"/>
      <c r="R310" s="2054"/>
      <c r="S310" s="58"/>
      <c r="T310" s="58" t="s">
        <v>375</v>
      </c>
      <c r="V310" s="58"/>
      <c r="W310" s="58"/>
      <c r="X310" s="58"/>
      <c r="Y310" s="58"/>
      <c r="AA310" s="2054" t="s">
        <v>2563</v>
      </c>
      <c r="AB310" s="2054"/>
      <c r="AC310" s="2054"/>
      <c r="AD310" s="2054"/>
      <c r="AE310" s="2054"/>
      <c r="AF310" s="2054"/>
      <c r="AG310" s="2054"/>
      <c r="AH310" s="2054"/>
      <c r="AI310" s="2054"/>
      <c r="AJ310" s="2054"/>
      <c r="AK310" s="2054"/>
      <c r="BN310" s="61"/>
    </row>
    <row r="311" spans="2:66" ht="12.5">
      <c r="B311" s="58" t="s">
        <v>504</v>
      </c>
      <c r="C311" s="58"/>
      <c r="D311" s="58"/>
      <c r="E311" s="58"/>
      <c r="F311" s="58"/>
      <c r="H311" s="2048" t="s">
        <v>2559</v>
      </c>
      <c r="I311" s="2048"/>
      <c r="J311" s="2048"/>
      <c r="K311" s="2048"/>
      <c r="L311" s="2048"/>
      <c r="M311" s="2048"/>
      <c r="N311" s="2048"/>
      <c r="O311" s="2048"/>
      <c r="P311" s="2048"/>
      <c r="Q311" s="2048"/>
      <c r="R311" s="2048"/>
      <c r="S311" s="58"/>
      <c r="T311" s="58" t="s">
        <v>504</v>
      </c>
      <c r="V311" s="58"/>
      <c r="W311" s="58"/>
      <c r="X311" s="58"/>
      <c r="Y311" s="58"/>
      <c r="AA311" s="2048" t="s">
        <v>2564</v>
      </c>
      <c r="AB311" s="2048"/>
      <c r="AC311" s="2048"/>
      <c r="AD311" s="2048"/>
      <c r="AE311" s="2048"/>
      <c r="AF311" s="2048"/>
      <c r="AG311" s="2048"/>
      <c r="AH311" s="2048"/>
      <c r="AI311" s="2048"/>
      <c r="AJ311" s="2048"/>
      <c r="AK311" s="2048"/>
      <c r="BN311" s="61"/>
    </row>
    <row r="312" spans="2:66" ht="12.75" customHeight="1">
      <c r="B312" s="58" t="s">
        <v>505</v>
      </c>
      <c r="C312" s="58"/>
      <c r="D312" s="58"/>
      <c r="E312" s="58"/>
      <c r="F312" s="58"/>
      <c r="H312" s="2048" t="s">
        <v>2560</v>
      </c>
      <c r="I312" s="2048"/>
      <c r="J312" s="2048"/>
      <c r="K312" s="2048"/>
      <c r="L312" s="2048"/>
      <c r="M312" s="2048"/>
      <c r="N312" s="2048"/>
      <c r="O312" s="2048"/>
      <c r="P312" s="2048"/>
      <c r="Q312" s="2048"/>
      <c r="R312" s="2048"/>
      <c r="S312" s="58"/>
      <c r="T312" s="58" t="s">
        <v>79</v>
      </c>
      <c r="V312" s="58"/>
      <c r="W312" s="58"/>
      <c r="X312" s="58"/>
      <c r="Y312" s="58"/>
      <c r="AA312" s="2048" t="s">
        <v>2537</v>
      </c>
      <c r="AB312" s="2048"/>
      <c r="AC312" s="2048"/>
      <c r="AD312" s="2048"/>
      <c r="AE312" s="2048"/>
      <c r="AF312" s="2048"/>
      <c r="AG312" s="2048"/>
      <c r="AH312" s="2048"/>
      <c r="AI312" s="2048"/>
      <c r="AJ312" s="2048"/>
      <c r="AK312" s="2048"/>
      <c r="BN312" s="61"/>
    </row>
    <row r="313" spans="2:66" ht="12.5">
      <c r="B313" s="58" t="s">
        <v>92</v>
      </c>
      <c r="C313" s="58"/>
      <c r="D313" s="58"/>
      <c r="E313" s="58"/>
      <c r="F313" s="58"/>
      <c r="H313" s="2048" t="s">
        <v>2561</v>
      </c>
      <c r="I313" s="2048"/>
      <c r="J313" s="2048"/>
      <c r="K313" s="2048"/>
      <c r="L313" s="2048"/>
      <c r="M313" s="2048"/>
      <c r="N313" s="2048"/>
      <c r="O313" s="2048"/>
      <c r="P313" s="2048"/>
      <c r="Q313" s="2048"/>
      <c r="R313" s="2048"/>
      <c r="S313" s="58"/>
      <c r="T313" s="58" t="s">
        <v>92</v>
      </c>
      <c r="V313" s="58"/>
      <c r="W313" s="58"/>
      <c r="X313" s="58"/>
      <c r="Y313" s="58"/>
      <c r="AA313" s="2048" t="s">
        <v>2565</v>
      </c>
      <c r="AB313" s="2048"/>
      <c r="AC313" s="2048"/>
      <c r="AD313" s="2048"/>
      <c r="AE313" s="2048"/>
      <c r="AF313" s="2048"/>
      <c r="AG313" s="2048"/>
      <c r="AH313" s="2048"/>
      <c r="AI313" s="2048"/>
      <c r="AJ313" s="2048"/>
      <c r="AK313" s="2048"/>
      <c r="BN313" s="61"/>
    </row>
    <row r="314" spans="2:66" ht="12.5">
      <c r="B314" s="58" t="s">
        <v>93</v>
      </c>
      <c r="C314" s="58"/>
      <c r="D314" s="58"/>
      <c r="E314" s="58"/>
      <c r="F314" s="58"/>
      <c r="G314" s="58"/>
      <c r="H314" s="2358">
        <v>8183833079</v>
      </c>
      <c r="I314" s="2358"/>
      <c r="J314" s="2358"/>
      <c r="K314" s="2358"/>
      <c r="L314" s="2358"/>
      <c r="M314" s="2358"/>
      <c r="N314" s="7" t="s">
        <v>212</v>
      </c>
      <c r="O314" s="7"/>
      <c r="P314" s="2359"/>
      <c r="Q314" s="2359"/>
      <c r="R314" s="2359"/>
      <c r="S314" s="58"/>
      <c r="T314" s="58" t="s">
        <v>93</v>
      </c>
      <c r="V314" s="58"/>
      <c r="W314" s="58"/>
      <c r="X314" s="58"/>
      <c r="Y314" s="58"/>
      <c r="AA314" s="2474">
        <v>2132403144</v>
      </c>
      <c r="AB314" s="2358"/>
      <c r="AC314" s="2358"/>
      <c r="AD314" s="2358"/>
      <c r="AE314" s="2358"/>
      <c r="AF314" s="2358"/>
      <c r="AG314" s="7" t="s">
        <v>212</v>
      </c>
      <c r="AH314" s="7"/>
      <c r="AI314" s="2359"/>
      <c r="AJ314" s="2359"/>
      <c r="AK314" s="2359"/>
      <c r="BN314" s="61"/>
    </row>
    <row r="315" spans="2:66" ht="12.5">
      <c r="B315" s="58" t="s">
        <v>94</v>
      </c>
      <c r="C315" s="58"/>
      <c r="D315" s="58"/>
      <c r="E315" s="58"/>
      <c r="F315" s="58"/>
      <c r="G315" s="58"/>
      <c r="H315" s="2078">
        <v>8182760008</v>
      </c>
      <c r="I315" s="2078"/>
      <c r="J315" s="2078"/>
      <c r="K315" s="2078"/>
      <c r="L315" s="2078"/>
      <c r="M315" s="2078"/>
      <c r="N315" s="60"/>
      <c r="O315" s="60"/>
      <c r="P315" s="62"/>
      <c r="Q315" s="62"/>
      <c r="R315" s="62"/>
      <c r="S315" s="58"/>
      <c r="T315" s="58" t="s">
        <v>94</v>
      </c>
      <c r="V315" s="58"/>
      <c r="W315" s="58"/>
      <c r="X315" s="58"/>
      <c r="Y315" s="58"/>
      <c r="AA315" s="2078">
        <v>2132403144</v>
      </c>
      <c r="AB315" s="2078"/>
      <c r="AC315" s="2078"/>
      <c r="AD315" s="2078"/>
      <c r="AE315" s="2078"/>
      <c r="AF315" s="2078"/>
      <c r="AG315" s="60"/>
      <c r="AH315" s="60"/>
      <c r="AI315" s="62"/>
      <c r="AJ315" s="62"/>
      <c r="AK315" s="62"/>
      <c r="BN315" s="61"/>
    </row>
    <row r="316" spans="2:66" ht="12.5">
      <c r="B316" s="58" t="s">
        <v>80</v>
      </c>
      <c r="C316" s="58"/>
      <c r="D316" s="58"/>
      <c r="E316" s="58"/>
      <c r="F316" s="58"/>
      <c r="G316" s="58"/>
      <c r="H316" s="2048" t="s">
        <v>2562</v>
      </c>
      <c r="I316" s="2048"/>
      <c r="J316" s="2048"/>
      <c r="K316" s="2048"/>
      <c r="L316" s="2048"/>
      <c r="M316" s="2048"/>
      <c r="N316" s="2054"/>
      <c r="O316" s="2054"/>
      <c r="P316" s="2054"/>
      <c r="Q316" s="2054"/>
      <c r="R316" s="2054"/>
      <c r="S316" s="58"/>
      <c r="T316" s="58" t="s">
        <v>80</v>
      </c>
      <c r="V316" s="58"/>
      <c r="W316" s="58"/>
      <c r="X316" s="58"/>
      <c r="Y316" s="58"/>
      <c r="AA316" s="2048" t="s">
        <v>2566</v>
      </c>
      <c r="AB316" s="2048"/>
      <c r="AC316" s="2048"/>
      <c r="AD316" s="2048"/>
      <c r="AE316" s="2048"/>
      <c r="AF316" s="2048"/>
      <c r="AG316" s="2054"/>
      <c r="AH316" s="2054"/>
      <c r="AI316" s="2054"/>
      <c r="AJ316" s="2054"/>
      <c r="AK316" s="2054"/>
      <c r="BN316" s="61"/>
    </row>
    <row r="317" spans="2:66" ht="12.5">
      <c r="BN317" s="61"/>
    </row>
    <row r="318" spans="2:66" ht="12.5">
      <c r="B318" s="7" t="s">
        <v>977</v>
      </c>
      <c r="C318" s="58"/>
      <c r="D318" s="58"/>
      <c r="E318" s="58"/>
      <c r="F318" s="58"/>
      <c r="H318" s="2054" t="s">
        <v>2550</v>
      </c>
      <c r="I318" s="2054"/>
      <c r="J318" s="2054"/>
      <c r="K318" s="2054"/>
      <c r="L318" s="2054"/>
      <c r="M318" s="2054"/>
      <c r="N318" s="2054"/>
      <c r="O318" s="2054"/>
      <c r="P318" s="2054"/>
      <c r="Q318" s="2054"/>
      <c r="R318" s="2054"/>
      <c r="T318" s="58" t="s">
        <v>376</v>
      </c>
      <c r="V318" s="58"/>
      <c r="W318" s="58"/>
      <c r="X318" s="58"/>
      <c r="Y318" s="58"/>
      <c r="AA318" s="2054" t="s">
        <v>2567</v>
      </c>
      <c r="AB318" s="2054"/>
      <c r="AC318" s="2054"/>
      <c r="AD318" s="2054"/>
      <c r="AE318" s="2054"/>
      <c r="AF318" s="2054"/>
      <c r="AG318" s="2054"/>
      <c r="AH318" s="2054"/>
      <c r="AI318" s="2054"/>
      <c r="AJ318" s="2054"/>
      <c r="AK318" s="2054"/>
      <c r="BN318" s="61"/>
    </row>
    <row r="319" spans="2:66" ht="12.5">
      <c r="B319" s="58" t="s">
        <v>504</v>
      </c>
      <c r="C319" s="58"/>
      <c r="D319" s="58"/>
      <c r="E319" s="58"/>
      <c r="F319" s="58"/>
      <c r="H319" s="2048"/>
      <c r="I319" s="2048"/>
      <c r="J319" s="2048"/>
      <c r="K319" s="2048"/>
      <c r="L319" s="2048"/>
      <c r="M319" s="2048"/>
      <c r="N319" s="2048"/>
      <c r="O319" s="2048"/>
      <c r="P319" s="2048"/>
      <c r="Q319" s="2048"/>
      <c r="R319" s="2048"/>
      <c r="T319" s="58" t="s">
        <v>504</v>
      </c>
      <c r="V319" s="58"/>
      <c r="W319" s="58"/>
      <c r="X319" s="58"/>
      <c r="Y319" s="58"/>
      <c r="AA319" s="2048" t="s">
        <v>2568</v>
      </c>
      <c r="AB319" s="2048"/>
      <c r="AC319" s="2048"/>
      <c r="AD319" s="2048"/>
      <c r="AE319" s="2048"/>
      <c r="AF319" s="2048"/>
      <c r="AG319" s="2048"/>
      <c r="AH319" s="2048"/>
      <c r="AI319" s="2048"/>
      <c r="AJ319" s="2048"/>
      <c r="AK319" s="2048"/>
      <c r="BN319" s="61"/>
    </row>
    <row r="320" spans="2:66" ht="12.5">
      <c r="B320" s="58" t="s">
        <v>505</v>
      </c>
      <c r="C320" s="58"/>
      <c r="D320" s="58"/>
      <c r="E320" s="58"/>
      <c r="F320" s="58"/>
      <c r="H320" s="2048"/>
      <c r="I320" s="2048"/>
      <c r="J320" s="2048"/>
      <c r="K320" s="2048"/>
      <c r="L320" s="2048"/>
      <c r="M320" s="2048"/>
      <c r="N320" s="2048"/>
      <c r="O320" s="2048"/>
      <c r="P320" s="2048"/>
      <c r="Q320" s="2048"/>
      <c r="R320" s="2048"/>
      <c r="T320" s="58" t="s">
        <v>79</v>
      </c>
      <c r="V320" s="58"/>
      <c r="W320" s="58"/>
      <c r="X320" s="58"/>
      <c r="Y320" s="58"/>
      <c r="AA320" s="2048" t="s">
        <v>2569</v>
      </c>
      <c r="AB320" s="2048"/>
      <c r="AC320" s="2048"/>
      <c r="AD320" s="2048"/>
      <c r="AE320" s="2048"/>
      <c r="AF320" s="2048"/>
      <c r="AG320" s="2048"/>
      <c r="AH320" s="2048"/>
      <c r="AI320" s="2048"/>
      <c r="AJ320" s="2048"/>
      <c r="AK320" s="2048"/>
      <c r="BN320" s="61"/>
    </row>
    <row r="321" spans="1:66" ht="12.75" customHeight="1">
      <c r="A321" s="39"/>
      <c r="B321" s="58" t="s">
        <v>92</v>
      </c>
      <c r="C321" s="58"/>
      <c r="D321" s="58"/>
      <c r="E321" s="58"/>
      <c r="F321" s="58"/>
      <c r="H321" s="2048"/>
      <c r="I321" s="2048"/>
      <c r="J321" s="2048"/>
      <c r="K321" s="2048"/>
      <c r="L321" s="2048"/>
      <c r="M321" s="2048"/>
      <c r="N321" s="2048"/>
      <c r="O321" s="2048"/>
      <c r="P321" s="2048"/>
      <c r="Q321" s="2048"/>
      <c r="R321" s="2048"/>
      <c r="T321" s="58" t="s">
        <v>92</v>
      </c>
      <c r="V321" s="58"/>
      <c r="W321" s="58"/>
      <c r="X321" s="58"/>
      <c r="Y321" s="58"/>
      <c r="AA321" s="2048" t="s">
        <v>2570</v>
      </c>
      <c r="AB321" s="2048"/>
      <c r="AC321" s="2048"/>
      <c r="AD321" s="2048"/>
      <c r="AE321" s="2048"/>
      <c r="AF321" s="2048"/>
      <c r="AG321" s="2048"/>
      <c r="AH321" s="2048"/>
      <c r="AI321" s="2048"/>
      <c r="AJ321" s="2048"/>
      <c r="AK321" s="2048"/>
      <c r="AL321" s="39"/>
      <c r="BN321" s="61"/>
    </row>
    <row r="322" spans="1:66" ht="12.5">
      <c r="A322" s="39"/>
      <c r="B322" s="58" t="s">
        <v>93</v>
      </c>
      <c r="C322" s="58"/>
      <c r="D322" s="58"/>
      <c r="E322" s="58"/>
      <c r="F322" s="58"/>
      <c r="G322" s="58"/>
      <c r="H322" s="2358"/>
      <c r="I322" s="2358"/>
      <c r="J322" s="2358"/>
      <c r="K322" s="2358"/>
      <c r="L322" s="2358"/>
      <c r="M322" s="2358"/>
      <c r="N322" s="7" t="s">
        <v>212</v>
      </c>
      <c r="O322" s="7"/>
      <c r="P322" s="2359"/>
      <c r="Q322" s="2359"/>
      <c r="R322" s="2359"/>
      <c r="S322" s="58"/>
      <c r="T322" s="58" t="s">
        <v>93</v>
      </c>
      <c r="V322" s="58"/>
      <c r="W322" s="58"/>
      <c r="X322" s="58"/>
      <c r="Y322" s="58"/>
      <c r="AA322" s="2358">
        <v>8189141892</v>
      </c>
      <c r="AB322" s="2358"/>
      <c r="AC322" s="2358"/>
      <c r="AD322" s="2358"/>
      <c r="AE322" s="2358"/>
      <c r="AF322" s="2358"/>
      <c r="AG322" s="7" t="s">
        <v>212</v>
      </c>
      <c r="AH322" s="7"/>
      <c r="AI322" s="2359"/>
      <c r="AJ322" s="2359"/>
      <c r="AK322" s="2359"/>
      <c r="AL322" s="39"/>
      <c r="BN322" s="61"/>
    </row>
    <row r="323" spans="1:66" ht="12.75" customHeight="1">
      <c r="A323" s="39"/>
      <c r="B323" s="58" t="s">
        <v>94</v>
      </c>
      <c r="C323" s="58"/>
      <c r="D323" s="58"/>
      <c r="E323" s="58"/>
      <c r="F323" s="58"/>
      <c r="G323" s="58"/>
      <c r="H323" s="2078"/>
      <c r="I323" s="2078"/>
      <c r="J323" s="2078"/>
      <c r="K323" s="2078"/>
      <c r="L323" s="2078"/>
      <c r="M323" s="2078"/>
      <c r="N323" s="60"/>
      <c r="O323" s="60"/>
      <c r="P323" s="62"/>
      <c r="Q323" s="62"/>
      <c r="R323" s="62"/>
      <c r="S323" s="58"/>
      <c r="T323" s="58" t="s">
        <v>94</v>
      </c>
      <c r="V323" s="58"/>
      <c r="W323" s="58"/>
      <c r="X323" s="58"/>
      <c r="Y323" s="58"/>
      <c r="AA323" s="2078"/>
      <c r="AB323" s="2078"/>
      <c r="AC323" s="2078"/>
      <c r="AD323" s="2078"/>
      <c r="AE323" s="2078"/>
      <c r="AF323" s="2078"/>
      <c r="AG323" s="60"/>
      <c r="AH323" s="60"/>
      <c r="AI323" s="62"/>
      <c r="AJ323" s="62"/>
      <c r="AK323" s="62"/>
      <c r="AL323" s="39"/>
    </row>
    <row r="324" spans="1:66" ht="12.5">
      <c r="A324" s="39"/>
      <c r="B324" s="58" t="s">
        <v>80</v>
      </c>
      <c r="C324" s="58"/>
      <c r="D324" s="58"/>
      <c r="E324" s="58"/>
      <c r="F324" s="58"/>
      <c r="G324" s="58"/>
      <c r="H324" s="2048"/>
      <c r="I324" s="2048"/>
      <c r="J324" s="2048"/>
      <c r="K324" s="2048"/>
      <c r="L324" s="2048"/>
      <c r="M324" s="2048"/>
      <c r="N324" s="2054"/>
      <c r="O324" s="2054"/>
      <c r="P324" s="2054"/>
      <c r="Q324" s="2054"/>
      <c r="R324" s="2054"/>
      <c r="S324" s="58"/>
      <c r="T324" s="58" t="s">
        <v>80</v>
      </c>
      <c r="V324" s="58"/>
      <c r="W324" s="58"/>
      <c r="X324" s="58"/>
      <c r="Y324" s="58"/>
      <c r="AA324" s="2048" t="s">
        <v>2571</v>
      </c>
      <c r="AB324" s="2048"/>
      <c r="AC324" s="2048"/>
      <c r="AD324" s="2048"/>
      <c r="AE324" s="2048"/>
      <c r="AF324" s="2048"/>
      <c r="AG324" s="2054"/>
      <c r="AH324" s="2054"/>
      <c r="AI324" s="2054"/>
      <c r="AJ324" s="2054"/>
      <c r="AK324" s="205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4" t="s">
        <v>2567</v>
      </c>
      <c r="I326" s="2054"/>
      <c r="J326" s="2054"/>
      <c r="K326" s="2054"/>
      <c r="L326" s="2054"/>
      <c r="M326" s="2054"/>
      <c r="N326" s="2054"/>
      <c r="O326" s="2054"/>
      <c r="P326" s="2054"/>
      <c r="Q326" s="2054"/>
      <c r="R326" s="2054"/>
      <c r="T326" s="58" t="s">
        <v>378</v>
      </c>
      <c r="V326" s="58"/>
      <c r="W326" s="58"/>
      <c r="X326" s="58"/>
      <c r="Y326" s="58"/>
      <c r="AA326" s="2054" t="s">
        <v>626</v>
      </c>
      <c r="AB326" s="2054"/>
      <c r="AC326" s="2054"/>
      <c r="AD326" s="2054"/>
      <c r="AE326" s="2054"/>
      <c r="AF326" s="2054"/>
      <c r="AG326" s="2054"/>
      <c r="AH326" s="2054"/>
      <c r="AI326" s="2054"/>
      <c r="AJ326" s="2054"/>
      <c r="AK326" s="2054"/>
      <c r="AL326" s="39"/>
    </row>
    <row r="327" spans="1:66" ht="12.5">
      <c r="A327" s="39"/>
      <c r="B327" s="58" t="s">
        <v>504</v>
      </c>
      <c r="C327" s="58"/>
      <c r="D327" s="58"/>
      <c r="E327" s="58"/>
      <c r="F327" s="58"/>
      <c r="H327" s="2048" t="s">
        <v>2568</v>
      </c>
      <c r="I327" s="2048"/>
      <c r="J327" s="2048"/>
      <c r="K327" s="2048"/>
      <c r="L327" s="2048"/>
      <c r="M327" s="2048"/>
      <c r="N327" s="2048"/>
      <c r="O327" s="2048"/>
      <c r="P327" s="2048"/>
      <c r="Q327" s="2048"/>
      <c r="R327" s="2048"/>
      <c r="T327" s="58" t="s">
        <v>504</v>
      </c>
      <c r="V327" s="58"/>
      <c r="W327" s="58"/>
      <c r="X327" s="58"/>
      <c r="Y327" s="58"/>
      <c r="AA327" s="2048"/>
      <c r="AB327" s="2048"/>
      <c r="AC327" s="2048"/>
      <c r="AD327" s="2048"/>
      <c r="AE327" s="2048"/>
      <c r="AF327" s="2048"/>
      <c r="AG327" s="2048"/>
      <c r="AH327" s="2048"/>
      <c r="AI327" s="2048"/>
      <c r="AJ327" s="2048"/>
      <c r="AK327" s="2048"/>
      <c r="AL327" s="39"/>
    </row>
    <row r="328" spans="1:66" ht="12.5">
      <c r="A328" s="39"/>
      <c r="B328" s="58" t="s">
        <v>505</v>
      </c>
      <c r="C328" s="58"/>
      <c r="D328" s="58"/>
      <c r="E328" s="58"/>
      <c r="F328" s="58"/>
      <c r="H328" s="2048" t="s">
        <v>2569</v>
      </c>
      <c r="I328" s="2048"/>
      <c r="J328" s="2048"/>
      <c r="K328" s="2048"/>
      <c r="L328" s="2048"/>
      <c r="M328" s="2048"/>
      <c r="N328" s="2048"/>
      <c r="O328" s="2048"/>
      <c r="P328" s="2048"/>
      <c r="Q328" s="2048"/>
      <c r="R328" s="2048"/>
      <c r="T328" s="58" t="s">
        <v>79</v>
      </c>
      <c r="V328" s="58"/>
      <c r="W328" s="58"/>
      <c r="X328" s="58"/>
      <c r="Y328" s="58"/>
      <c r="AA328" s="2048"/>
      <c r="AB328" s="2048"/>
      <c r="AC328" s="2048"/>
      <c r="AD328" s="2048"/>
      <c r="AE328" s="2048"/>
      <c r="AF328" s="2048"/>
      <c r="AG328" s="2048"/>
      <c r="AH328" s="2048"/>
      <c r="AI328" s="2048"/>
      <c r="AJ328" s="2048"/>
      <c r="AK328" s="2048"/>
      <c r="AL328" s="39"/>
    </row>
    <row r="329" spans="1:66" ht="12.5">
      <c r="A329" s="39"/>
      <c r="B329" s="58" t="s">
        <v>92</v>
      </c>
      <c r="C329" s="58"/>
      <c r="D329" s="58"/>
      <c r="E329" s="58"/>
      <c r="F329" s="58"/>
      <c r="H329" s="2048" t="s">
        <v>2570</v>
      </c>
      <c r="I329" s="2048"/>
      <c r="J329" s="2048"/>
      <c r="K329" s="2048"/>
      <c r="L329" s="2048"/>
      <c r="M329" s="2048"/>
      <c r="N329" s="2048"/>
      <c r="O329" s="2048"/>
      <c r="P329" s="2048"/>
      <c r="Q329" s="2048"/>
      <c r="R329" s="2048"/>
      <c r="T329" s="58" t="s">
        <v>92</v>
      </c>
      <c r="V329" s="58"/>
      <c r="W329" s="58"/>
      <c r="X329" s="58"/>
      <c r="Y329" s="58"/>
      <c r="AA329" s="2048"/>
      <c r="AB329" s="2048"/>
      <c r="AC329" s="2048"/>
      <c r="AD329" s="2048"/>
      <c r="AE329" s="2048"/>
      <c r="AF329" s="2048"/>
      <c r="AG329" s="2048"/>
      <c r="AH329" s="2048"/>
      <c r="AI329" s="2048"/>
      <c r="AJ329" s="2048"/>
      <c r="AK329" s="2048"/>
      <c r="AL329" s="39"/>
    </row>
    <row r="330" spans="1:66" ht="12.75" customHeight="1">
      <c r="A330" s="39"/>
      <c r="B330" s="58" t="s">
        <v>93</v>
      </c>
      <c r="C330" s="58"/>
      <c r="D330" s="58"/>
      <c r="E330" s="58"/>
      <c r="F330" s="58"/>
      <c r="G330" s="58"/>
      <c r="H330" s="2358">
        <v>8187141892</v>
      </c>
      <c r="I330" s="2358"/>
      <c r="J330" s="2358"/>
      <c r="K330" s="2358"/>
      <c r="L330" s="2358"/>
      <c r="M330" s="2358"/>
      <c r="N330" s="7" t="s">
        <v>212</v>
      </c>
      <c r="O330" s="7"/>
      <c r="P330" s="2359"/>
      <c r="Q330" s="2359"/>
      <c r="R330" s="2359"/>
      <c r="S330" s="58"/>
      <c r="T330" s="58" t="s">
        <v>93</v>
      </c>
      <c r="V330" s="58"/>
      <c r="W330" s="58"/>
      <c r="X330" s="58"/>
      <c r="Y330" s="58"/>
      <c r="AA330" s="2358"/>
      <c r="AB330" s="2358"/>
      <c r="AC330" s="2358"/>
      <c r="AD330" s="2358"/>
      <c r="AE330" s="2358"/>
      <c r="AF330" s="2358"/>
      <c r="AG330" s="7" t="s">
        <v>212</v>
      </c>
      <c r="AH330" s="7"/>
      <c r="AI330" s="2359"/>
      <c r="AJ330" s="2359"/>
      <c r="AK330" s="2359"/>
      <c r="AL330" s="39"/>
    </row>
    <row r="331" spans="1:66" ht="12.5">
      <c r="A331" s="39"/>
      <c r="B331" s="58" t="s">
        <v>94</v>
      </c>
      <c r="C331" s="58"/>
      <c r="D331" s="58"/>
      <c r="E331" s="58"/>
      <c r="F331" s="58"/>
      <c r="G331" s="58"/>
      <c r="H331" s="2078"/>
      <c r="I331" s="2078"/>
      <c r="J331" s="2078"/>
      <c r="K331" s="2078"/>
      <c r="L331" s="2078"/>
      <c r="M331" s="2078"/>
      <c r="N331" s="60"/>
      <c r="O331" s="60"/>
      <c r="P331" s="62"/>
      <c r="Q331" s="62"/>
      <c r="R331" s="62"/>
      <c r="S331" s="58"/>
      <c r="T331" s="58" t="s">
        <v>94</v>
      </c>
      <c r="V331" s="58"/>
      <c r="W331" s="58"/>
      <c r="X331" s="58"/>
      <c r="Y331" s="58"/>
      <c r="AA331" s="2078"/>
      <c r="AB331" s="2078"/>
      <c r="AC331" s="2078"/>
      <c r="AD331" s="2078"/>
      <c r="AE331" s="2078"/>
      <c r="AF331" s="2078"/>
      <c r="AG331" s="60"/>
      <c r="AH331" s="60"/>
      <c r="AI331" s="62"/>
      <c r="AJ331" s="62"/>
      <c r="AK331" s="62"/>
      <c r="AL331" s="39"/>
    </row>
    <row r="332" spans="1:66" ht="12.5">
      <c r="A332" s="39"/>
      <c r="B332" s="58" t="s">
        <v>80</v>
      </c>
      <c r="C332" s="58"/>
      <c r="D332" s="58"/>
      <c r="E332" s="58"/>
      <c r="F332" s="58"/>
      <c r="G332" s="58"/>
      <c r="H332" s="2048"/>
      <c r="I332" s="2048"/>
      <c r="J332" s="2048"/>
      <c r="K332" s="2048"/>
      <c r="L332" s="2048"/>
      <c r="M332" s="2048"/>
      <c r="N332" s="2054"/>
      <c r="O332" s="2054"/>
      <c r="P332" s="2054"/>
      <c r="Q332" s="2054"/>
      <c r="R332" s="2054"/>
      <c r="S332" s="58"/>
      <c r="T332" s="58" t="s">
        <v>80</v>
      </c>
      <c r="V332" s="58"/>
      <c r="W332" s="58"/>
      <c r="X332" s="58"/>
      <c r="Y332" s="58"/>
      <c r="AA332" s="2048"/>
      <c r="AB332" s="2048"/>
      <c r="AC332" s="2048"/>
      <c r="AD332" s="2048"/>
      <c r="AE332" s="2048"/>
      <c r="AF332" s="2048"/>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4" t="s">
        <v>2572</v>
      </c>
      <c r="I334" s="2054"/>
      <c r="J334" s="2054"/>
      <c r="K334" s="2054"/>
      <c r="L334" s="2054"/>
      <c r="M334" s="2054"/>
      <c r="N334" s="2054"/>
      <c r="O334" s="2054"/>
      <c r="P334" s="2054"/>
      <c r="Q334" s="2054"/>
      <c r="R334" s="2054"/>
      <c r="T334" s="405" t="s">
        <v>952</v>
      </c>
      <c r="V334" s="58"/>
      <c r="W334" s="58"/>
      <c r="X334" s="58"/>
      <c r="Y334" s="58"/>
      <c r="AA334" s="2054" t="s">
        <v>2573</v>
      </c>
      <c r="AB334" s="2054"/>
      <c r="AC334" s="2054"/>
      <c r="AD334" s="2054"/>
      <c r="AE334" s="2054"/>
      <c r="AF334" s="2054"/>
      <c r="AG334" s="2054"/>
      <c r="AH334" s="2054"/>
      <c r="AI334" s="2054"/>
      <c r="AJ334" s="2054"/>
      <c r="AK334" s="2054"/>
      <c r="AL334" s="39"/>
    </row>
    <row r="335" spans="1:66" ht="12.75" customHeight="1">
      <c r="B335" s="58" t="s">
        <v>504</v>
      </c>
      <c r="C335" s="240"/>
      <c r="D335" s="240"/>
      <c r="E335" s="240"/>
      <c r="F335" s="240"/>
      <c r="G335" s="3"/>
      <c r="H335" s="2048" t="s">
        <v>2576</v>
      </c>
      <c r="I335" s="2048"/>
      <c r="J335" s="2048"/>
      <c r="K335" s="2048"/>
      <c r="L335" s="2048"/>
      <c r="M335" s="2048"/>
      <c r="N335" s="2048"/>
      <c r="O335" s="2048"/>
      <c r="P335" s="2048"/>
      <c r="Q335" s="2048"/>
      <c r="R335" s="2048"/>
      <c r="T335" s="58" t="s">
        <v>504</v>
      </c>
      <c r="V335" s="58"/>
      <c r="W335" s="58"/>
      <c r="X335" s="58"/>
      <c r="Y335" s="58"/>
      <c r="AA335" s="2048" t="s">
        <v>2528</v>
      </c>
      <c r="AB335" s="2048"/>
      <c r="AC335" s="2048"/>
      <c r="AD335" s="2048"/>
      <c r="AE335" s="2048"/>
      <c r="AF335" s="2048"/>
      <c r="AG335" s="2048"/>
      <c r="AH335" s="2048"/>
      <c r="AI335" s="2048"/>
      <c r="AJ335" s="2048"/>
      <c r="AK335" s="2048"/>
      <c r="AL335" s="39"/>
    </row>
    <row r="336" spans="1:66" ht="12.75" customHeight="1">
      <c r="B336" s="58" t="s">
        <v>79</v>
      </c>
      <c r="C336" s="240"/>
      <c r="D336" s="240"/>
      <c r="E336" s="240"/>
      <c r="F336" s="240"/>
      <c r="G336" s="3"/>
      <c r="H336" s="2048" t="s">
        <v>2577</v>
      </c>
      <c r="I336" s="2048"/>
      <c r="J336" s="2048"/>
      <c r="K336" s="2048"/>
      <c r="L336" s="2048"/>
      <c r="M336" s="2048"/>
      <c r="N336" s="2048"/>
      <c r="O336" s="2048"/>
      <c r="P336" s="2048"/>
      <c r="Q336" s="2048"/>
      <c r="R336" s="2048"/>
      <c r="T336" s="58" t="s">
        <v>79</v>
      </c>
      <c r="V336" s="58"/>
      <c r="W336" s="58"/>
      <c r="X336" s="58"/>
      <c r="Y336" s="58"/>
      <c r="AA336" s="2048" t="s">
        <v>2544</v>
      </c>
      <c r="AB336" s="2048"/>
      <c r="AC336" s="2048"/>
      <c r="AD336" s="2048"/>
      <c r="AE336" s="2048"/>
      <c r="AF336" s="2048"/>
      <c r="AG336" s="2048"/>
      <c r="AH336" s="2048"/>
      <c r="AI336" s="2048"/>
      <c r="AJ336" s="2048"/>
      <c r="AK336" s="2048"/>
      <c r="AL336" s="39"/>
    </row>
    <row r="337" spans="1:66" ht="12.75" customHeight="1">
      <c r="A337" s="39"/>
      <c r="B337" s="58" t="s">
        <v>92</v>
      </c>
      <c r="C337" s="240"/>
      <c r="D337" s="240"/>
      <c r="E337" s="240"/>
      <c r="F337" s="240"/>
      <c r="G337" s="240"/>
      <c r="H337" s="2048" t="s">
        <v>2578</v>
      </c>
      <c r="I337" s="2048"/>
      <c r="J337" s="2048"/>
      <c r="K337" s="2048"/>
      <c r="L337" s="2048"/>
      <c r="M337" s="2048"/>
      <c r="N337" s="2048"/>
      <c r="O337" s="2048"/>
      <c r="P337" s="2048"/>
      <c r="Q337" s="2048"/>
      <c r="R337" s="2048"/>
      <c r="T337" s="58" t="s">
        <v>92</v>
      </c>
      <c r="V337" s="58"/>
      <c r="W337" s="58"/>
      <c r="X337" s="58"/>
      <c r="Y337" s="58"/>
      <c r="AA337" s="2048" t="s">
        <v>2574</v>
      </c>
      <c r="AB337" s="2048"/>
      <c r="AC337" s="2048"/>
      <c r="AD337" s="2048"/>
      <c r="AE337" s="2048"/>
      <c r="AF337" s="2048"/>
      <c r="AG337" s="2048"/>
      <c r="AH337" s="2048"/>
      <c r="AI337" s="2048"/>
      <c r="AJ337" s="2048"/>
      <c r="AK337" s="2048"/>
      <c r="AL337" s="39"/>
    </row>
    <row r="338" spans="1:66" ht="12.75" customHeight="1">
      <c r="A338" s="39"/>
      <c r="B338" s="58" t="s">
        <v>93</v>
      </c>
      <c r="C338" s="240"/>
      <c r="D338" s="240"/>
      <c r="E338" s="240"/>
      <c r="F338" s="240"/>
      <c r="G338" s="240"/>
      <c r="H338" s="2358">
        <v>9254765644</v>
      </c>
      <c r="I338" s="2358"/>
      <c r="J338" s="2358"/>
      <c r="K338" s="2358"/>
      <c r="L338" s="2358"/>
      <c r="M338" s="2358"/>
      <c r="N338" s="7" t="s">
        <v>212</v>
      </c>
      <c r="O338" s="7"/>
      <c r="P338" s="2359"/>
      <c r="Q338" s="2359"/>
      <c r="R338" s="2359"/>
      <c r="S338" s="58"/>
      <c r="T338" s="58" t="s">
        <v>93</v>
      </c>
      <c r="V338" s="58"/>
      <c r="W338" s="58"/>
      <c r="X338" s="58"/>
      <c r="Y338" s="58"/>
      <c r="AA338" s="2358">
        <v>7142887600</v>
      </c>
      <c r="AB338" s="2358"/>
      <c r="AC338" s="2358"/>
      <c r="AD338" s="2358"/>
      <c r="AE338" s="2358"/>
      <c r="AF338" s="2358"/>
      <c r="AG338" s="7" t="s">
        <v>212</v>
      </c>
      <c r="AH338" s="7"/>
      <c r="AI338" s="2359">
        <v>220</v>
      </c>
      <c r="AJ338" s="2359"/>
      <c r="AK338" s="2359"/>
      <c r="AL338" s="39"/>
    </row>
    <row r="339" spans="1:66" ht="12.5">
      <c r="A339" s="39"/>
      <c r="B339" s="58" t="s">
        <v>94</v>
      </c>
      <c r="C339" s="240"/>
      <c r="D339" s="240"/>
      <c r="E339" s="240"/>
      <c r="F339" s="240"/>
      <c r="G339" s="240"/>
      <c r="H339" s="2078"/>
      <c r="I339" s="2078"/>
      <c r="J339" s="2078"/>
      <c r="K339" s="2078"/>
      <c r="L339" s="2078"/>
      <c r="M339" s="2078"/>
      <c r="N339" s="60"/>
      <c r="O339" s="60"/>
      <c r="P339" s="62"/>
      <c r="Q339" s="62"/>
      <c r="R339" s="62"/>
      <c r="S339" s="58"/>
      <c r="T339" s="58" t="s">
        <v>94</v>
      </c>
      <c r="V339" s="58"/>
      <c r="W339" s="58"/>
      <c r="X339" s="58"/>
      <c r="Y339" s="58"/>
      <c r="AA339" s="2078">
        <v>7145052314</v>
      </c>
      <c r="AB339" s="2078"/>
      <c r="AC339" s="2078"/>
      <c r="AD339" s="2078"/>
      <c r="AE339" s="2078"/>
      <c r="AF339" s="2078"/>
      <c r="AG339" s="60"/>
      <c r="AH339" s="60"/>
      <c r="AI339" s="62"/>
      <c r="AJ339" s="62"/>
      <c r="AK339" s="62"/>
      <c r="AL339" s="39"/>
    </row>
    <row r="340" spans="1:66" ht="12.5">
      <c r="A340" s="39"/>
      <c r="B340" s="58" t="s">
        <v>80</v>
      </c>
      <c r="C340" s="237"/>
      <c r="D340" s="237"/>
      <c r="E340" s="237"/>
      <c r="F340" s="237"/>
      <c r="G340" s="237"/>
      <c r="H340" s="2048" t="s">
        <v>2579</v>
      </c>
      <c r="I340" s="2048"/>
      <c r="J340" s="2048"/>
      <c r="K340" s="2048"/>
      <c r="L340" s="2048"/>
      <c r="M340" s="2048"/>
      <c r="N340" s="2054"/>
      <c r="O340" s="2054"/>
      <c r="P340" s="2054"/>
      <c r="Q340" s="2054"/>
      <c r="R340" s="2054"/>
      <c r="S340" s="58"/>
      <c r="T340" s="58" t="s">
        <v>80</v>
      </c>
      <c r="V340" s="58"/>
      <c r="W340" s="58"/>
      <c r="X340" s="58"/>
      <c r="Y340" s="58"/>
      <c r="AA340" s="2048" t="s">
        <v>2575</v>
      </c>
      <c r="AB340" s="2048"/>
      <c r="AC340" s="2048"/>
      <c r="AD340" s="2048"/>
      <c r="AE340" s="2048"/>
      <c r="AF340" s="2048"/>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626</v>
      </c>
    </row>
    <row r="343" spans="1:66" ht="12.5">
      <c r="A343" s="3"/>
      <c r="B343" s="60"/>
      <c r="C343" s="60"/>
      <c r="D343" s="60"/>
      <c r="E343" s="60"/>
      <c r="F343" s="60"/>
      <c r="G343" s="3"/>
      <c r="H343" s="88"/>
      <c r="I343" s="7" t="s">
        <v>504</v>
      </c>
      <c r="P343" s="2048"/>
      <c r="Q343" s="2048"/>
      <c r="R343" s="2048"/>
      <c r="S343" s="2048"/>
      <c r="T343" s="2048"/>
      <c r="U343" s="2048"/>
      <c r="V343" s="2048"/>
      <c r="W343" s="2048"/>
      <c r="X343" s="2048"/>
      <c r="Y343" s="2048"/>
      <c r="Z343" s="2048"/>
      <c r="AA343" s="2048"/>
      <c r="AB343" s="2048"/>
      <c r="AC343" s="2048"/>
      <c r="AD343" s="2048"/>
      <c r="AE343" s="2048"/>
      <c r="AF343" s="88"/>
      <c r="AG343" s="88"/>
      <c r="AH343" s="88"/>
      <c r="AI343" s="88"/>
      <c r="AJ343" s="88"/>
      <c r="AK343" s="88"/>
      <c r="AL343" s="39"/>
      <c r="BN343" s="12" t="s">
        <v>706</v>
      </c>
    </row>
    <row r="344" spans="1:66" ht="12.5">
      <c r="A344" s="3"/>
      <c r="B344" s="60"/>
      <c r="C344" s="60"/>
      <c r="D344" s="60"/>
      <c r="E344" s="60"/>
      <c r="F344" s="60"/>
      <c r="G344" s="3"/>
      <c r="H344" s="88"/>
      <c r="I344" s="7" t="s">
        <v>79</v>
      </c>
      <c r="P344" s="2048"/>
      <c r="Q344" s="2048"/>
      <c r="R344" s="2048"/>
      <c r="S344" s="2048"/>
      <c r="T344" s="2048"/>
      <c r="U344" s="2048"/>
      <c r="V344" s="2048"/>
      <c r="W344" s="2048"/>
      <c r="X344" s="2048"/>
      <c r="Y344" s="2048"/>
      <c r="Z344" s="2048"/>
      <c r="AA344" s="2048"/>
      <c r="AB344" s="2048"/>
      <c r="AC344" s="2048"/>
      <c r="AD344" s="2048"/>
      <c r="AE344" s="2048"/>
      <c r="AF344" s="88"/>
      <c r="AG344" s="88"/>
      <c r="AH344" s="88"/>
      <c r="AI344" s="88"/>
      <c r="AJ344" s="88"/>
      <c r="AK344" s="88"/>
      <c r="AL344" s="39"/>
      <c r="BN344" s="12" t="s">
        <v>578</v>
      </c>
    </row>
    <row r="345" spans="1:66" ht="12.5">
      <c r="A345" s="3"/>
      <c r="B345" s="60"/>
      <c r="C345" s="60"/>
      <c r="D345" s="60"/>
      <c r="E345" s="60"/>
      <c r="F345" s="60"/>
      <c r="G345" s="60"/>
      <c r="H345" s="88"/>
      <c r="I345" s="7" t="s">
        <v>92</v>
      </c>
      <c r="P345" s="2048"/>
      <c r="Q345" s="2048"/>
      <c r="R345" s="2048"/>
      <c r="S345" s="2048"/>
      <c r="T345" s="2048"/>
      <c r="U345" s="2048"/>
      <c r="V345" s="2048"/>
      <c r="W345" s="2048"/>
      <c r="X345" s="2048"/>
      <c r="Y345" s="2048"/>
      <c r="Z345" s="2048"/>
      <c r="AA345" s="2048"/>
      <c r="AB345" s="2048"/>
      <c r="AC345" s="2048"/>
      <c r="AD345" s="2048"/>
      <c r="AE345" s="2048"/>
      <c r="AF345" s="88"/>
      <c r="AG345" s="88"/>
      <c r="AH345" s="88"/>
      <c r="AI345" s="88"/>
      <c r="AJ345" s="88"/>
      <c r="AK345" s="88"/>
      <c r="AL345" s="39"/>
    </row>
    <row r="346" spans="1:66" ht="12.5">
      <c r="A346" s="3"/>
      <c r="B346" s="60"/>
      <c r="C346" s="60"/>
      <c r="D346" s="60"/>
      <c r="E346" s="60"/>
      <c r="F346" s="60"/>
      <c r="G346" s="60"/>
      <c r="H346" s="465"/>
      <c r="I346" s="7" t="s">
        <v>93</v>
      </c>
      <c r="P346" s="2078"/>
      <c r="Q346" s="2078"/>
      <c r="R346" s="2078"/>
      <c r="S346" s="2078"/>
      <c r="T346" s="2078"/>
      <c r="U346" s="2078"/>
      <c r="V346" s="2078"/>
      <c r="W346" s="2078"/>
      <c r="X346" s="2078"/>
      <c r="Y346" s="2078"/>
      <c r="Z346" s="2078"/>
      <c r="AA346" s="7" t="s">
        <v>212</v>
      </c>
      <c r="AB346" s="7"/>
      <c r="AC346" s="2047"/>
      <c r="AD346" s="2047"/>
      <c r="AE346" s="2047"/>
      <c r="AF346" s="465"/>
      <c r="AG346" s="60"/>
      <c r="AH346" s="60"/>
      <c r="AI346" s="406"/>
      <c r="AJ346" s="406"/>
      <c r="AK346" s="406"/>
      <c r="AL346" s="39"/>
    </row>
    <row r="347" spans="1:66" ht="12.75" customHeight="1">
      <c r="A347" s="3"/>
      <c r="B347" s="60"/>
      <c r="C347" s="60"/>
      <c r="D347" s="60"/>
      <c r="E347" s="60"/>
      <c r="F347" s="60"/>
      <c r="G347" s="60"/>
      <c r="H347" s="465"/>
      <c r="I347" s="7" t="s">
        <v>94</v>
      </c>
      <c r="P347" s="2078"/>
      <c r="Q347" s="2078"/>
      <c r="R347" s="2078"/>
      <c r="S347" s="2078"/>
      <c r="T347" s="2078"/>
      <c r="U347" s="2078"/>
      <c r="V347" s="2078"/>
      <c r="W347" s="2078"/>
      <c r="X347" s="2078"/>
      <c r="Y347" s="2078"/>
      <c r="Z347" s="2078"/>
      <c r="AF347" s="465"/>
      <c r="AG347" s="60"/>
      <c r="AH347" s="60"/>
      <c r="AI347" s="62"/>
      <c r="AJ347" s="62"/>
      <c r="AK347" s="62"/>
      <c r="AL347" s="39"/>
    </row>
    <row r="348" spans="1:66" ht="12.5">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4" t="s">
        <v>575</v>
      </c>
      <c r="B350" s="2384"/>
      <c r="C350" s="2384"/>
      <c r="D350" s="2384"/>
      <c r="E350" s="2384"/>
      <c r="F350" s="2384"/>
      <c r="G350" s="2384"/>
      <c r="H350" s="2384"/>
      <c r="I350" s="2384"/>
      <c r="J350" s="2384"/>
      <c r="K350" s="2384"/>
      <c r="L350" s="2384"/>
      <c r="M350" s="2384"/>
      <c r="N350" s="2384"/>
      <c r="O350" s="2384"/>
      <c r="P350" s="2384"/>
      <c r="Q350" s="2384"/>
      <c r="R350" s="2384"/>
      <c r="S350" s="2384"/>
      <c r="T350" s="2384"/>
      <c r="U350" s="2384"/>
      <c r="V350" s="2384"/>
      <c r="W350" s="2384"/>
      <c r="X350" s="2384"/>
      <c r="Y350" s="2384"/>
      <c r="Z350" s="2384"/>
      <c r="AA350" s="2384"/>
      <c r="AB350" s="2384"/>
      <c r="AC350" s="2384"/>
      <c r="AD350" s="2384"/>
      <c r="AE350" s="2384"/>
      <c r="AF350" s="2384"/>
      <c r="AG350" s="2384"/>
      <c r="AH350" s="2384"/>
      <c r="AI350" s="2384"/>
      <c r="AJ350" s="2384"/>
      <c r="AK350" s="2384"/>
      <c r="AL350" s="2384"/>
      <c r="AM350" s="144"/>
      <c r="AN350" s="144"/>
      <c r="AO350" s="144"/>
      <c r="AP350" s="144"/>
      <c r="AQ350" s="144"/>
      <c r="AR350" s="144"/>
      <c r="AS350" s="144"/>
      <c r="AT350" s="144"/>
      <c r="AU350" s="144"/>
      <c r="AV350" s="144"/>
      <c r="AW350" s="144"/>
      <c r="AX350" s="144"/>
      <c r="AY350" s="144"/>
    </row>
    <row r="351" spans="1:66" ht="13.5" thickBot="1">
      <c r="A351" s="2385"/>
      <c r="B351" s="2385"/>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2385"/>
      <c r="AL351" s="2385"/>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6" t="s">
        <v>578</v>
      </c>
      <c r="N354" s="2046"/>
      <c r="P354" s="12" t="s">
        <v>2003</v>
      </c>
      <c r="AJ354" s="2046" t="s">
        <v>626</v>
      </c>
      <c r="AK354" s="2046"/>
    </row>
    <row r="355" spans="1:37" ht="12.75" customHeight="1">
      <c r="D355" s="58" t="s">
        <v>1992</v>
      </c>
      <c r="M355" s="2046" t="s">
        <v>626</v>
      </c>
      <c r="N355" s="2046"/>
      <c r="P355" s="58" t="s">
        <v>2217</v>
      </c>
      <c r="AJ355" s="2357" t="s">
        <v>626</v>
      </c>
      <c r="AK355" s="2056"/>
    </row>
    <row r="356" spans="1:37" ht="12.75" customHeight="1">
      <c r="D356" s="12" t="s">
        <v>745</v>
      </c>
      <c r="M356" s="2046" t="s">
        <v>626</v>
      </c>
      <c r="N356" s="2046"/>
      <c r="P356" s="719" t="s">
        <v>2002</v>
      </c>
      <c r="AJ356" s="2046" t="s">
        <v>626</v>
      </c>
      <c r="AK356" s="2046"/>
    </row>
    <row r="357" spans="1:37" ht="12.75" customHeight="1">
      <c r="D357" s="12" t="s">
        <v>746</v>
      </c>
      <c r="M357" s="2046" t="s">
        <v>626</v>
      </c>
      <c r="N357" s="204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6" t="s">
        <v>626</v>
      </c>
      <c r="O362" s="2046"/>
      <c r="P362" s="69"/>
      <c r="Q362" s="69"/>
      <c r="R362" s="69"/>
      <c r="S362" s="69"/>
      <c r="T362" s="69"/>
      <c r="U362" s="69"/>
      <c r="V362" s="69"/>
      <c r="W362" s="69"/>
      <c r="X362" s="69"/>
      <c r="Y362" s="70"/>
      <c r="Z362" s="70"/>
      <c r="AC362" s="69"/>
      <c r="AD362" s="69"/>
      <c r="AE362" s="69"/>
    </row>
    <row r="363" spans="1:37" ht="12.75" customHeight="1">
      <c r="E363" s="12" t="s">
        <v>381</v>
      </c>
      <c r="Y363" s="2046" t="s">
        <v>626</v>
      </c>
      <c r="Z363" s="2046"/>
    </row>
    <row r="364" spans="1:37" ht="12.75" customHeight="1">
      <c r="D364" s="7" t="s">
        <v>1058</v>
      </c>
      <c r="Q364" s="2054" t="s">
        <v>626</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6" t="s">
        <v>626</v>
      </c>
      <c r="K366" s="2046"/>
      <c r="L366" s="69"/>
      <c r="M366" s="69"/>
      <c r="N366" s="69"/>
      <c r="O366" s="69"/>
      <c r="P366" s="69"/>
      <c r="Q366" s="69"/>
      <c r="R366" s="69"/>
      <c r="S366" s="69"/>
      <c r="T366" s="69"/>
      <c r="U366" s="69"/>
      <c r="V366" s="69"/>
      <c r="W366" s="69"/>
      <c r="X366" s="69"/>
      <c r="Y366" s="69"/>
      <c r="Z366" s="69"/>
      <c r="AC366" s="69"/>
      <c r="AD366" s="69"/>
      <c r="AE366" s="69"/>
    </row>
    <row r="367" spans="1:37" ht="12.75" customHeight="1">
      <c r="E367" s="2364" t="s">
        <v>747</v>
      </c>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c r="AA367" s="2364"/>
      <c r="AB367" s="2364"/>
      <c r="AC367" s="2364"/>
      <c r="AD367" s="2364"/>
      <c r="AE367" s="2364"/>
      <c r="AF367" s="2364"/>
      <c r="AG367" s="2364"/>
      <c r="AH367" s="2364"/>
    </row>
    <row r="368" spans="1:37" ht="12.75" customHeight="1">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c r="AA368" s="2364"/>
      <c r="AB368" s="2364"/>
      <c r="AC368" s="2364"/>
      <c r="AD368" s="2364"/>
      <c r="AE368" s="2364"/>
      <c r="AF368" s="2364"/>
      <c r="AG368" s="2364"/>
      <c r="AH368" s="2364"/>
    </row>
    <row r="369" spans="1:36" ht="12.75" customHeight="1">
      <c r="E369" s="7" t="s">
        <v>479</v>
      </c>
      <c r="F369" s="7"/>
      <c r="G369" s="7"/>
      <c r="H369" s="7"/>
      <c r="I369" s="7"/>
      <c r="J369" s="7"/>
      <c r="K369" s="7"/>
      <c r="L369" s="7"/>
      <c r="N369" s="2366"/>
      <c r="O369" s="2366"/>
      <c r="P369" s="2366"/>
      <c r="Q369" s="2366"/>
      <c r="R369" s="7"/>
      <c r="U369" s="7" t="s">
        <v>480</v>
      </c>
      <c r="V369" s="7"/>
      <c r="W369" s="7"/>
      <c r="X369" s="7"/>
      <c r="Y369" s="7"/>
      <c r="Z369" s="7"/>
      <c r="AA369" s="7"/>
      <c r="AB369" s="7"/>
      <c r="AC369" s="2366"/>
      <c r="AD369" s="2366"/>
      <c r="AE369" s="2366"/>
      <c r="AF369" s="2366"/>
    </row>
    <row r="370" spans="1:36" ht="12.75" customHeight="1">
      <c r="E370" s="7" t="s">
        <v>481</v>
      </c>
      <c r="F370" s="7"/>
      <c r="G370" s="7"/>
      <c r="H370" s="7"/>
      <c r="I370" s="7"/>
      <c r="J370" s="7"/>
      <c r="K370" s="7"/>
      <c r="L370" s="7"/>
      <c r="N370" s="2366"/>
      <c r="O370" s="2366"/>
      <c r="P370" s="2366"/>
      <c r="Q370" s="2366"/>
      <c r="R370" s="7"/>
      <c r="U370" s="7" t="s">
        <v>0</v>
      </c>
      <c r="V370" s="7"/>
      <c r="W370" s="7"/>
      <c r="X370" s="7"/>
      <c r="Y370" s="7"/>
      <c r="Z370" s="7"/>
      <c r="AA370" s="7"/>
      <c r="AB370" s="7"/>
      <c r="AC370" s="2366"/>
      <c r="AD370" s="2366"/>
      <c r="AE370" s="2366"/>
      <c r="AF370" s="2366"/>
    </row>
    <row r="371" spans="1:36" ht="12.75" customHeight="1">
      <c r="E371" s="7" t="s">
        <v>1</v>
      </c>
      <c r="F371" s="7"/>
      <c r="G371" s="7"/>
      <c r="H371" s="7"/>
      <c r="I371" s="7"/>
      <c r="J371" s="7"/>
      <c r="K371" s="7"/>
      <c r="L371" s="7"/>
      <c r="N371" s="2366"/>
      <c r="O371" s="2366"/>
      <c r="P371" s="2366"/>
      <c r="Q371" s="2366"/>
      <c r="R371" s="7"/>
      <c r="V371" s="7"/>
      <c r="W371" s="7"/>
      <c r="X371" s="7"/>
      <c r="Y371" s="7"/>
      <c r="Z371" s="7"/>
      <c r="AA371" s="7"/>
      <c r="AB371" s="7"/>
    </row>
    <row r="372" spans="1:36" ht="12.75" customHeight="1">
      <c r="E372" s="7" t="s">
        <v>2</v>
      </c>
      <c r="F372" s="7"/>
      <c r="G372" s="7"/>
      <c r="H372" s="7"/>
      <c r="I372" s="7"/>
      <c r="J372" s="7"/>
      <c r="K372" s="7"/>
      <c r="L372" s="7"/>
      <c r="N372" s="2562"/>
      <c r="O372" s="2562"/>
      <c r="P372" s="2562"/>
      <c r="Q372" s="2562"/>
      <c r="R372" s="2562"/>
      <c r="S372" s="2562"/>
      <c r="T372" s="2562"/>
      <c r="U372" s="2562"/>
      <c r="V372" s="2562"/>
      <c r="W372" s="2562"/>
      <c r="X372" s="2562"/>
      <c r="Y372" s="2562"/>
      <c r="Z372" s="2562"/>
      <c r="AA372" s="2562"/>
      <c r="AB372" s="2562"/>
      <c r="AC372" s="2562"/>
      <c r="AD372" s="2562"/>
      <c r="AE372" s="2562"/>
      <c r="AF372" s="2562"/>
    </row>
    <row r="373" spans="1:36" ht="12.75" customHeight="1">
      <c r="E373" s="7"/>
      <c r="F373" s="7"/>
      <c r="G373" s="7"/>
      <c r="H373" s="7"/>
      <c r="I373" s="7"/>
      <c r="J373" s="7"/>
      <c r="K373" s="7"/>
      <c r="L373" s="7"/>
      <c r="N373" s="2563"/>
      <c r="O373" s="2563"/>
      <c r="P373" s="2563"/>
      <c r="Q373" s="2563"/>
      <c r="R373" s="2563"/>
      <c r="S373" s="2563"/>
      <c r="T373" s="2563"/>
      <c r="U373" s="2563"/>
      <c r="V373" s="2563"/>
      <c r="W373" s="2563"/>
      <c r="X373" s="2563"/>
      <c r="Y373" s="2563"/>
      <c r="Z373" s="2563"/>
      <c r="AA373" s="2563"/>
      <c r="AB373" s="2563"/>
      <c r="AC373" s="2563"/>
      <c r="AD373" s="2563"/>
      <c r="AE373" s="2563"/>
      <c r="AF373" s="2563"/>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45"/>
      <c r="T376" s="2445"/>
      <c r="U376" s="4" t="s">
        <v>315</v>
      </c>
      <c r="V376" s="2445"/>
      <c r="W376" s="2445"/>
      <c r="Y376" s="25" t="s">
        <v>313</v>
      </c>
      <c r="AA376" s="25"/>
      <c r="AB376" s="25" t="s">
        <v>314</v>
      </c>
      <c r="AD376" s="2445"/>
      <c r="AE376" s="2445"/>
      <c r="AF376" s="4" t="s">
        <v>315</v>
      </c>
      <c r="AG376" s="2445"/>
      <c r="AH376" s="2445"/>
    </row>
    <row r="377" spans="1:36" ht="12.75" customHeight="1">
      <c r="E377" s="7" t="s">
        <v>1089</v>
      </c>
      <c r="F377" s="7"/>
      <c r="G377" s="7"/>
      <c r="H377" s="7"/>
      <c r="I377" s="7"/>
      <c r="J377" s="7"/>
      <c r="K377" s="7"/>
      <c r="L377" s="7"/>
      <c r="N377" s="2445"/>
      <c r="O377" s="2445"/>
      <c r="P377" s="2445"/>
    </row>
    <row r="378" spans="1:36" ht="12.75" customHeight="1">
      <c r="E378" s="382" t="s">
        <v>1090</v>
      </c>
      <c r="F378" s="7"/>
      <c r="G378" s="7"/>
      <c r="H378" s="7"/>
      <c r="I378" s="7"/>
      <c r="J378" s="7"/>
      <c r="K378" s="7"/>
      <c r="L378" s="7"/>
      <c r="AG378" s="2439" t="s">
        <v>626</v>
      </c>
      <c r="AH378" s="2439"/>
    </row>
    <row r="379" spans="1:36" ht="12.75" customHeight="1">
      <c r="E379" s="7"/>
      <c r="F379" s="7"/>
      <c r="G379" s="7" t="s">
        <v>1111</v>
      </c>
      <c r="H379" s="7"/>
      <c r="I379" s="7"/>
      <c r="J379" s="7"/>
      <c r="K379" s="7"/>
      <c r="L379" s="7"/>
      <c r="AG379" s="2439" t="s">
        <v>626</v>
      </c>
      <c r="AH379" s="2439"/>
    </row>
    <row r="380" spans="1:36" ht="12.75" customHeight="1">
      <c r="E380" s="7"/>
      <c r="F380" s="7"/>
      <c r="G380" s="509" t="s">
        <v>1091</v>
      </c>
      <c r="H380" s="7"/>
      <c r="I380" s="7"/>
      <c r="J380" s="7"/>
      <c r="K380" s="7"/>
      <c r="L380" s="7"/>
      <c r="V380" s="2046" t="s">
        <v>626</v>
      </c>
      <c r="W380" s="2046"/>
      <c r="Y380" s="35" t="s">
        <v>1060</v>
      </c>
    </row>
    <row r="381" spans="1:36" ht="12.75" customHeight="1">
      <c r="E381" s="7" t="s">
        <v>1061</v>
      </c>
      <c r="F381" s="7"/>
      <c r="G381" s="7"/>
      <c r="H381" s="7"/>
      <c r="I381" s="7"/>
      <c r="J381" s="7"/>
      <c r="K381" s="7"/>
      <c r="L381" s="7"/>
      <c r="V381" s="2046" t="s">
        <v>626</v>
      </c>
      <c r="W381" s="2046"/>
      <c r="Y381" s="7" t="s">
        <v>1062</v>
      </c>
    </row>
    <row r="382" spans="1:36" ht="12.75" customHeight="1"/>
    <row r="383" spans="1:36" ht="12.75" customHeight="1">
      <c r="A383" s="50" t="s">
        <v>82</v>
      </c>
      <c r="B383" s="50"/>
    </row>
    <row r="384" spans="1:36" ht="12.75" customHeight="1">
      <c r="D384" s="12" t="s">
        <v>449</v>
      </c>
      <c r="J384" s="2054" t="s">
        <v>2622</v>
      </c>
      <c r="K384" s="2054"/>
      <c r="L384" s="2054"/>
      <c r="M384" s="2054"/>
      <c r="N384" s="2054"/>
      <c r="O384" s="2054"/>
      <c r="P384" s="2054"/>
      <c r="Q384" s="2054"/>
      <c r="R384" s="2054"/>
      <c r="S384" s="2054"/>
      <c r="T384" s="2054"/>
      <c r="U384" s="2054"/>
      <c r="V384" s="14" t="s">
        <v>88</v>
      </c>
      <c r="W384" s="14"/>
      <c r="X384" s="14"/>
      <c r="Y384" s="14"/>
      <c r="Z384" s="14"/>
      <c r="AA384" s="14"/>
      <c r="AB384" s="14"/>
      <c r="AC384" s="2054"/>
      <c r="AD384" s="2054"/>
      <c r="AE384" s="2054"/>
      <c r="AF384" s="2054"/>
      <c r="AG384" s="2054"/>
      <c r="AH384" s="2054"/>
      <c r="AI384" s="2054"/>
      <c r="AJ384" s="2054"/>
    </row>
    <row r="385" spans="1:96" ht="12.75" customHeight="1">
      <c r="A385" s="719"/>
      <c r="B385" s="719"/>
      <c r="C385" s="719"/>
      <c r="D385" s="58" t="s">
        <v>1381</v>
      </c>
      <c r="E385" s="719"/>
      <c r="F385" s="719"/>
      <c r="G385" s="719"/>
      <c r="H385" s="719"/>
      <c r="I385" s="719"/>
      <c r="J385" s="2048"/>
      <c r="K385" s="2048"/>
      <c r="L385" s="2048"/>
      <c r="M385" s="2048"/>
      <c r="N385" s="2048"/>
      <c r="O385" s="2048"/>
      <c r="P385" s="2048"/>
      <c r="Q385" s="2048"/>
      <c r="R385" s="2048"/>
      <c r="S385" s="2048"/>
      <c r="T385" s="2048"/>
      <c r="U385" s="2048"/>
      <c r="V385" s="58" t="s">
        <v>1381</v>
      </c>
      <c r="W385" s="14"/>
      <c r="X385" s="14"/>
      <c r="Y385" s="14"/>
      <c r="Z385" s="14"/>
      <c r="AA385" s="14"/>
      <c r="AB385" s="14"/>
      <c r="AC385" s="2054"/>
      <c r="AD385" s="2054"/>
      <c r="AE385" s="2054"/>
      <c r="AF385" s="2054"/>
      <c r="AG385" s="2054"/>
      <c r="AH385" s="2054"/>
      <c r="AI385" s="2054"/>
      <c r="AJ385" s="2054"/>
      <c r="AK385" s="719"/>
      <c r="AL385" s="719"/>
    </row>
    <row r="386" spans="1:96" ht="12.75" customHeight="1">
      <c r="A386" s="719"/>
      <c r="B386" s="719"/>
      <c r="C386" s="719"/>
      <c r="D386" s="58" t="s">
        <v>464</v>
      </c>
      <c r="E386" s="719"/>
      <c r="F386" s="719"/>
      <c r="G386" s="719"/>
      <c r="H386" s="719"/>
      <c r="I386" s="719"/>
      <c r="J386" s="2048"/>
      <c r="K386" s="2048"/>
      <c r="L386" s="2048"/>
      <c r="M386" s="2048"/>
      <c r="N386" s="2048"/>
      <c r="O386" s="2048"/>
      <c r="P386" s="2048"/>
      <c r="Q386" s="2048"/>
      <c r="R386" s="2048"/>
      <c r="S386" s="2048"/>
      <c r="T386" s="2048"/>
      <c r="U386" s="2048"/>
      <c r="V386" s="58" t="s">
        <v>464</v>
      </c>
      <c r="W386" s="14"/>
      <c r="X386" s="14"/>
      <c r="Y386" s="14"/>
      <c r="Z386" s="14"/>
      <c r="AA386" s="14"/>
      <c r="AB386" s="14"/>
      <c r="AC386" s="2054"/>
      <c r="AD386" s="2054"/>
      <c r="AE386" s="2054"/>
      <c r="AF386" s="2054"/>
      <c r="AG386" s="2054"/>
      <c r="AH386" s="2054"/>
      <c r="AI386" s="2054"/>
      <c r="AJ386" s="2054"/>
      <c r="AK386" s="719"/>
      <c r="AL386" s="719"/>
    </row>
    <row r="387" spans="1:96" ht="12.75" customHeight="1">
      <c r="A387" s="719"/>
      <c r="B387" s="719"/>
      <c r="C387" s="719"/>
      <c r="D387" s="479" t="s">
        <v>1377</v>
      </c>
      <c r="E387" s="719"/>
      <c r="F387" s="719"/>
      <c r="G387" s="719"/>
      <c r="H387" s="719"/>
      <c r="I387" s="88"/>
      <c r="J387" s="2209"/>
      <c r="K387" s="2209"/>
      <c r="L387" s="2209"/>
      <c r="M387" s="2209"/>
      <c r="N387" s="2209"/>
      <c r="O387" s="2209"/>
      <c r="P387" s="2209"/>
      <c r="Q387" s="2209"/>
      <c r="R387" s="2209"/>
      <c r="S387" s="2209"/>
      <c r="T387" s="2209"/>
      <c r="U387" s="2209"/>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42"/>
      <c r="R388" s="2442"/>
      <c r="S388" s="2442"/>
      <c r="T388" s="2442"/>
      <c r="U388" s="2442"/>
      <c r="V388" s="12" t="s">
        <v>318</v>
      </c>
      <c r="AI388" s="2046"/>
      <c r="AJ388" s="2046"/>
    </row>
    <row r="389" spans="1:96" ht="12.75" customHeight="1">
      <c r="D389" s="12" t="s">
        <v>5</v>
      </c>
      <c r="Q389" s="2203"/>
      <c r="R389" s="2363"/>
      <c r="S389" s="2363"/>
      <c r="T389" s="2363"/>
      <c r="U389" s="2363"/>
      <c r="W389" s="33" t="s">
        <v>78</v>
      </c>
      <c r="AG389" s="2443"/>
      <c r="AH389" s="2443"/>
      <c r="AI389" s="2443"/>
      <c r="AJ389" s="2443"/>
    </row>
    <row r="390" spans="1:96" ht="12.75" customHeight="1">
      <c r="D390" s="12" t="s">
        <v>448</v>
      </c>
      <c r="Q390" s="2444"/>
      <c r="R390" s="2444"/>
      <c r="S390" s="2444"/>
      <c r="T390" s="2444"/>
      <c r="U390" s="2444"/>
      <c r="V390" s="58" t="s">
        <v>1380</v>
      </c>
      <c r="AG390" s="2561"/>
      <c r="AH390" s="2561"/>
      <c r="AI390" s="2561"/>
      <c r="AJ390" s="2561"/>
    </row>
    <row r="391" spans="1:96" ht="12.75" customHeight="1">
      <c r="D391" s="12" t="s">
        <v>93</v>
      </c>
      <c r="I391" s="2358"/>
      <c r="J391" s="2358"/>
      <c r="K391" s="2358"/>
      <c r="L391" s="2358"/>
      <c r="M391" s="2358"/>
      <c r="N391" s="2358"/>
      <c r="Q391" s="57" t="s">
        <v>212</v>
      </c>
      <c r="S391" s="2441"/>
      <c r="T391" s="2441"/>
      <c r="U391" s="2441"/>
      <c r="V391" s="12" t="s">
        <v>77</v>
      </c>
      <c r="AI391" s="2046"/>
      <c r="AJ391" s="2046"/>
    </row>
    <row r="392" spans="1:96" ht="12.75" customHeight="1">
      <c r="D392" s="12" t="s">
        <v>319</v>
      </c>
      <c r="Q392" s="2200"/>
      <c r="R392" s="2200"/>
      <c r="S392" s="2200"/>
      <c r="T392" s="2200"/>
      <c r="U392" s="2200"/>
      <c r="V392" s="12" t="s">
        <v>320</v>
      </c>
      <c r="AG392" s="2443"/>
      <c r="AH392" s="2443"/>
      <c r="AI392" s="2443"/>
      <c r="AJ392" s="2443"/>
    </row>
    <row r="393" spans="1:96" ht="12.75" customHeight="1">
      <c r="D393" s="12" t="s">
        <v>321</v>
      </c>
      <c r="Q393" s="2514"/>
      <c r="R393" s="2514"/>
      <c r="S393" s="2514"/>
      <c r="T393" s="2514"/>
      <c r="U393" s="2514"/>
      <c r="V393" s="719" t="s">
        <v>1357</v>
      </c>
      <c r="AG393" s="2443"/>
      <c r="AH393" s="2443"/>
      <c r="AI393" s="2443"/>
      <c r="AJ393" s="2443"/>
    </row>
    <row r="394" spans="1:96" ht="12.5">
      <c r="D394" s="719" t="s">
        <v>1356</v>
      </c>
      <c r="V394" s="719"/>
      <c r="AG394" s="2443"/>
      <c r="AH394" s="2443"/>
      <c r="AI394" s="2443"/>
      <c r="AJ394" s="2443"/>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2021</v>
      </c>
      <c r="AG396" s="748"/>
      <c r="AH396" s="748"/>
      <c r="AI396" s="2046" t="s">
        <v>578</v>
      </c>
      <c r="AJ396" s="2046"/>
      <c r="AM396" s="39"/>
      <c r="AN396" s="39"/>
      <c r="AO396" s="39"/>
      <c r="AP396" s="39"/>
      <c r="AQ396" s="39"/>
      <c r="AR396" s="39"/>
      <c r="AS396" s="39"/>
      <c r="AT396" s="39"/>
      <c r="AU396" s="39"/>
      <c r="AV396" s="39"/>
      <c r="AW396" s="39"/>
      <c r="AX396" s="39"/>
      <c r="AY396" s="39"/>
      <c r="CR396" s="25"/>
    </row>
    <row r="397" spans="1:96" s="719" customFormat="1" ht="12.5">
      <c r="D397" s="58" t="s">
        <v>2023</v>
      </c>
      <c r="T397" s="2519" t="s">
        <v>2602</v>
      </c>
      <c r="U397" s="2519"/>
      <c r="V397" s="2519"/>
      <c r="W397" s="2519"/>
      <c r="X397" s="2519"/>
      <c r="Y397" s="2519"/>
      <c r="Z397" s="2519"/>
      <c r="AA397" s="2519"/>
      <c r="AB397" s="2519"/>
      <c r="AC397" s="2519"/>
      <c r="AD397" s="2519"/>
      <c r="AE397" s="2519"/>
      <c r="AF397" s="2519"/>
      <c r="AG397" s="2519"/>
      <c r="AH397" s="2519"/>
      <c r="AI397" s="2519"/>
      <c r="AJ397" s="2519"/>
      <c r="AM397" s="39"/>
      <c r="AN397" s="39"/>
      <c r="AO397" s="39"/>
      <c r="AP397" s="39"/>
      <c r="AQ397" s="39"/>
      <c r="AR397" s="39"/>
      <c r="AS397" s="39"/>
      <c r="AT397" s="39"/>
      <c r="AU397" s="39"/>
      <c r="AV397" s="39"/>
      <c r="AW397" s="39"/>
      <c r="AX397" s="39"/>
      <c r="AY397" s="39"/>
      <c r="CR397" s="25"/>
    </row>
    <row r="398" spans="1:96" s="719" customFormat="1" ht="12.5">
      <c r="D398" s="58" t="s">
        <v>2022</v>
      </c>
      <c r="T398" s="2519" t="s">
        <v>2606</v>
      </c>
      <c r="U398" s="2519"/>
      <c r="V398" s="2519"/>
      <c r="W398" s="2519"/>
      <c r="X398" s="2519"/>
      <c r="Y398" s="2519"/>
      <c r="Z398" s="2519"/>
      <c r="AA398" s="2519"/>
      <c r="AB398" s="2519"/>
      <c r="AC398" s="2519"/>
      <c r="AD398" s="2519"/>
      <c r="AE398" s="2519"/>
      <c r="AF398" s="2519"/>
      <c r="AG398" s="2519"/>
      <c r="AH398" s="2519"/>
      <c r="AI398" s="2519"/>
      <c r="AJ398" s="2519"/>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2015</v>
      </c>
      <c r="E400" s="719"/>
      <c r="F400" s="719"/>
      <c r="G400" s="719"/>
      <c r="H400" s="719"/>
      <c r="I400" s="719"/>
      <c r="J400" s="719"/>
      <c r="K400" s="719"/>
      <c r="L400" s="719"/>
      <c r="M400" s="719"/>
      <c r="N400" s="719"/>
      <c r="O400" s="719"/>
      <c r="P400" s="719"/>
      <c r="Q400" s="719"/>
      <c r="R400" s="719"/>
      <c r="S400" s="2519" t="s">
        <v>706</v>
      </c>
      <c r="T400" s="2519"/>
      <c r="U400" s="2519"/>
      <c r="V400" s="479" t="s">
        <v>2016</v>
      </c>
      <c r="W400" s="719"/>
      <c r="X400" s="719"/>
      <c r="Y400" s="719"/>
      <c r="Z400" s="719"/>
      <c r="AA400" s="719"/>
      <c r="AB400" s="39"/>
      <c r="AC400" s="39"/>
      <c r="AD400" s="39"/>
      <c r="AE400" s="39"/>
      <c r="AF400" s="39"/>
      <c r="AG400" s="2534"/>
      <c r="AH400" s="2534"/>
      <c r="AI400" s="2534"/>
      <c r="AJ400" s="2534"/>
      <c r="AK400" s="39"/>
      <c r="AL400" s="719"/>
    </row>
    <row r="401" spans="1:96" s="719" customFormat="1" ht="12.5">
      <c r="D401" s="58" t="s">
        <v>2012</v>
      </c>
      <c r="S401" s="2519" t="s">
        <v>626</v>
      </c>
      <c r="T401" s="2519"/>
      <c r="U401" s="2519"/>
      <c r="V401" s="479" t="s">
        <v>2018</v>
      </c>
      <c r="AB401" s="39"/>
      <c r="AC401" s="39"/>
      <c r="AD401" s="39"/>
      <c r="AE401" s="2538"/>
      <c r="AF401" s="2538"/>
      <c r="AG401" s="2538"/>
      <c r="AH401" s="2538"/>
      <c r="AI401" s="2538"/>
      <c r="AJ401" s="2538"/>
      <c r="AK401" s="39"/>
      <c r="AM401" s="39"/>
      <c r="AN401" s="39"/>
      <c r="AO401" s="39"/>
      <c r="AP401" s="39"/>
      <c r="AQ401" s="39"/>
      <c r="AR401" s="39"/>
      <c r="AS401" s="39"/>
      <c r="AT401" s="39"/>
      <c r="AU401" s="39"/>
      <c r="AV401" s="39"/>
      <c r="AW401" s="39"/>
      <c r="AX401" s="39"/>
      <c r="AY401" s="39"/>
      <c r="CR401" s="25"/>
    </row>
    <row r="402" spans="1:96" s="719" customFormat="1" ht="12.5">
      <c r="D402" s="58" t="s">
        <v>2014</v>
      </c>
      <c r="K402" s="2539"/>
      <c r="L402" s="2539"/>
      <c r="M402" s="2539"/>
      <c r="N402" s="2539"/>
      <c r="O402" s="2539"/>
      <c r="P402" s="2539"/>
      <c r="Q402" s="2539"/>
      <c r="R402" s="2539"/>
      <c r="S402" s="2539"/>
      <c r="T402" s="2539"/>
      <c r="U402" s="2539"/>
      <c r="V402" s="2539"/>
      <c r="W402" s="2539"/>
      <c r="X402" s="2539"/>
      <c r="Y402" s="2539"/>
      <c r="Z402" s="2539"/>
      <c r="AA402" s="2539"/>
      <c r="AB402" s="2539"/>
      <c r="AC402" s="2539"/>
      <c r="AD402" s="2539"/>
      <c r="AE402" s="2539"/>
      <c r="AF402" s="2539"/>
      <c r="AG402" s="2539"/>
      <c r="AH402" s="2539"/>
      <c r="AI402" s="2539"/>
      <c r="AJ402" s="2539"/>
      <c r="AK402" s="39"/>
      <c r="AM402" s="39"/>
      <c r="AN402" s="39"/>
      <c r="AO402" s="39"/>
      <c r="AP402" s="39"/>
      <c r="AQ402" s="39"/>
      <c r="AR402" s="39"/>
      <c r="AS402" s="39"/>
      <c r="AT402" s="39"/>
      <c r="AU402" s="39"/>
      <c r="AV402" s="39"/>
      <c r="AW402" s="39"/>
      <c r="AX402" s="39"/>
      <c r="AY402" s="39"/>
      <c r="CR402" s="25"/>
    </row>
    <row r="403" spans="1:96" s="719" customFormat="1" ht="12.5">
      <c r="D403" s="58" t="s">
        <v>2017</v>
      </c>
      <c r="K403" s="2539"/>
      <c r="L403" s="2539"/>
      <c r="M403" s="2539"/>
      <c r="N403" s="2539"/>
      <c r="O403" s="2539"/>
      <c r="P403" s="2539"/>
      <c r="Q403" s="2539"/>
      <c r="R403" s="2539"/>
      <c r="S403" s="2539"/>
      <c r="T403" s="2539"/>
      <c r="U403" s="2539"/>
      <c r="V403" s="2539"/>
      <c r="W403" s="2539"/>
      <c r="X403" s="2539"/>
      <c r="Y403" s="2539"/>
      <c r="Z403" s="2539"/>
      <c r="AA403" s="2539"/>
      <c r="AB403" s="2539"/>
      <c r="AC403" s="2539"/>
      <c r="AD403" s="2539"/>
      <c r="AE403" s="2539"/>
      <c r="AF403" s="2539"/>
      <c r="AG403" s="2539"/>
      <c r="AH403" s="2539"/>
      <c r="AI403" s="2539"/>
      <c r="AJ403" s="2539"/>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41" t="s">
        <v>2605</v>
      </c>
      <c r="T404" s="2541"/>
      <c r="U404" s="2541"/>
      <c r="V404" s="2541"/>
      <c r="W404" s="2541"/>
      <c r="X404" s="2541"/>
      <c r="Y404" s="2541"/>
      <c r="Z404" s="2541"/>
      <c r="AA404" s="2541"/>
      <c r="AB404" s="2541"/>
      <c r="AC404" s="2541"/>
      <c r="AD404" s="2541"/>
      <c r="AE404" s="2541"/>
      <c r="AF404" s="2541"/>
      <c r="AG404" s="2541"/>
      <c r="AH404" s="2541"/>
      <c r="AI404" s="2541"/>
      <c r="AJ404" s="2541"/>
      <c r="AK404" s="39"/>
      <c r="AL404" s="39"/>
      <c r="AM404" s="39"/>
      <c r="AN404" s="39"/>
      <c r="AO404" s="39"/>
      <c r="AP404" s="39"/>
      <c r="AQ404" s="39"/>
      <c r="AR404" s="39"/>
      <c r="AS404" s="39"/>
      <c r="AT404" s="39"/>
      <c r="AU404" s="39"/>
      <c r="AV404" s="39"/>
      <c r="AW404" s="39"/>
      <c r="AX404" s="39"/>
      <c r="AY404" s="39"/>
      <c r="CR404" s="25"/>
    </row>
    <row r="405" spans="1:96" s="719" customFormat="1" ht="12.5">
      <c r="D405" s="2540" t="s">
        <v>2019</v>
      </c>
      <c r="E405" s="2540"/>
      <c r="F405" s="2540"/>
      <c r="G405" s="2540"/>
      <c r="H405" s="2540"/>
      <c r="I405" s="2540"/>
      <c r="J405" s="2540"/>
      <c r="K405" s="2540"/>
      <c r="L405" s="2540"/>
      <c r="M405" s="2540"/>
      <c r="N405" s="2540"/>
      <c r="O405" s="2540"/>
      <c r="P405" s="2540"/>
      <c r="Q405" s="2540"/>
      <c r="R405" s="2540"/>
      <c r="S405" s="2540"/>
      <c r="T405" s="2540"/>
      <c r="U405" s="2540"/>
      <c r="V405" s="2540"/>
      <c r="W405" s="2540"/>
      <c r="X405" s="2540"/>
      <c r="Y405" s="2540"/>
      <c r="Z405" s="2540"/>
      <c r="AA405" s="2540"/>
      <c r="AB405" s="2540"/>
      <c r="AC405" s="2540"/>
      <c r="AD405" s="2540"/>
      <c r="AE405" s="2540"/>
      <c r="AF405" s="2540"/>
      <c r="AG405" s="2540"/>
      <c r="AH405" s="2540"/>
      <c r="AI405" s="2540"/>
      <c r="AJ405" s="2540"/>
      <c r="AK405" s="39"/>
      <c r="AL405" s="39"/>
      <c r="AM405" s="39"/>
      <c r="AN405" s="39"/>
      <c r="AO405" s="39"/>
      <c r="AP405" s="39"/>
      <c r="AQ405" s="39"/>
      <c r="AR405" s="39"/>
      <c r="AS405" s="39"/>
      <c r="AT405" s="39"/>
      <c r="AU405" s="39"/>
      <c r="AV405" s="39"/>
      <c r="AW405" s="39"/>
      <c r="AX405" s="39"/>
      <c r="AY405" s="39"/>
      <c r="CR405" s="25"/>
    </row>
    <row r="406" spans="1:96" s="719" customFormat="1" ht="12.5">
      <c r="D406" s="2540"/>
      <c r="E406" s="2540"/>
      <c r="F406" s="2540"/>
      <c r="G406" s="2540"/>
      <c r="H406" s="2540"/>
      <c r="I406" s="2540"/>
      <c r="J406" s="2540"/>
      <c r="K406" s="2540"/>
      <c r="L406" s="2540"/>
      <c r="M406" s="2540"/>
      <c r="N406" s="2540"/>
      <c r="O406" s="2540"/>
      <c r="P406" s="2540"/>
      <c r="Q406" s="2540"/>
      <c r="R406" s="2540"/>
      <c r="S406" s="2540"/>
      <c r="T406" s="2540"/>
      <c r="U406" s="2540"/>
      <c r="V406" s="2540"/>
      <c r="W406" s="2540"/>
      <c r="X406" s="2540"/>
      <c r="Y406" s="2540"/>
      <c r="Z406" s="2540"/>
      <c r="AA406" s="2540"/>
      <c r="AB406" s="2540"/>
      <c r="AC406" s="2540"/>
      <c r="AD406" s="2540"/>
      <c r="AE406" s="2540"/>
      <c r="AF406" s="2540"/>
      <c r="AG406" s="2540"/>
      <c r="AH406" s="2540"/>
      <c r="AI406" s="2540"/>
      <c r="AJ406" s="2540"/>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22" t="s">
        <v>2676</v>
      </c>
      <c r="J409" s="2322"/>
      <c r="K409" s="2322"/>
      <c r="L409" s="2322"/>
      <c r="M409" s="2322"/>
      <c r="N409" s="2322"/>
      <c r="O409" s="2322"/>
      <c r="P409" s="2322"/>
      <c r="Q409" s="2322"/>
      <c r="R409" s="2322"/>
      <c r="S409" s="2322"/>
      <c r="T409" s="2322"/>
      <c r="U409" s="2322"/>
      <c r="V409" s="2322"/>
      <c r="W409" s="2322"/>
      <c r="X409" s="2322"/>
      <c r="Y409" s="2322"/>
      <c r="Z409" s="2322"/>
      <c r="AA409" s="2322"/>
      <c r="AB409" s="2322"/>
      <c r="AC409" s="2322"/>
      <c r="AD409" s="2322"/>
      <c r="AE409" s="2322"/>
    </row>
    <row r="410" spans="1:96" ht="12.75" customHeight="1">
      <c r="C410" s="25"/>
      <c r="D410" s="25"/>
      <c r="E410" s="12" t="s">
        <v>111</v>
      </c>
      <c r="F410" s="25"/>
      <c r="G410" s="25"/>
      <c r="H410" s="25"/>
      <c r="I410" s="25"/>
      <c r="J410" s="25"/>
      <c r="K410" s="25"/>
      <c r="L410" s="25"/>
      <c r="M410" s="25"/>
      <c r="N410" s="25"/>
      <c r="O410" s="25"/>
      <c r="P410" s="719"/>
      <c r="Q410" s="719"/>
      <c r="R410" s="2046" t="s">
        <v>578</v>
      </c>
      <c r="S410" s="2046"/>
      <c r="T410" s="12" t="s">
        <v>604</v>
      </c>
      <c r="U410" s="719"/>
      <c r="V410" s="719"/>
      <c r="W410" s="719"/>
      <c r="X410" s="719"/>
      <c r="Y410" s="719"/>
      <c r="Z410" s="719"/>
      <c r="AA410" s="719"/>
      <c r="AB410" s="719"/>
      <c r="AC410" s="719"/>
      <c r="AD410" s="2366">
        <v>2</v>
      </c>
      <c r="AE410" s="2366"/>
      <c r="AF410" s="719"/>
    </row>
    <row r="411" spans="1:96" ht="12.5">
      <c r="C411" s="25"/>
      <c r="E411" s="12" t="s">
        <v>112</v>
      </c>
      <c r="F411" s="719"/>
      <c r="G411" s="719"/>
      <c r="H411" s="719"/>
      <c r="I411" s="719"/>
      <c r="J411" s="719"/>
      <c r="K411" s="719"/>
      <c r="L411" s="719"/>
      <c r="M411" s="719"/>
      <c r="N411" s="25"/>
      <c r="O411" s="25"/>
      <c r="P411" s="719"/>
      <c r="Q411" s="719"/>
      <c r="R411" s="2046" t="s">
        <v>626</v>
      </c>
      <c r="S411" s="2046"/>
      <c r="T411" s="12" t="s">
        <v>604</v>
      </c>
      <c r="U411" s="719"/>
      <c r="V411" s="719"/>
      <c r="W411" s="719"/>
      <c r="X411" s="719"/>
      <c r="Y411" s="719"/>
      <c r="Z411" s="719"/>
      <c r="AA411" s="719"/>
      <c r="AB411" s="719"/>
      <c r="AC411" s="719"/>
      <c r="AD411" s="2366">
        <v>0</v>
      </c>
      <c r="AE411" s="2366"/>
      <c r="AF411" s="719"/>
    </row>
    <row r="412" spans="1:96" ht="12.75" customHeight="1">
      <c r="C412" s="25"/>
      <c r="E412" s="12" t="s">
        <v>113</v>
      </c>
      <c r="F412" s="719"/>
      <c r="G412" s="719"/>
      <c r="H412" s="719"/>
      <c r="I412" s="719"/>
      <c r="J412" s="719"/>
      <c r="K412" s="719"/>
      <c r="L412" s="719"/>
      <c r="M412" s="719"/>
      <c r="N412" s="25"/>
      <c r="O412" s="25"/>
      <c r="P412" s="719"/>
      <c r="Q412" s="719"/>
      <c r="R412" s="719"/>
      <c r="S412" s="2046" t="s">
        <v>626</v>
      </c>
      <c r="T412" s="2046"/>
      <c r="U412" s="719"/>
      <c r="V412" s="719"/>
      <c r="W412" s="719"/>
      <c r="X412" s="719"/>
      <c r="Y412" s="719"/>
      <c r="Z412" s="719"/>
      <c r="AA412" s="719"/>
      <c r="AB412" s="719"/>
      <c r="AC412" s="719"/>
      <c r="AD412" s="719"/>
      <c r="AE412" s="719"/>
      <c r="AF412" s="719"/>
    </row>
    <row r="413" spans="1:96" ht="12.75" customHeight="1">
      <c r="E413" s="12" t="s">
        <v>175</v>
      </c>
      <c r="F413" s="719"/>
      <c r="G413" s="719"/>
      <c r="H413" s="2512" t="s">
        <v>343</v>
      </c>
      <c r="I413" s="2512"/>
      <c r="J413" s="2512"/>
      <c r="K413" s="2512"/>
      <c r="L413" s="2512"/>
      <c r="M413" s="2512"/>
      <c r="N413" s="2512"/>
      <c r="O413" s="2512"/>
      <c r="P413" s="2512"/>
      <c r="Q413" s="2512"/>
      <c r="R413" s="2512"/>
      <c r="S413" s="2512"/>
      <c r="T413" s="2512"/>
      <c r="U413" s="2512"/>
      <c r="V413" s="2512"/>
      <c r="W413" s="2512"/>
      <c r="X413" s="2512"/>
      <c r="Y413" s="2512"/>
      <c r="Z413" s="2512"/>
      <c r="AA413" s="2512"/>
      <c r="AB413" s="2512"/>
      <c r="AC413" s="2512"/>
      <c r="AD413" s="2512"/>
      <c r="AE413" s="2512"/>
      <c r="AF413" s="719"/>
    </row>
    <row r="414" spans="1:96" ht="12.75" customHeight="1">
      <c r="E414" s="25"/>
      <c r="F414" s="719"/>
      <c r="G414" s="719"/>
      <c r="H414" s="2513"/>
      <c r="I414" s="2513"/>
      <c r="J414" s="2513"/>
      <c r="K414" s="2513"/>
      <c r="L414" s="2513"/>
      <c r="M414" s="2513"/>
      <c r="N414" s="2513"/>
      <c r="O414" s="2513"/>
      <c r="P414" s="2513"/>
      <c r="Q414" s="2513"/>
      <c r="R414" s="2513"/>
      <c r="S414" s="2513"/>
      <c r="T414" s="2513"/>
      <c r="U414" s="2513"/>
      <c r="V414" s="2513"/>
      <c r="W414" s="2513"/>
      <c r="X414" s="2513"/>
      <c r="Y414" s="2513"/>
      <c r="Z414" s="2513"/>
      <c r="AA414" s="2513"/>
      <c r="AB414" s="2513"/>
      <c r="AC414" s="2513"/>
      <c r="AD414" s="2513"/>
      <c r="AE414" s="2513"/>
      <c r="AF414" s="719"/>
    </row>
    <row r="415" spans="1:96" ht="12.75" customHeight="1"/>
    <row r="416" spans="1:96" ht="12.75" customHeight="1">
      <c r="A416" s="50" t="s">
        <v>625</v>
      </c>
      <c r="B416" s="50"/>
      <c r="C416" s="50"/>
      <c r="D416" s="50" t="s">
        <v>119</v>
      </c>
      <c r="AF416" s="50" t="s">
        <v>1035</v>
      </c>
    </row>
    <row r="417" spans="1:96" ht="12.75" customHeight="1">
      <c r="E417" s="2445"/>
      <c r="F417" s="2445"/>
      <c r="G417" s="2445"/>
      <c r="H417" s="23" t="s">
        <v>120</v>
      </c>
      <c r="I417" s="2445"/>
      <c r="J417" s="2445"/>
      <c r="K417" s="2445"/>
      <c r="L417" s="12" t="s">
        <v>121</v>
      </c>
      <c r="N417" s="141" t="s">
        <v>610</v>
      </c>
      <c r="P417" s="2440">
        <v>2.6309999999999998</v>
      </c>
      <c r="Q417" s="2440"/>
      <c r="R417" s="2440"/>
      <c r="S417" s="12" t="s">
        <v>122</v>
      </c>
      <c r="W417" s="2564">
        <f>IF(E417&gt;0,(E417*I417),(P417*43560))</f>
        <v>114606.35999999999</v>
      </c>
      <c r="X417" s="2564"/>
      <c r="Y417" s="2564"/>
      <c r="Z417" s="12" t="s">
        <v>123</v>
      </c>
      <c r="AF417" s="2497">
        <f>IF(P417&gt;0,(AG436/P417),(AG436/(W417/43560)))</f>
        <v>24.705435195743064</v>
      </c>
      <c r="AG417" s="2497"/>
      <c r="AH417" s="2497"/>
      <c r="AM417" s="239"/>
    </row>
    <row r="418" spans="1:96" ht="12.5">
      <c r="E418" s="12" t="s">
        <v>54</v>
      </c>
    </row>
    <row r="419" spans="1:96" ht="12.75" customHeight="1">
      <c r="E419" s="2576"/>
      <c r="F419" s="2576"/>
      <c r="G419" s="2576"/>
      <c r="H419" s="2576"/>
      <c r="I419" s="2576"/>
      <c r="J419" s="2576"/>
      <c r="K419" s="2576"/>
      <c r="L419" s="2576"/>
      <c r="M419" s="2576"/>
      <c r="N419" s="2576"/>
      <c r="O419" s="2576"/>
      <c r="P419" s="2576"/>
      <c r="Q419" s="2576"/>
      <c r="R419" s="2576"/>
      <c r="S419" s="2576"/>
      <c r="T419" s="2576"/>
      <c r="U419" s="2576"/>
      <c r="V419" s="2576"/>
      <c r="W419" s="2576"/>
      <c r="X419" s="2576"/>
      <c r="Y419" s="2576"/>
      <c r="Z419" s="2576"/>
      <c r="AA419" s="2576"/>
      <c r="AB419" s="2576"/>
      <c r="AC419" s="2576"/>
      <c r="AD419" s="2576"/>
      <c r="AE419" s="2576"/>
      <c r="AF419" s="2576"/>
      <c r="AG419" s="2576"/>
      <c r="AH419" s="2576"/>
      <c r="AI419" s="2576"/>
      <c r="AJ419" s="2576"/>
    </row>
    <row r="420" spans="1:96" s="39" customFormat="1" ht="12.75" customHeight="1">
      <c r="E420" s="254" t="s">
        <v>2234</v>
      </c>
      <c r="F420" s="1807"/>
      <c r="G420" s="1807"/>
      <c r="H420" s="1807"/>
      <c r="I420" s="2360">
        <v>2.6309999999999998</v>
      </c>
      <c r="J420" s="2360"/>
      <c r="K420" s="2360"/>
      <c r="L420" s="1807"/>
      <c r="M420" s="254"/>
      <c r="N420" s="1807"/>
      <c r="O420" s="1807"/>
      <c r="P420" s="2333">
        <f>(CS637+CS645+CS661)/I420</f>
        <v>29.64652223489168</v>
      </c>
      <c r="Q420" s="2333"/>
      <c r="R420" s="2333"/>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46">
        <v>1</v>
      </c>
      <c r="Q423" s="2046"/>
      <c r="S423" s="12" t="s">
        <v>195</v>
      </c>
      <c r="AE423" s="2046">
        <v>1</v>
      </c>
      <c r="AF423" s="2046"/>
    </row>
    <row r="424" spans="1:96" ht="12.5">
      <c r="E424" s="12" t="s">
        <v>196</v>
      </c>
      <c r="P424" s="2046">
        <v>0</v>
      </c>
      <c r="Q424" s="2046"/>
      <c r="S424" s="12" t="s">
        <v>136</v>
      </c>
      <c r="AE424" s="2046" t="s">
        <v>626</v>
      </c>
      <c r="AF424" s="2046"/>
    </row>
    <row r="425" spans="1:96" ht="12.5">
      <c r="F425" s="67" t="s">
        <v>137</v>
      </c>
    </row>
    <row r="426" spans="1:96" ht="12.5">
      <c r="F426" s="2459"/>
      <c r="G426" s="2459"/>
      <c r="H426" s="2459"/>
      <c r="I426" s="2459"/>
      <c r="J426" s="2459"/>
      <c r="K426" s="2459"/>
      <c r="L426" s="2459"/>
      <c r="M426" s="2459"/>
      <c r="N426" s="2459"/>
      <c r="O426" s="2459"/>
      <c r="P426" s="2459"/>
      <c r="Q426" s="2459"/>
      <c r="R426" s="2459"/>
      <c r="S426" s="2459"/>
      <c r="T426" s="2459"/>
      <c r="U426" s="2459"/>
      <c r="V426" s="2459"/>
      <c r="W426" s="2459"/>
      <c r="X426" s="2459"/>
      <c r="Y426" s="2459"/>
      <c r="Z426" s="2459"/>
      <c r="AA426" s="2459"/>
      <c r="AB426" s="2459"/>
      <c r="AC426" s="2459"/>
      <c r="AD426" s="2459"/>
      <c r="AE426" s="2459"/>
      <c r="AF426" s="2459"/>
      <c r="AG426" s="2459"/>
      <c r="AH426" s="2459"/>
    </row>
    <row r="427" spans="1:96" ht="12.75" customHeight="1">
      <c r="F427" s="2460"/>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2460"/>
      <c r="AG427" s="2460"/>
      <c r="AH427" s="2460"/>
    </row>
    <row r="428" spans="1:96" ht="12.75" customHeight="1">
      <c r="E428" s="12" t="s">
        <v>643</v>
      </c>
      <c r="N428" s="39"/>
      <c r="O428" s="39"/>
      <c r="P428" s="235"/>
      <c r="Q428" s="2046" t="s">
        <v>578</v>
      </c>
      <c r="R428" s="204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6" t="s">
        <v>626</v>
      </c>
      <c r="AG429" s="2560"/>
    </row>
    <row r="430" spans="1:96" ht="12.75" customHeight="1">
      <c r="S430" s="25"/>
      <c r="T430" s="25"/>
    </row>
    <row r="431" spans="1:96" ht="12.75" customHeight="1">
      <c r="A431" s="50"/>
      <c r="B431" s="50"/>
      <c r="C431" s="50"/>
      <c r="E431" s="7" t="s">
        <v>317</v>
      </c>
      <c r="Z431" s="2046" t="s">
        <v>706</v>
      </c>
      <c r="AA431" s="204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6" t="s">
        <v>626</v>
      </c>
      <c r="AA433" s="2046"/>
    </row>
    <row r="434" spans="1:110" ht="12.75" customHeight="1"/>
    <row r="435" spans="1:110" ht="12.75" customHeight="1">
      <c r="A435" s="50" t="s">
        <v>500</v>
      </c>
      <c r="B435" s="50"/>
      <c r="C435" s="50"/>
      <c r="D435" s="50" t="s">
        <v>822</v>
      </c>
      <c r="AF435" s="80"/>
    </row>
    <row r="436" spans="1:110" ht="12.75" customHeight="1">
      <c r="D436" s="2281" t="s">
        <v>46</v>
      </c>
      <c r="E436" s="2282"/>
      <c r="F436" s="2282"/>
      <c r="G436" s="2282"/>
      <c r="H436" s="2282"/>
      <c r="I436" s="2282"/>
      <c r="J436" s="2282"/>
      <c r="K436" s="2282"/>
      <c r="L436" s="2282"/>
      <c r="M436" s="2282"/>
      <c r="N436" s="2282"/>
      <c r="O436" s="2282"/>
      <c r="P436" s="2282"/>
      <c r="Q436" s="2282"/>
      <c r="R436" s="2282"/>
      <c r="S436" s="2282"/>
      <c r="T436" s="2282"/>
      <c r="U436" s="2282"/>
      <c r="V436" s="2282"/>
      <c r="W436" s="2282"/>
      <c r="X436" s="2282"/>
      <c r="Y436" s="2282"/>
      <c r="Z436" s="2282"/>
      <c r="AA436" s="2282"/>
      <c r="AB436" s="2282"/>
      <c r="AC436" s="2282"/>
      <c r="AD436" s="2282"/>
      <c r="AE436" s="2282"/>
      <c r="AF436" s="2499"/>
      <c r="AG436" s="2535">
        <v>65</v>
      </c>
      <c r="AH436" s="2535"/>
      <c r="AI436" s="2535"/>
      <c r="AJ436" s="2535"/>
    </row>
    <row r="437" spans="1:110" ht="12.75" customHeight="1">
      <c r="D437" s="2482" t="s">
        <v>1436</v>
      </c>
      <c r="E437" s="2483"/>
      <c r="F437" s="2483"/>
      <c r="G437" s="2483"/>
      <c r="H437" s="2483"/>
      <c r="I437" s="2483"/>
      <c r="J437" s="2483"/>
      <c r="K437" s="2483"/>
      <c r="L437" s="2483"/>
      <c r="M437" s="2483"/>
      <c r="N437" s="2483"/>
      <c r="O437" s="2483"/>
      <c r="P437" s="2483"/>
      <c r="Q437" s="2483"/>
      <c r="R437" s="2483"/>
      <c r="S437" s="2483"/>
      <c r="T437" s="2483"/>
      <c r="U437" s="2483"/>
      <c r="V437" s="2483"/>
      <c r="W437" s="2483"/>
      <c r="X437" s="2483"/>
      <c r="Y437" s="2483"/>
      <c r="Z437" s="2483"/>
      <c r="AA437" s="2483"/>
      <c r="AB437" s="2483"/>
      <c r="AC437" s="2483"/>
      <c r="AD437" s="2483"/>
      <c r="AE437" s="2483"/>
      <c r="AF437" s="2484"/>
      <c r="AG437" s="2568">
        <v>0</v>
      </c>
      <c r="AH437" s="2296"/>
      <c r="AI437" s="2296"/>
      <c r="AJ437" s="2296"/>
    </row>
    <row r="438" spans="1:110" ht="12.75" customHeight="1">
      <c r="D438" s="2482" t="s">
        <v>1144</v>
      </c>
      <c r="E438" s="2483"/>
      <c r="F438" s="2483"/>
      <c r="G438" s="2483"/>
      <c r="H438" s="2483"/>
      <c r="I438" s="2483"/>
      <c r="J438" s="2483"/>
      <c r="K438" s="2483"/>
      <c r="L438" s="2483"/>
      <c r="M438" s="2483"/>
      <c r="N438" s="2483"/>
      <c r="O438" s="2483"/>
      <c r="P438" s="2483"/>
      <c r="Q438" s="2483"/>
      <c r="R438" s="2483"/>
      <c r="S438" s="2483"/>
      <c r="T438" s="2483"/>
      <c r="U438" s="2483"/>
      <c r="V438" s="2483"/>
      <c r="W438" s="2483"/>
      <c r="X438" s="2483"/>
      <c r="Y438" s="2483"/>
      <c r="Z438" s="2483"/>
      <c r="AA438" s="2483"/>
      <c r="AB438" s="2483"/>
      <c r="AC438" s="2483"/>
      <c r="AD438" s="2483"/>
      <c r="AE438" s="2483"/>
      <c r="AF438" s="2484"/>
      <c r="AG438" s="2535">
        <v>64</v>
      </c>
      <c r="AH438" s="2535"/>
      <c r="AI438" s="2535"/>
      <c r="AJ438" s="2535"/>
    </row>
    <row r="439" spans="1:110" ht="12.75" customHeight="1">
      <c r="D439" s="2482" t="s">
        <v>1145</v>
      </c>
      <c r="E439" s="2483"/>
      <c r="F439" s="2483"/>
      <c r="G439" s="2483"/>
      <c r="H439" s="2483"/>
      <c r="I439" s="2483"/>
      <c r="J439" s="2483"/>
      <c r="K439" s="2483"/>
      <c r="L439" s="2483"/>
      <c r="M439" s="2483"/>
      <c r="N439" s="2483"/>
      <c r="O439" s="2483"/>
      <c r="P439" s="2483"/>
      <c r="Q439" s="2483"/>
      <c r="R439" s="2483"/>
      <c r="S439" s="2483"/>
      <c r="T439" s="2483"/>
      <c r="U439" s="2483"/>
      <c r="V439" s="2483"/>
      <c r="W439" s="2483"/>
      <c r="X439" s="2483"/>
      <c r="Y439" s="2483"/>
      <c r="Z439" s="2483"/>
      <c r="AA439" s="2483"/>
      <c r="AB439" s="2483"/>
      <c r="AC439" s="2483"/>
      <c r="AD439" s="2483"/>
      <c r="AE439" s="2483"/>
      <c r="AF439" s="2484"/>
      <c r="AG439" s="2535">
        <v>64</v>
      </c>
      <c r="AH439" s="2535"/>
      <c r="AI439" s="2535"/>
      <c r="AJ439" s="2535"/>
    </row>
    <row r="440" spans="1:110" ht="12.75" customHeight="1">
      <c r="D440" s="2482" t="s">
        <v>1147</v>
      </c>
      <c r="E440" s="2483"/>
      <c r="F440" s="2483"/>
      <c r="G440" s="2483"/>
      <c r="H440" s="2483"/>
      <c r="I440" s="2483"/>
      <c r="J440" s="2483"/>
      <c r="K440" s="2483"/>
      <c r="L440" s="2483"/>
      <c r="M440" s="2483"/>
      <c r="N440" s="2483"/>
      <c r="O440" s="2483"/>
      <c r="P440" s="2483"/>
      <c r="Q440" s="2483"/>
      <c r="R440" s="2483"/>
      <c r="S440" s="2483"/>
      <c r="T440" s="2483"/>
      <c r="U440" s="2483"/>
      <c r="V440" s="2483"/>
      <c r="W440" s="2483"/>
      <c r="X440" s="2483"/>
      <c r="Y440" s="2483"/>
      <c r="Z440" s="2483"/>
      <c r="AA440" s="2483"/>
      <c r="AB440" s="2483"/>
      <c r="AC440" s="2483"/>
      <c r="AD440" s="2483"/>
      <c r="AE440" s="2483"/>
      <c r="AF440" s="2484"/>
      <c r="AG440" s="2536">
        <f>IF(ISERROR(AG439/AG438),"",AG439/AG438)</f>
        <v>1</v>
      </c>
      <c r="AH440" s="2536"/>
      <c r="AI440" s="2536"/>
      <c r="AJ440" s="2536"/>
    </row>
    <row r="441" spans="1:110" ht="12.75" customHeight="1">
      <c r="D441" s="2482" t="s">
        <v>1146</v>
      </c>
      <c r="E441" s="2483"/>
      <c r="F441" s="2483"/>
      <c r="G441" s="2483"/>
      <c r="H441" s="2483"/>
      <c r="I441" s="2483"/>
      <c r="J441" s="2483"/>
      <c r="K441" s="2483"/>
      <c r="L441" s="2483"/>
      <c r="M441" s="2483"/>
      <c r="N441" s="2483"/>
      <c r="O441" s="2483"/>
      <c r="P441" s="2483"/>
      <c r="Q441" s="2483"/>
      <c r="R441" s="2483"/>
      <c r="S441" s="2483"/>
      <c r="T441" s="2483"/>
      <c r="U441" s="2483"/>
      <c r="V441" s="2483"/>
      <c r="W441" s="2483"/>
      <c r="X441" s="2483"/>
      <c r="Y441" s="2483"/>
      <c r="Z441" s="2483"/>
      <c r="AA441" s="2483"/>
      <c r="AB441" s="2483"/>
      <c r="AC441" s="2483"/>
      <c r="AD441" s="2483"/>
      <c r="AE441" s="2483"/>
      <c r="AF441" s="2484"/>
      <c r="AG441" s="2498">
        <v>43376</v>
      </c>
      <c r="AH441" s="2498"/>
      <c r="AI441" s="2498"/>
      <c r="AJ441" s="2498"/>
    </row>
    <row r="442" spans="1:110" ht="12.75" customHeight="1">
      <c r="D442" s="2482" t="s">
        <v>1148</v>
      </c>
      <c r="E442" s="2483"/>
      <c r="F442" s="2483"/>
      <c r="G442" s="2483"/>
      <c r="H442" s="2483"/>
      <c r="I442" s="2483"/>
      <c r="J442" s="2483"/>
      <c r="K442" s="2483"/>
      <c r="L442" s="2483"/>
      <c r="M442" s="2483"/>
      <c r="N442" s="2483"/>
      <c r="O442" s="2483"/>
      <c r="P442" s="2483"/>
      <c r="Q442" s="2483"/>
      <c r="R442" s="2483"/>
      <c r="S442" s="2483"/>
      <c r="T442" s="2483"/>
      <c r="U442" s="2483"/>
      <c r="V442" s="2483"/>
      <c r="W442" s="2483"/>
      <c r="X442" s="2483"/>
      <c r="Y442" s="2483"/>
      <c r="Z442" s="2483"/>
      <c r="AA442" s="2483"/>
      <c r="AB442" s="2483"/>
      <c r="AC442" s="2483"/>
      <c r="AD442" s="2483"/>
      <c r="AE442" s="2483"/>
      <c r="AF442" s="2484"/>
      <c r="AG442" s="2498">
        <v>43376</v>
      </c>
      <c r="AH442" s="2498"/>
      <c r="AI442" s="2498"/>
      <c r="AJ442" s="2498"/>
    </row>
    <row r="443" spans="1:110" ht="12.75" customHeight="1">
      <c r="D443" s="2482" t="s">
        <v>1149</v>
      </c>
      <c r="E443" s="2483"/>
      <c r="F443" s="2483"/>
      <c r="G443" s="2483"/>
      <c r="H443" s="2483"/>
      <c r="I443" s="2483"/>
      <c r="J443" s="2483"/>
      <c r="K443" s="2483"/>
      <c r="L443" s="2483"/>
      <c r="M443" s="2483"/>
      <c r="N443" s="2483"/>
      <c r="O443" s="2483"/>
      <c r="P443" s="2483"/>
      <c r="Q443" s="2483"/>
      <c r="R443" s="2483"/>
      <c r="S443" s="2483"/>
      <c r="T443" s="2483"/>
      <c r="U443" s="2483"/>
      <c r="V443" s="2483"/>
      <c r="W443" s="2483"/>
      <c r="X443" s="2483"/>
      <c r="Y443" s="2483"/>
      <c r="Z443" s="2483"/>
      <c r="AA443" s="2483"/>
      <c r="AB443" s="2483"/>
      <c r="AC443" s="2483"/>
      <c r="AD443" s="2483"/>
      <c r="AE443" s="2483"/>
      <c r="AF443" s="2484"/>
      <c r="AG443" s="2536">
        <f>IF(ISERROR(AG442/AG441),"",AG442/AG441)</f>
        <v>1</v>
      </c>
      <c r="AH443" s="2536"/>
      <c r="AI443" s="2536"/>
      <c r="AJ443" s="2536"/>
    </row>
    <row r="444" spans="1:110" ht="12.75" customHeight="1">
      <c r="D444" s="2482" t="s">
        <v>1150</v>
      </c>
      <c r="E444" s="2483"/>
      <c r="F444" s="2483"/>
      <c r="G444" s="2483"/>
      <c r="H444" s="2483"/>
      <c r="I444" s="2483"/>
      <c r="J444" s="2483"/>
      <c r="K444" s="2483"/>
      <c r="L444" s="2483"/>
      <c r="M444" s="2483"/>
      <c r="N444" s="2483"/>
      <c r="O444" s="2483"/>
      <c r="P444" s="2483"/>
      <c r="Q444" s="2483"/>
      <c r="R444" s="2483"/>
      <c r="S444" s="2483"/>
      <c r="T444" s="2483"/>
      <c r="U444" s="2483"/>
      <c r="V444" s="2483"/>
      <c r="W444" s="2483"/>
      <c r="X444" s="2483"/>
      <c r="Y444" s="2483"/>
      <c r="Z444" s="2483"/>
      <c r="AA444" s="2483"/>
      <c r="AB444" s="2483"/>
      <c r="AC444" s="2483"/>
      <c r="AD444" s="2483"/>
      <c r="AE444" s="2483"/>
      <c r="AF444" s="2484"/>
      <c r="AG444" s="2536">
        <f>MIN(IF(AG440&gt;AG443,AG443,AG440),1)</f>
        <v>1</v>
      </c>
      <c r="AH444" s="2536"/>
      <c r="AI444" s="2536"/>
      <c r="AJ444" s="2536"/>
    </row>
    <row r="445" spans="1:110" ht="12.75" customHeight="1">
      <c r="D445" s="2482" t="s">
        <v>1411</v>
      </c>
      <c r="E445" s="2282"/>
      <c r="F445" s="2282"/>
      <c r="G445" s="2282"/>
      <c r="H445" s="2282"/>
      <c r="I445" s="2282"/>
      <c r="J445" s="2282"/>
      <c r="K445" s="2282"/>
      <c r="L445" s="2282"/>
      <c r="M445" s="2282"/>
      <c r="N445" s="2282"/>
      <c r="O445" s="2282"/>
      <c r="P445" s="2282"/>
      <c r="Q445" s="2282"/>
      <c r="R445" s="2282"/>
      <c r="S445" s="2282"/>
      <c r="T445" s="2282"/>
      <c r="U445" s="2282"/>
      <c r="V445" s="2282"/>
      <c r="W445" s="2282"/>
      <c r="X445" s="2282"/>
      <c r="Y445" s="2282"/>
      <c r="Z445" s="2282"/>
      <c r="AA445" s="2282"/>
      <c r="AB445" s="2282"/>
      <c r="AC445" s="2282"/>
      <c r="AD445" s="2282"/>
      <c r="AE445" s="2282"/>
      <c r="AF445" s="2499"/>
      <c r="AG445" s="2498">
        <v>2895</v>
      </c>
      <c r="AH445" s="2498"/>
      <c r="AI445" s="2498"/>
      <c r="AJ445" s="2498"/>
    </row>
    <row r="446" spans="1:110" ht="12.75" customHeight="1">
      <c r="D446" s="2281" t="s">
        <v>602</v>
      </c>
      <c r="E446" s="2282"/>
      <c r="F446" s="2282"/>
      <c r="G446" s="2282"/>
      <c r="H446" s="2282"/>
      <c r="I446" s="2282"/>
      <c r="J446" s="2282"/>
      <c r="K446" s="2282"/>
      <c r="L446" s="2282"/>
      <c r="M446" s="2282"/>
      <c r="N446" s="2282"/>
      <c r="O446" s="2282"/>
      <c r="P446" s="2282"/>
      <c r="Q446" s="2282"/>
      <c r="R446" s="2282"/>
      <c r="S446" s="2282"/>
      <c r="T446" s="2282"/>
      <c r="U446" s="2282"/>
      <c r="V446" s="2282"/>
      <c r="W446" s="2282"/>
      <c r="X446" s="2282"/>
      <c r="Y446" s="2282"/>
      <c r="Z446" s="2282"/>
      <c r="AA446" s="2282"/>
      <c r="AB446" s="2282"/>
      <c r="AC446" s="2282"/>
      <c r="AD446" s="2282"/>
      <c r="AE446" s="2282"/>
      <c r="AF446" s="2499"/>
      <c r="AG446" s="2498">
        <v>0</v>
      </c>
      <c r="AH446" s="2498"/>
      <c r="AI446" s="2498"/>
      <c r="AJ446" s="249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82" t="s">
        <v>1412</v>
      </c>
      <c r="E447" s="2282"/>
      <c r="F447" s="2282"/>
      <c r="G447" s="2282"/>
      <c r="H447" s="2282"/>
      <c r="I447" s="2282"/>
      <c r="J447" s="2282"/>
      <c r="K447" s="2282"/>
      <c r="L447" s="2282"/>
      <c r="M447" s="2282"/>
      <c r="N447" s="2282"/>
      <c r="O447" s="2282"/>
      <c r="P447" s="2282"/>
      <c r="Q447" s="2282"/>
      <c r="R447" s="2282"/>
      <c r="S447" s="2282"/>
      <c r="T447" s="2282"/>
      <c r="U447" s="2282"/>
      <c r="V447" s="2282"/>
      <c r="W447" s="2282"/>
      <c r="X447" s="2282"/>
      <c r="Y447" s="2282"/>
      <c r="Z447" s="2282"/>
      <c r="AA447" s="2282"/>
      <c r="AB447" s="2282"/>
      <c r="AC447" s="2282"/>
      <c r="AD447" s="2282"/>
      <c r="AE447" s="2282"/>
      <c r="AF447" s="2499"/>
      <c r="AG447" s="2498">
        <v>17793</v>
      </c>
      <c r="AH447" s="2498"/>
      <c r="AI447" s="2498"/>
      <c r="AJ447" s="249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2" t="s">
        <v>1151</v>
      </c>
      <c r="E448" s="2282"/>
      <c r="F448" s="2282"/>
      <c r="G448" s="2282"/>
      <c r="H448" s="2282"/>
      <c r="I448" s="2282"/>
      <c r="J448" s="2282"/>
      <c r="K448" s="2282"/>
      <c r="L448" s="2282"/>
      <c r="M448" s="2282"/>
      <c r="N448" s="2282"/>
      <c r="O448" s="2282"/>
      <c r="P448" s="2282"/>
      <c r="Q448" s="2282"/>
      <c r="R448" s="2282"/>
      <c r="S448" s="2282"/>
      <c r="T448" s="2282"/>
      <c r="U448" s="2282"/>
      <c r="V448" s="2282"/>
      <c r="W448" s="2282"/>
      <c r="X448" s="2282"/>
      <c r="Y448" s="2282"/>
      <c r="Z448" s="2282"/>
      <c r="AA448" s="2282"/>
      <c r="AB448" s="2282"/>
      <c r="AC448" s="2282"/>
      <c r="AD448" s="2282"/>
      <c r="AE448" s="2282"/>
      <c r="AF448" s="2499"/>
      <c r="AG448" s="2498">
        <v>0</v>
      </c>
      <c r="AH448" s="2498"/>
      <c r="AI448" s="2498"/>
      <c r="AJ448" s="249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27" t="s">
        <v>1152</v>
      </c>
      <c r="E449" s="2428"/>
      <c r="F449" s="2428"/>
      <c r="G449" s="2428"/>
      <c r="H449" s="2428"/>
      <c r="I449" s="2428"/>
      <c r="J449" s="2428"/>
      <c r="K449" s="2428"/>
      <c r="L449" s="2428"/>
      <c r="M449" s="2428"/>
      <c r="N449" s="2428"/>
      <c r="O449" s="2428"/>
      <c r="P449" s="2428"/>
      <c r="Q449" s="2428"/>
      <c r="R449" s="2428"/>
      <c r="S449" s="2428"/>
      <c r="T449" s="2428"/>
      <c r="U449" s="2428"/>
      <c r="V449" s="2428"/>
      <c r="W449" s="2428"/>
      <c r="X449" s="2428"/>
      <c r="Y449" s="2428"/>
      <c r="Z449" s="2428"/>
      <c r="AA449" s="2428"/>
      <c r="AB449" s="2428"/>
      <c r="AC449" s="2428"/>
      <c r="AD449" s="2428"/>
      <c r="AE449" s="2428"/>
      <c r="AF449" s="2429"/>
      <c r="AG449" s="2559">
        <f>AG441+AG445+AG447+AG448</f>
        <v>64064</v>
      </c>
      <c r="AH449" s="2559"/>
      <c r="AI449" s="2559"/>
      <c r="AJ449" s="25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30" t="s">
        <v>1413</v>
      </c>
      <c r="E450" s="2430"/>
      <c r="F450" s="2430"/>
      <c r="G450" s="2430"/>
      <c r="H450" s="2430"/>
      <c r="I450" s="2430"/>
      <c r="J450" s="2430"/>
      <c r="K450" s="2430"/>
      <c r="L450" s="2430"/>
      <c r="M450" s="2430"/>
      <c r="N450" s="2430"/>
      <c r="O450" s="2430"/>
      <c r="P450" s="2430"/>
      <c r="Q450" s="2430"/>
      <c r="R450" s="2430"/>
      <c r="S450" s="2430"/>
      <c r="T450" s="2430"/>
      <c r="U450" s="2430"/>
      <c r="V450" s="2430"/>
      <c r="W450" s="2430"/>
      <c r="X450" s="2430"/>
      <c r="Y450" s="2430"/>
      <c r="Z450" s="2430"/>
      <c r="AA450" s="2430"/>
      <c r="AB450" s="2430"/>
      <c r="AC450" s="2430"/>
      <c r="AD450" s="2430"/>
      <c r="AE450" s="2430"/>
      <c r="AF450" s="2430"/>
      <c r="AG450" s="2430"/>
      <c r="AH450" s="2430"/>
      <c r="AI450" s="2430"/>
      <c r="AJ450" s="243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31"/>
      <c r="E451" s="2431"/>
      <c r="F451" s="2431"/>
      <c r="G451" s="2431"/>
      <c r="H451" s="2431"/>
      <c r="I451" s="2431"/>
      <c r="J451" s="2431"/>
      <c r="K451" s="2431"/>
      <c r="L451" s="2431"/>
      <c r="M451" s="2431"/>
      <c r="N451" s="2431"/>
      <c r="O451" s="2431"/>
      <c r="P451" s="2431"/>
      <c r="Q451" s="2431"/>
      <c r="R451" s="2431"/>
      <c r="S451" s="2431"/>
      <c r="T451" s="2431"/>
      <c r="U451" s="2431"/>
      <c r="V451" s="2431"/>
      <c r="W451" s="2431"/>
      <c r="X451" s="2431"/>
      <c r="Y451" s="2431"/>
      <c r="Z451" s="2431"/>
      <c r="AA451" s="2431"/>
      <c r="AB451" s="2431"/>
      <c r="AC451" s="2431"/>
      <c r="AD451" s="2431"/>
      <c r="AE451" s="2431"/>
      <c r="AF451" s="2431"/>
      <c r="AG451" s="2431"/>
      <c r="AH451" s="2431"/>
      <c r="AI451" s="2431"/>
      <c r="AJ451" s="243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7">
        <f>'Sources and Uses Budget'!B105/Application!AG436</f>
        <v>397328.15384615387</v>
      </c>
      <c r="AD453" s="2537"/>
      <c r="AE453" s="2537"/>
      <c r="AF453" s="25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7">
        <f>'Sources and Uses Budget'!C105/Application!AG436</f>
        <v>397328.15384615387</v>
      </c>
      <c r="AD454" s="2537"/>
      <c r="AE454" s="2537"/>
      <c r="AF454" s="25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7">
        <f>('Sources and Uses Budget'!$S$107+'Sources and Uses Budget'!$T$107)/Application!AG436</f>
        <v>340737.2</v>
      </c>
      <c r="AD455" s="2537"/>
      <c r="AE455" s="2537"/>
      <c r="AF455" s="25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85" t="s">
        <v>731</v>
      </c>
      <c r="E464" s="2486"/>
      <c r="F464" s="2486"/>
      <c r="G464" s="2486"/>
      <c r="H464" s="2486"/>
      <c r="I464" s="2486"/>
      <c r="J464" s="2486"/>
      <c r="K464" s="2486"/>
      <c r="L464" s="2486"/>
      <c r="M464" s="2486"/>
      <c r="N464" s="2486"/>
      <c r="O464" s="2486"/>
      <c r="P464" s="2486"/>
      <c r="Q464" s="2486"/>
      <c r="R464" s="2486"/>
      <c r="S464" s="2486"/>
      <c r="T464" s="2486"/>
      <c r="U464" s="2486"/>
      <c r="V464" s="2487"/>
      <c r="W464" s="2437">
        <v>7</v>
      </c>
      <c r="X464" s="2433"/>
      <c r="Y464" s="24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85" t="s">
        <v>732</v>
      </c>
      <c r="E465" s="2486"/>
      <c r="F465" s="2486"/>
      <c r="G465" s="2486"/>
      <c r="H465" s="2486"/>
      <c r="I465" s="2486"/>
      <c r="J465" s="2486"/>
      <c r="K465" s="2486"/>
      <c r="L465" s="2486"/>
      <c r="M465" s="2486"/>
      <c r="N465" s="2486"/>
      <c r="O465" s="2486"/>
      <c r="P465" s="2486"/>
      <c r="Q465" s="2486"/>
      <c r="R465" s="2486"/>
      <c r="S465" s="2486"/>
      <c r="T465" s="2486"/>
      <c r="U465" s="2486"/>
      <c r="V465" s="2487"/>
      <c r="W465" s="2432" t="s">
        <v>626</v>
      </c>
      <c r="X465" s="2433"/>
      <c r="Y465" s="24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85" t="s">
        <v>733</v>
      </c>
      <c r="E466" s="2486"/>
      <c r="F466" s="2486"/>
      <c r="G466" s="2486"/>
      <c r="H466" s="2486"/>
      <c r="I466" s="2486"/>
      <c r="J466" s="2486"/>
      <c r="K466" s="2486"/>
      <c r="L466" s="2486"/>
      <c r="M466" s="2486"/>
      <c r="N466" s="2486"/>
      <c r="O466" s="2486"/>
      <c r="P466" s="2486"/>
      <c r="Q466" s="2486"/>
      <c r="R466" s="2486"/>
      <c r="S466" s="2486"/>
      <c r="T466" s="2486"/>
      <c r="U466" s="2486"/>
      <c r="V466" s="2487"/>
      <c r="W466" s="2432" t="s">
        <v>626</v>
      </c>
      <c r="X466" s="2433"/>
      <c r="Y466" s="24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85" t="s">
        <v>734</v>
      </c>
      <c r="E467" s="2486"/>
      <c r="F467" s="2486"/>
      <c r="G467" s="2486"/>
      <c r="H467" s="2486"/>
      <c r="I467" s="2486"/>
      <c r="J467" s="2486"/>
      <c r="K467" s="2486"/>
      <c r="L467" s="2486"/>
      <c r="M467" s="2486"/>
      <c r="N467" s="2486"/>
      <c r="O467" s="2486"/>
      <c r="P467" s="2486"/>
      <c r="Q467" s="2486"/>
      <c r="R467" s="2486"/>
      <c r="S467" s="2486"/>
      <c r="T467" s="2486"/>
      <c r="U467" s="2486"/>
      <c r="V467" s="2487"/>
      <c r="W467" s="2432" t="s">
        <v>626</v>
      </c>
      <c r="X467" s="2433"/>
      <c r="Y467" s="24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85" t="s">
        <v>946</v>
      </c>
      <c r="E468" s="2486"/>
      <c r="F468" s="2486"/>
      <c r="G468" s="2486"/>
      <c r="H468" s="2486"/>
      <c r="I468" s="2486"/>
      <c r="J468" s="2486"/>
      <c r="K468" s="2486"/>
      <c r="L468" s="2486"/>
      <c r="M468" s="2486"/>
      <c r="N468" s="2486"/>
      <c r="O468" s="2486"/>
      <c r="P468" s="2486"/>
      <c r="Q468" s="2486"/>
      <c r="R468" s="2486"/>
      <c r="S468" s="2486"/>
      <c r="T468" s="2486"/>
      <c r="U468" s="2486"/>
      <c r="V468" s="2487"/>
      <c r="W468" s="2432" t="s">
        <v>626</v>
      </c>
      <c r="X468" s="2433"/>
      <c r="Y468" s="24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85" t="s">
        <v>735</v>
      </c>
      <c r="E469" s="2486"/>
      <c r="F469" s="2486"/>
      <c r="G469" s="2486"/>
      <c r="H469" s="2486"/>
      <c r="I469" s="2486"/>
      <c r="J469" s="2486"/>
      <c r="K469" s="2486"/>
      <c r="L469" s="2486"/>
      <c r="M469" s="2486"/>
      <c r="N469" s="2486"/>
      <c r="O469" s="2486"/>
      <c r="P469" s="2486"/>
      <c r="Q469" s="2486"/>
      <c r="R469" s="2486"/>
      <c r="S469" s="2486"/>
      <c r="T469" s="2486"/>
      <c r="U469" s="2486"/>
      <c r="V469" s="2487"/>
      <c r="W469" s="2432" t="s">
        <v>626</v>
      </c>
      <c r="X469" s="2433"/>
      <c r="Y469" s="24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85" t="s">
        <v>1118</v>
      </c>
      <c r="E470" s="2486"/>
      <c r="F470" s="2486"/>
      <c r="G470" s="2486"/>
      <c r="H470" s="2486"/>
      <c r="I470" s="2486"/>
      <c r="J470" s="2486"/>
      <c r="K470" s="2486"/>
      <c r="L470" s="2486"/>
      <c r="M470" s="2486"/>
      <c r="N470" s="2486"/>
      <c r="O470" s="2486"/>
      <c r="P470" s="2486"/>
      <c r="Q470" s="2486"/>
      <c r="R470" s="2486"/>
      <c r="S470" s="2486"/>
      <c r="T470" s="2486"/>
      <c r="U470" s="2486"/>
      <c r="V470" s="2487"/>
      <c r="W470" s="2432" t="s">
        <v>626</v>
      </c>
      <c r="X470" s="2433"/>
      <c r="Y470" s="24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58" t="s">
        <v>2007</v>
      </c>
      <c r="E471" s="2486"/>
      <c r="F471" s="2486"/>
      <c r="G471" s="2486"/>
      <c r="H471" s="2486"/>
      <c r="I471" s="2486"/>
      <c r="J471" s="2486"/>
      <c r="K471" s="2486"/>
      <c r="L471" s="2486"/>
      <c r="M471" s="2486"/>
      <c r="N471" s="2486"/>
      <c r="O471" s="2486"/>
      <c r="P471" s="2486"/>
      <c r="Q471" s="2486"/>
      <c r="R471" s="2486"/>
      <c r="S471" s="2486"/>
      <c r="T471" s="2486"/>
      <c r="U471" s="2486"/>
      <c r="V471" s="2487"/>
      <c r="W471" s="2437">
        <v>10</v>
      </c>
      <c r="X471" s="2433"/>
      <c r="Y471" s="24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55" t="s">
        <v>2533</v>
      </c>
      <c r="H472" s="2556"/>
      <c r="I472" s="2556"/>
      <c r="J472" s="2556"/>
      <c r="K472" s="2556"/>
      <c r="L472" s="2556"/>
      <c r="M472" s="2556"/>
      <c r="N472" s="2556"/>
      <c r="O472" s="2556"/>
      <c r="P472" s="2556"/>
      <c r="Q472" s="2556"/>
      <c r="R472" s="2556"/>
      <c r="S472" s="2556"/>
      <c r="T472" s="2556"/>
      <c r="U472" s="2556"/>
      <c r="V472" s="2557"/>
      <c r="W472" s="2437">
        <v>7</v>
      </c>
      <c r="X472" s="2433"/>
      <c r="Y472" s="24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4" t="s">
        <v>869</v>
      </c>
      <c r="B478" s="2384"/>
      <c r="C478" s="2384"/>
      <c r="D478" s="2384"/>
      <c r="E478" s="2384"/>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G478" s="2384"/>
      <c r="AH478" s="2384"/>
      <c r="AI478" s="2384"/>
      <c r="AJ478" s="2384"/>
      <c r="AK478" s="2384"/>
      <c r="AL478" s="23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5"/>
      <c r="B479" s="2385"/>
      <c r="C479" s="2385"/>
      <c r="D479" s="2385"/>
      <c r="E479" s="2385"/>
      <c r="F479" s="2385"/>
      <c r="G479" s="2385"/>
      <c r="H479" s="2385"/>
      <c r="I479" s="2385"/>
      <c r="J479" s="2385"/>
      <c r="K479" s="2385"/>
      <c r="L479" s="2385"/>
      <c r="M479" s="2385"/>
      <c r="N479" s="2385"/>
      <c r="O479" s="2385"/>
      <c r="P479" s="2385"/>
      <c r="Q479" s="2385"/>
      <c r="R479" s="2385"/>
      <c r="S479" s="2385"/>
      <c r="T479" s="2385"/>
      <c r="U479" s="2385"/>
      <c r="V479" s="2385"/>
      <c r="W479" s="2385"/>
      <c r="X479" s="2385"/>
      <c r="Y479" s="2385"/>
      <c r="Z479" s="2385"/>
      <c r="AA479" s="2385"/>
      <c r="AB479" s="2385"/>
      <c r="AC479" s="2385"/>
      <c r="AD479" s="2385"/>
      <c r="AE479" s="2385"/>
      <c r="AF479" s="2385"/>
      <c r="AG479" s="2385"/>
      <c r="AH479" s="2385"/>
      <c r="AI479" s="2385"/>
      <c r="AJ479" s="2385"/>
      <c r="AK479" s="2385"/>
      <c r="AL479" s="23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35" t="s">
        <v>870</v>
      </c>
      <c r="U483" s="2436"/>
      <c r="V483" s="2436"/>
      <c r="W483" s="2436"/>
      <c r="X483" s="2436"/>
      <c r="Y483" s="2436"/>
      <c r="Z483" s="2436"/>
      <c r="AA483" s="2436"/>
      <c r="AB483" s="2436"/>
      <c r="AC483" s="2436"/>
      <c r="AD483" s="2436"/>
      <c r="AE483" s="2436"/>
      <c r="AF483" s="2436"/>
      <c r="AG483" s="2436"/>
      <c r="AH483" s="25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500" t="s">
        <v>36</v>
      </c>
      <c r="U484" s="2500"/>
      <c r="V484" s="2500"/>
      <c r="W484" s="2500"/>
      <c r="X484" s="2500"/>
      <c r="Y484" s="2500" t="s">
        <v>37</v>
      </c>
      <c r="Z484" s="2500"/>
      <c r="AA484" s="2500"/>
      <c r="AB484" s="2500"/>
      <c r="AC484" s="2500"/>
      <c r="AD484" s="2500" t="s">
        <v>348</v>
      </c>
      <c r="AE484" s="2500"/>
      <c r="AF484" s="2500"/>
      <c r="AG484" s="2500"/>
      <c r="AH484" s="250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500"/>
      <c r="U485" s="2500"/>
      <c r="V485" s="2500"/>
      <c r="W485" s="2500"/>
      <c r="X485" s="2500"/>
      <c r="Y485" s="2500"/>
      <c r="Z485" s="2500"/>
      <c r="AA485" s="2500"/>
      <c r="AB485" s="2500"/>
      <c r="AC485" s="2500"/>
      <c r="AD485" s="2500"/>
      <c r="AE485" s="2500"/>
      <c r="AF485" s="2500"/>
      <c r="AG485" s="2500"/>
      <c r="AH485" s="250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25"/>
      <c r="U486" s="2425"/>
      <c r="V486" s="2425"/>
      <c r="W486" s="2425"/>
      <c r="X486" s="2425"/>
      <c r="Y486" s="2425"/>
      <c r="Z486" s="2425"/>
      <c r="AA486" s="2425"/>
      <c r="AB486" s="2425"/>
      <c r="AC486" s="2425"/>
      <c r="AD486" s="2425">
        <v>43851</v>
      </c>
      <c r="AE486" s="2425"/>
      <c r="AF486" s="2425"/>
      <c r="AG486" s="2425"/>
      <c r="AH486" s="242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25" t="s">
        <v>626</v>
      </c>
      <c r="U487" s="2425"/>
      <c r="V487" s="2425"/>
      <c r="W487" s="2425"/>
      <c r="X487" s="2425"/>
      <c r="Y487" s="2425"/>
      <c r="Z487" s="2425"/>
      <c r="AA487" s="2425"/>
      <c r="AB487" s="2425"/>
      <c r="AC487" s="2425"/>
      <c r="AD487" s="2425"/>
      <c r="AE487" s="2425"/>
      <c r="AF487" s="2425"/>
      <c r="AG487" s="2425"/>
      <c r="AH487" s="242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25" t="s">
        <v>626</v>
      </c>
      <c r="U488" s="2425"/>
      <c r="V488" s="2425"/>
      <c r="W488" s="2425"/>
      <c r="X488" s="2425"/>
      <c r="Y488" s="2425"/>
      <c r="Z488" s="2425"/>
      <c r="AA488" s="2425"/>
      <c r="AB488" s="2425"/>
      <c r="AC488" s="2425"/>
      <c r="AD488" s="2425"/>
      <c r="AE488" s="2425"/>
      <c r="AF488" s="2425"/>
      <c r="AG488" s="2425"/>
      <c r="AH488" s="242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25" t="s">
        <v>626</v>
      </c>
      <c r="U489" s="2425"/>
      <c r="V489" s="2425"/>
      <c r="W489" s="2425"/>
      <c r="X489" s="2425"/>
      <c r="Y489" s="2425"/>
      <c r="Z489" s="2425"/>
      <c r="AA489" s="2425"/>
      <c r="AB489" s="2425"/>
      <c r="AC489" s="2425"/>
      <c r="AD489" s="2425"/>
      <c r="AE489" s="2425"/>
      <c r="AF489" s="2425"/>
      <c r="AG489" s="2425"/>
      <c r="AH489" s="242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25" t="s">
        <v>626</v>
      </c>
      <c r="U490" s="2425"/>
      <c r="V490" s="2425"/>
      <c r="W490" s="2425"/>
      <c r="X490" s="2425"/>
      <c r="Y490" s="2425"/>
      <c r="Z490" s="2425"/>
      <c r="AA490" s="2425"/>
      <c r="AB490" s="2425"/>
      <c r="AC490" s="2425"/>
      <c r="AD490" s="2425"/>
      <c r="AE490" s="2425"/>
      <c r="AF490" s="2425"/>
      <c r="AG490" s="2425"/>
      <c r="AH490" s="242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25" t="s">
        <v>626</v>
      </c>
      <c r="U491" s="2425"/>
      <c r="V491" s="2425"/>
      <c r="W491" s="2425"/>
      <c r="X491" s="2425"/>
      <c r="Y491" s="2425"/>
      <c r="Z491" s="2425"/>
      <c r="AA491" s="2425"/>
      <c r="AB491" s="2425"/>
      <c r="AC491" s="2425"/>
      <c r="AD491" s="2425"/>
      <c r="AE491" s="2425"/>
      <c r="AF491" s="2425"/>
      <c r="AG491" s="2425"/>
      <c r="AH491" s="242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25">
        <v>0</v>
      </c>
      <c r="U492" s="2425"/>
      <c r="V492" s="2425"/>
      <c r="W492" s="2425"/>
      <c r="X492" s="2425"/>
      <c r="Y492" s="2425"/>
      <c r="Z492" s="2425"/>
      <c r="AA492" s="2425"/>
      <c r="AB492" s="2425"/>
      <c r="AC492" s="2425"/>
      <c r="AD492" s="2425">
        <v>44427</v>
      </c>
      <c r="AE492" s="2425"/>
      <c r="AF492" s="2425"/>
      <c r="AG492" s="2425"/>
      <c r="AH492" s="242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25" t="s">
        <v>626</v>
      </c>
      <c r="U493" s="2425"/>
      <c r="V493" s="2425"/>
      <c r="W493" s="2425"/>
      <c r="X493" s="2425"/>
      <c r="Y493" s="2425">
        <v>0</v>
      </c>
      <c r="Z493" s="2425"/>
      <c r="AA493" s="2425"/>
      <c r="AB493" s="2425"/>
      <c r="AC493" s="2425"/>
      <c r="AD493" s="2425"/>
      <c r="AE493" s="2425"/>
      <c r="AF493" s="2425"/>
      <c r="AG493" s="2425"/>
      <c r="AH493" s="242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25" t="s">
        <v>626</v>
      </c>
      <c r="U494" s="2425"/>
      <c r="V494" s="2425"/>
      <c r="W494" s="2425"/>
      <c r="X494" s="2425"/>
      <c r="Y494" s="2425">
        <v>0</v>
      </c>
      <c r="Z494" s="2425"/>
      <c r="AA494" s="2425"/>
      <c r="AB494" s="2425"/>
      <c r="AC494" s="2425"/>
      <c r="AD494" s="2425"/>
      <c r="AE494" s="2425"/>
      <c r="AF494" s="2425"/>
      <c r="AG494" s="2425"/>
      <c r="AH494" s="242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425" t="s">
        <v>626</v>
      </c>
      <c r="U495" s="2425"/>
      <c r="V495" s="2425"/>
      <c r="W495" s="2425"/>
      <c r="X495" s="2425"/>
      <c r="Y495" s="2425">
        <v>0</v>
      </c>
      <c r="Z495" s="2425"/>
      <c r="AA495" s="2425"/>
      <c r="AB495" s="2425"/>
      <c r="AC495" s="2425"/>
      <c r="AD495" s="2425">
        <v>0</v>
      </c>
      <c r="AE495" s="2425"/>
      <c r="AF495" s="2425"/>
      <c r="AG495" s="2425"/>
      <c r="AH495" s="242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15" t="s">
        <v>414</v>
      </c>
      <c r="R497" s="2516"/>
      <c r="S497" s="2516"/>
      <c r="T497" s="2516"/>
      <c r="U497" s="2516"/>
      <c r="V497" s="2516"/>
      <c r="W497" s="2516"/>
      <c r="X497" s="2516"/>
      <c r="Y497" s="2516"/>
      <c r="Z497" s="2516"/>
      <c r="AA497" s="2516"/>
      <c r="AB497" s="2516"/>
      <c r="AC497" s="2516"/>
      <c r="AD497" s="2516"/>
      <c r="AE497" s="2516"/>
      <c r="AF497" s="2516"/>
      <c r="AG497" s="2516"/>
      <c r="AH497" s="2516"/>
      <c r="AI497" s="2516"/>
      <c r="AJ497" s="2516"/>
      <c r="AK497" s="25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61" t="s">
        <v>2619</v>
      </c>
      <c r="R498" s="2048"/>
      <c r="S498" s="2048"/>
      <c r="T498" s="2048"/>
      <c r="U498" s="2048"/>
      <c r="V498" s="2048"/>
      <c r="W498" s="2048"/>
      <c r="X498" s="2048"/>
      <c r="Y498" s="2048"/>
      <c r="Z498" s="2048"/>
      <c r="AA498" s="2048"/>
      <c r="AB498" s="2048"/>
      <c r="AC498" s="2048"/>
      <c r="AD498" s="2048"/>
      <c r="AE498" s="2048"/>
      <c r="AF498" s="2048"/>
      <c r="AG498" s="2048"/>
      <c r="AH498" s="2048"/>
      <c r="AI498" s="2048"/>
      <c r="AJ498" s="2048"/>
      <c r="AK498" s="23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61" t="s">
        <v>2619</v>
      </c>
      <c r="R499" s="2048"/>
      <c r="S499" s="2048"/>
      <c r="T499" s="2048"/>
      <c r="U499" s="2048"/>
      <c r="V499" s="2048"/>
      <c r="W499" s="2048"/>
      <c r="X499" s="2048"/>
      <c r="Y499" s="2048"/>
      <c r="Z499" s="2048"/>
      <c r="AA499" s="2048"/>
      <c r="AB499" s="2048"/>
      <c r="AC499" s="2048"/>
      <c r="AD499" s="2048"/>
      <c r="AE499" s="2048"/>
      <c r="AF499" s="2048"/>
      <c r="AG499" s="2048"/>
      <c r="AH499" s="2048"/>
      <c r="AI499" s="2048"/>
      <c r="AJ499" s="2048"/>
      <c r="AK499" s="23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61" t="s">
        <v>2619</v>
      </c>
      <c r="R500" s="2048"/>
      <c r="S500" s="2048"/>
      <c r="T500" s="2048"/>
      <c r="U500" s="2048"/>
      <c r="V500" s="2048"/>
      <c r="W500" s="2048"/>
      <c r="X500" s="2048"/>
      <c r="Y500" s="2048"/>
      <c r="Z500" s="2048"/>
      <c r="AA500" s="2048"/>
      <c r="AB500" s="2048"/>
      <c r="AC500" s="2048"/>
      <c r="AD500" s="2048"/>
      <c r="AE500" s="2048"/>
      <c r="AF500" s="2048"/>
      <c r="AG500" s="2048"/>
      <c r="AH500" s="2048"/>
      <c r="AI500" s="2048"/>
      <c r="AJ500" s="2048"/>
      <c r="AK500" s="236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1" t="s">
        <v>418</v>
      </c>
      <c r="C501" s="2502"/>
      <c r="D501" s="2502"/>
      <c r="E501" s="2502"/>
      <c r="F501" s="2502"/>
      <c r="G501" s="2502"/>
      <c r="H501" s="2502"/>
      <c r="I501" s="2502"/>
      <c r="J501" s="2502"/>
      <c r="K501" s="2502"/>
      <c r="L501" s="2502"/>
      <c r="M501" s="2502"/>
      <c r="N501" s="2502"/>
      <c r="O501" s="2502"/>
      <c r="P501" s="2503"/>
      <c r="Q501" s="2508" t="s">
        <v>706</v>
      </c>
      <c r="R501" s="2509"/>
      <c r="S501" s="2316" t="s">
        <v>171</v>
      </c>
      <c r="T501" s="2317"/>
      <c r="U501" s="2317"/>
      <c r="V501" s="2317"/>
      <c r="W501" s="2317"/>
      <c r="X501" s="2317"/>
      <c r="Y501" s="2317"/>
      <c r="Z501" s="2317"/>
      <c r="AA501" s="2317"/>
      <c r="AB501" s="2317"/>
      <c r="AC501" s="2317"/>
      <c r="AD501" s="2317"/>
      <c r="AE501" s="2317"/>
      <c r="AF501" s="2317"/>
      <c r="AG501" s="2317"/>
      <c r="AH501" s="2317"/>
      <c r="AI501" s="2317"/>
      <c r="AJ501" s="2317"/>
      <c r="AK501" s="231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4"/>
      <c r="C502" s="2505"/>
      <c r="D502" s="2505"/>
      <c r="E502" s="2505"/>
      <c r="F502" s="2505"/>
      <c r="G502" s="2505"/>
      <c r="H502" s="2505"/>
      <c r="I502" s="2505"/>
      <c r="J502" s="2505"/>
      <c r="K502" s="2505"/>
      <c r="L502" s="2505"/>
      <c r="M502" s="2505"/>
      <c r="N502" s="2505"/>
      <c r="O502" s="2505"/>
      <c r="P502" s="2506"/>
      <c r="Q502" s="2510"/>
      <c r="R502" s="2511"/>
      <c r="S502" s="2319"/>
      <c r="T502" s="2320"/>
      <c r="U502" s="2320"/>
      <c r="V502" s="2320"/>
      <c r="W502" s="2320"/>
      <c r="X502" s="2320"/>
      <c r="Y502" s="2320"/>
      <c r="Z502" s="2320"/>
      <c r="AA502" s="2320"/>
      <c r="AB502" s="2320"/>
      <c r="AC502" s="2320"/>
      <c r="AD502" s="2320"/>
      <c r="AE502" s="2320"/>
      <c r="AF502" s="2320"/>
      <c r="AG502" s="2320"/>
      <c r="AH502" s="2320"/>
      <c r="AI502" s="2320"/>
      <c r="AJ502" s="2320"/>
      <c r="AK502" s="232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65" t="s">
        <v>578</v>
      </c>
      <c r="R503" s="2566"/>
      <c r="S503" s="2566"/>
      <c r="T503" s="2566"/>
      <c r="U503" s="2566"/>
      <c r="V503" s="2566"/>
      <c r="W503" s="2566"/>
      <c r="X503" s="2566"/>
      <c r="Y503" s="2566"/>
      <c r="Z503" s="2566"/>
      <c r="AA503" s="2566"/>
      <c r="AB503" s="2566"/>
      <c r="AC503" s="2566"/>
      <c r="AD503" s="2566"/>
      <c r="AE503" s="2566"/>
      <c r="AF503" s="2566"/>
      <c r="AG503" s="2566"/>
      <c r="AH503" s="2566"/>
      <c r="AI503" s="2566"/>
      <c r="AJ503" s="2566"/>
      <c r="AK503" s="25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1" t="s">
        <v>2620</v>
      </c>
      <c r="R504" s="2048"/>
      <c r="S504" s="2048"/>
      <c r="T504" s="2048"/>
      <c r="U504" s="2048"/>
      <c r="V504" s="2048"/>
      <c r="W504" s="2048"/>
      <c r="X504" s="2048"/>
      <c r="Y504" s="2048"/>
      <c r="Z504" s="2048"/>
      <c r="AA504" s="2048"/>
      <c r="AB504" s="2048"/>
      <c r="AC504" s="2048"/>
      <c r="AD504" s="2048"/>
      <c r="AE504" s="2048"/>
      <c r="AF504" s="2048"/>
      <c r="AG504" s="2048"/>
      <c r="AH504" s="2048"/>
      <c r="AI504" s="2048"/>
      <c r="AJ504" s="2048"/>
      <c r="AK504" s="23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61" t="s">
        <v>2621</v>
      </c>
      <c r="R505" s="2048"/>
      <c r="S505" s="2048"/>
      <c r="T505" s="2048"/>
      <c r="U505" s="2048"/>
      <c r="V505" s="2048"/>
      <c r="W505" s="2048"/>
      <c r="X505" s="2048"/>
      <c r="Y505" s="2048"/>
      <c r="Z505" s="2048"/>
      <c r="AA505" s="2048"/>
      <c r="AB505" s="2048"/>
      <c r="AC505" s="2048"/>
      <c r="AD505" s="2048"/>
      <c r="AE505" s="2048"/>
      <c r="AF505" s="2048"/>
      <c r="AG505" s="2048"/>
      <c r="AH505" s="2048"/>
      <c r="AI505" s="2048"/>
      <c r="AJ505" s="2048"/>
      <c r="AK505" s="23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2024</v>
      </c>
      <c r="C506" s="77"/>
      <c r="D506" s="77"/>
      <c r="E506" s="77"/>
      <c r="F506" s="77"/>
      <c r="G506" s="77"/>
      <c r="H506" s="77"/>
      <c r="I506" s="77"/>
      <c r="J506" s="77"/>
      <c r="K506" s="77"/>
      <c r="L506" s="77"/>
      <c r="M506" s="77"/>
      <c r="N506" s="77"/>
      <c r="O506" s="77"/>
      <c r="P506" s="77"/>
      <c r="Q506" s="2361" t="s">
        <v>2534</v>
      </c>
      <c r="R506" s="2048"/>
      <c r="S506" s="2048"/>
      <c r="T506" s="2048"/>
      <c r="U506" s="2048"/>
      <c r="V506" s="2048"/>
      <c r="W506" s="2048"/>
      <c r="X506" s="2048"/>
      <c r="Y506" s="2048"/>
      <c r="Z506" s="2048"/>
      <c r="AA506" s="2048"/>
      <c r="AB506" s="2048"/>
      <c r="AC506" s="2048"/>
      <c r="AD506" s="2048"/>
      <c r="AE506" s="2048"/>
      <c r="AF506" s="2048"/>
      <c r="AG506" s="2048"/>
      <c r="AH506" s="2048"/>
      <c r="AI506" s="2048"/>
      <c r="AJ506" s="2048"/>
      <c r="AK506" s="23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2025</v>
      </c>
      <c r="C507" s="77"/>
      <c r="D507" s="77"/>
      <c r="E507" s="77"/>
      <c r="F507" s="77"/>
      <c r="G507" s="77"/>
      <c r="H507" s="77"/>
      <c r="I507" s="77"/>
      <c r="J507" s="77"/>
      <c r="K507" s="77"/>
      <c r="L507" s="77"/>
      <c r="M507" s="2055">
        <v>0</v>
      </c>
      <c r="N507" s="2056"/>
      <c r="O507" s="2056"/>
      <c r="P507" s="2057"/>
      <c r="Q507" s="1521" t="s">
        <v>2026</v>
      </c>
      <c r="R507" s="1522"/>
      <c r="S507" s="1522"/>
      <c r="T507" s="1522"/>
      <c r="U507" s="1522"/>
      <c r="V507" s="1522"/>
      <c r="W507" s="1522"/>
      <c r="X507" s="1522"/>
      <c r="Y507" s="1522"/>
      <c r="Z507" s="1522"/>
      <c r="AA507" s="1522"/>
      <c r="AB507" s="1522"/>
      <c r="AC507" s="1522"/>
      <c r="AD507" s="1522"/>
      <c r="AE507" s="1522"/>
      <c r="AF507" s="1522"/>
      <c r="AG507" s="1522"/>
      <c r="AH507" s="2055">
        <v>76</v>
      </c>
      <c r="AI507" s="2056"/>
      <c r="AJ507" s="2056"/>
      <c r="AK507" s="205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5" t="s">
        <v>422</v>
      </c>
      <c r="AD511" s="2516"/>
      <c r="AE511" s="2516"/>
      <c r="AF511" s="2516"/>
      <c r="AG511" s="2516"/>
      <c r="AH511" s="2516"/>
      <c r="AI511" s="2516"/>
      <c r="AJ511" s="2516"/>
      <c r="AK511" s="25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5" t="s">
        <v>423</v>
      </c>
      <c r="AD512" s="2436"/>
      <c r="AE512" s="2436"/>
      <c r="AF512" s="2436"/>
      <c r="AG512" s="82" t="s">
        <v>424</v>
      </c>
      <c r="AH512" s="2436" t="s">
        <v>425</v>
      </c>
      <c r="AI512" s="2436"/>
      <c r="AJ512" s="2436"/>
      <c r="AK512" s="25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8" t="s">
        <v>426</v>
      </c>
      <c r="C513" s="2489"/>
      <c r="D513" s="2489"/>
      <c r="E513" s="2489"/>
      <c r="F513" s="2489"/>
      <c r="G513" s="2489"/>
      <c r="H513" s="2490"/>
      <c r="I513" s="72" t="s">
        <v>427</v>
      </c>
      <c r="J513" s="72"/>
      <c r="K513" s="72"/>
      <c r="L513" s="72"/>
      <c r="M513" s="72"/>
      <c r="N513" s="72"/>
      <c r="O513" s="72"/>
      <c r="P513" s="72"/>
      <c r="Q513" s="72"/>
      <c r="R513" s="72"/>
      <c r="S513" s="72"/>
      <c r="T513" s="72"/>
      <c r="U513" s="72"/>
      <c r="V513" s="72"/>
      <c r="W513" s="72"/>
      <c r="X513" s="25"/>
      <c r="Y513" s="25"/>
      <c r="AC513" s="2426" t="s">
        <v>626</v>
      </c>
      <c r="AD513" s="2366"/>
      <c r="AE513" s="2366"/>
      <c r="AF513" s="2366"/>
      <c r="AG513" s="75" t="s">
        <v>424</v>
      </c>
      <c r="AH513" s="2209">
        <v>0</v>
      </c>
      <c r="AI513" s="2209"/>
      <c r="AJ513" s="2209"/>
      <c r="AK513" s="22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1"/>
      <c r="C514" s="2492"/>
      <c r="D514" s="2492"/>
      <c r="E514" s="2492"/>
      <c r="F514" s="2492"/>
      <c r="G514" s="2492"/>
      <c r="H514" s="2493"/>
      <c r="I514" s="80" t="s">
        <v>428</v>
      </c>
      <c r="J514" s="80"/>
      <c r="K514" s="80"/>
      <c r="L514" s="80"/>
      <c r="M514" s="80"/>
      <c r="N514" s="80"/>
      <c r="O514" s="80"/>
      <c r="P514" s="80"/>
      <c r="Q514" s="80"/>
      <c r="R514" s="80"/>
      <c r="S514" s="80"/>
      <c r="T514" s="80"/>
      <c r="U514" s="80"/>
      <c r="V514" s="80"/>
      <c r="W514" s="80"/>
      <c r="X514" s="80"/>
      <c r="Y514" s="80"/>
      <c r="Z514" s="80"/>
      <c r="AA514" s="80"/>
      <c r="AB514" s="80"/>
      <c r="AC514" s="2426">
        <v>5</v>
      </c>
      <c r="AD514" s="2366"/>
      <c r="AE514" s="2366"/>
      <c r="AF514" s="2366"/>
      <c r="AG514" s="65" t="s">
        <v>424</v>
      </c>
      <c r="AH514" s="2209">
        <v>2022</v>
      </c>
      <c r="AI514" s="2209"/>
      <c r="AJ514" s="2209"/>
      <c r="AK514" s="22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8" t="s">
        <v>429</v>
      </c>
      <c r="C515" s="2489"/>
      <c r="D515" s="2489"/>
      <c r="E515" s="2489"/>
      <c r="F515" s="2489"/>
      <c r="G515" s="2489"/>
      <c r="H515" s="2490"/>
      <c r="I515" s="72" t="s">
        <v>430</v>
      </c>
      <c r="J515" s="72"/>
      <c r="K515" s="72"/>
      <c r="L515" s="72"/>
      <c r="M515" s="72"/>
      <c r="N515" s="72"/>
      <c r="O515" s="72"/>
      <c r="P515" s="72"/>
      <c r="Q515" s="72"/>
      <c r="R515" s="72"/>
      <c r="S515" s="72"/>
      <c r="T515" s="72"/>
      <c r="U515" s="72"/>
      <c r="V515" s="72"/>
      <c r="W515" s="72"/>
      <c r="X515" s="25"/>
      <c r="Y515" s="25"/>
      <c r="AC515" s="2426" t="s">
        <v>626</v>
      </c>
      <c r="AD515" s="2366"/>
      <c r="AE515" s="2366"/>
      <c r="AF515" s="2366"/>
      <c r="AG515" s="75" t="s">
        <v>424</v>
      </c>
      <c r="AH515" s="2209"/>
      <c r="AI515" s="2209"/>
      <c r="AJ515" s="2209"/>
      <c r="AK515" s="22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1"/>
      <c r="C516" s="2492"/>
      <c r="D516" s="2492"/>
      <c r="E516" s="2492"/>
      <c r="F516" s="2492"/>
      <c r="G516" s="2492"/>
      <c r="H516" s="2493"/>
      <c r="I516" s="25" t="s">
        <v>431</v>
      </c>
      <c r="J516" s="25"/>
      <c r="K516" s="25"/>
      <c r="L516" s="25"/>
      <c r="M516" s="25"/>
      <c r="N516" s="25"/>
      <c r="O516" s="25"/>
      <c r="P516" s="25"/>
      <c r="Q516" s="25"/>
      <c r="R516" s="25"/>
      <c r="S516" s="25"/>
      <c r="T516" s="25"/>
      <c r="U516" s="25"/>
      <c r="V516" s="25"/>
      <c r="W516" s="25"/>
      <c r="X516" s="25"/>
      <c r="Y516" s="25"/>
      <c r="AC516" s="2426" t="s">
        <v>626</v>
      </c>
      <c r="AD516" s="2366"/>
      <c r="AE516" s="2366"/>
      <c r="AF516" s="2366"/>
      <c r="AG516" s="75" t="s">
        <v>424</v>
      </c>
      <c r="AH516" s="2209"/>
      <c r="AI516" s="2209"/>
      <c r="AJ516" s="2209"/>
      <c r="AK516" s="22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1"/>
      <c r="C517" s="2492"/>
      <c r="D517" s="2492"/>
      <c r="E517" s="2492"/>
      <c r="F517" s="2492"/>
      <c r="G517" s="2492"/>
      <c r="H517" s="2493"/>
      <c r="I517" s="25" t="s">
        <v>432</v>
      </c>
      <c r="J517" s="25"/>
      <c r="K517" s="25"/>
      <c r="L517" s="25"/>
      <c r="M517" s="25"/>
      <c r="N517" s="25"/>
      <c r="O517" s="25"/>
      <c r="P517" s="25"/>
      <c r="Q517" s="25"/>
      <c r="R517" s="25"/>
      <c r="S517" s="25"/>
      <c r="T517" s="25"/>
      <c r="U517" s="25"/>
      <c r="V517" s="25"/>
      <c r="W517" s="25"/>
      <c r="X517" s="25"/>
      <c r="Y517" s="25"/>
      <c r="AC517" s="2426" t="s">
        <v>626</v>
      </c>
      <c r="AD517" s="2366"/>
      <c r="AE517" s="2366"/>
      <c r="AF517" s="2366"/>
      <c r="AG517" s="75" t="s">
        <v>424</v>
      </c>
      <c r="AH517" s="2209"/>
      <c r="AI517" s="2209"/>
      <c r="AJ517" s="2209"/>
      <c r="AK517" s="22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91"/>
      <c r="C518" s="2492"/>
      <c r="D518" s="2492"/>
      <c r="E518" s="2492"/>
      <c r="F518" s="2492"/>
      <c r="G518" s="2492"/>
      <c r="H518" s="2493"/>
      <c r="I518" s="25" t="s">
        <v>433</v>
      </c>
      <c r="J518" s="25"/>
      <c r="K518" s="25"/>
      <c r="L518" s="25"/>
      <c r="M518" s="25"/>
      <c r="N518" s="25"/>
      <c r="O518" s="25"/>
      <c r="P518" s="25"/>
      <c r="Q518" s="25"/>
      <c r="R518" s="25"/>
      <c r="S518" s="25"/>
      <c r="T518" s="25"/>
      <c r="U518" s="25"/>
      <c r="V518" s="25"/>
      <c r="W518" s="25"/>
      <c r="X518" s="25"/>
      <c r="Y518" s="25"/>
      <c r="AC518" s="2426">
        <v>5</v>
      </c>
      <c r="AD518" s="2366"/>
      <c r="AE518" s="2366"/>
      <c r="AF518" s="2366"/>
      <c r="AG518" s="75" t="s">
        <v>424</v>
      </c>
      <c r="AH518" s="2209">
        <v>2022</v>
      </c>
      <c r="AI518" s="2209"/>
      <c r="AJ518" s="2209"/>
      <c r="AK518" s="22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1"/>
      <c r="C519" s="2492"/>
      <c r="D519" s="2492"/>
      <c r="E519" s="2492"/>
      <c r="F519" s="2492"/>
      <c r="G519" s="2492"/>
      <c r="H519" s="2493"/>
      <c r="I519" s="177" t="s">
        <v>434</v>
      </c>
      <c r="J519" s="25"/>
      <c r="K519" s="25"/>
      <c r="L519" s="25"/>
      <c r="M519" s="25"/>
      <c r="N519" s="25"/>
      <c r="O519" s="25"/>
      <c r="P519" s="25"/>
      <c r="Q519" s="25"/>
      <c r="R519" s="25"/>
      <c r="S519" s="25"/>
      <c r="T519" s="25"/>
      <c r="U519" s="25"/>
      <c r="V519" s="25"/>
      <c r="W519" s="25"/>
      <c r="X519" s="25"/>
      <c r="Y519" s="25"/>
      <c r="AC519" s="2254">
        <v>5</v>
      </c>
      <c r="AD519" s="2255"/>
      <c r="AE519" s="2255"/>
      <c r="AF519" s="2255"/>
      <c r="AG519" s="75" t="s">
        <v>424</v>
      </c>
      <c r="AH519" s="2209">
        <v>2022</v>
      </c>
      <c r="AI519" s="2209"/>
      <c r="AJ519" s="2209"/>
      <c r="AK519" s="22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1"/>
      <c r="C520" s="2492"/>
      <c r="D520" s="2492"/>
      <c r="E520" s="2492"/>
      <c r="F520" s="2492"/>
      <c r="G520" s="2492"/>
      <c r="H520" s="2493"/>
      <c r="I520" s="1524" t="s">
        <v>175</v>
      </c>
      <c r="J520" s="80"/>
      <c r="K520" s="80"/>
      <c r="L520" s="2518" t="s">
        <v>343</v>
      </c>
      <c r="M520" s="2519"/>
      <c r="N520" s="2519"/>
      <c r="O520" s="2519"/>
      <c r="P520" s="2519"/>
      <c r="Q520" s="2519"/>
      <c r="R520" s="2519"/>
      <c r="S520" s="2519"/>
      <c r="T520" s="2519"/>
      <c r="U520" s="2519"/>
      <c r="V520" s="2519"/>
      <c r="W520" s="2519"/>
      <c r="X520" s="2519"/>
      <c r="Y520" s="2519"/>
      <c r="Z520" s="2519"/>
      <c r="AA520" s="2519"/>
      <c r="AB520" s="2520"/>
      <c r="AC520" s="2426" t="s">
        <v>626</v>
      </c>
      <c r="AD520" s="2366"/>
      <c r="AE520" s="2366"/>
      <c r="AF520" s="2366"/>
      <c r="AG520" s="1495" t="s">
        <v>424</v>
      </c>
      <c r="AH520" s="2209"/>
      <c r="AI520" s="2209"/>
      <c r="AJ520" s="2209"/>
      <c r="AK520" s="22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35" t="s">
        <v>1383</v>
      </c>
      <c r="AD521" s="2535"/>
      <c r="AE521" s="2535"/>
      <c r="AF521" s="2535"/>
      <c r="AG521" s="1787"/>
      <c r="AH521" s="2569"/>
      <c r="AI521" s="2569"/>
      <c r="AJ521" s="2569"/>
      <c r="AK521" s="257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54"/>
      <c r="AD522" s="2255"/>
      <c r="AE522" s="2255"/>
      <c r="AF522" s="2256"/>
      <c r="AG522" s="1787"/>
      <c r="AH522" s="2569"/>
      <c r="AI522" s="2569"/>
      <c r="AJ522" s="2569"/>
      <c r="AK522" s="257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71"/>
      <c r="AD524" s="2572"/>
      <c r="AE524" s="2572"/>
      <c r="AF524" s="2573"/>
      <c r="AG524" s="1788"/>
      <c r="AH524" s="2574"/>
      <c r="AI524" s="2574"/>
      <c r="AJ524" s="2574"/>
      <c r="AK524" s="257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2" t="s">
        <v>423</v>
      </c>
      <c r="AD525" s="2543"/>
      <c r="AE525" s="2543"/>
      <c r="AF525" s="2543"/>
      <c r="AG525" s="1788" t="s">
        <v>424</v>
      </c>
      <c r="AH525" s="2543" t="s">
        <v>425</v>
      </c>
      <c r="AI525" s="2543"/>
      <c r="AJ525" s="2543"/>
      <c r="AK525" s="254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8" t="s">
        <v>435</v>
      </c>
      <c r="C526" s="2489"/>
      <c r="D526" s="2489"/>
      <c r="E526" s="2489"/>
      <c r="F526" s="2489"/>
      <c r="G526" s="2489"/>
      <c r="H526" s="2490"/>
      <c r="I526" s="72" t="s">
        <v>436</v>
      </c>
      <c r="J526" s="72"/>
      <c r="K526" s="72"/>
      <c r="L526" s="72"/>
      <c r="M526" s="72"/>
      <c r="N526" s="72"/>
      <c r="O526" s="72"/>
      <c r="P526" s="72"/>
      <c r="Q526" s="72"/>
      <c r="R526" s="72"/>
      <c r="S526" s="72"/>
      <c r="T526" s="72"/>
      <c r="U526" s="72"/>
      <c r="V526" s="72"/>
      <c r="W526" s="72"/>
      <c r="X526" s="25"/>
      <c r="Y526" s="25"/>
      <c r="AC526" s="2426">
        <v>9</v>
      </c>
      <c r="AD526" s="2366"/>
      <c r="AE526" s="2366"/>
      <c r="AF526" s="2366"/>
      <c r="AG526" s="75" t="s">
        <v>424</v>
      </c>
      <c r="AH526" s="2209">
        <v>2021</v>
      </c>
      <c r="AI526" s="2209"/>
      <c r="AJ526" s="2209"/>
      <c r="AK526" s="22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1"/>
      <c r="C527" s="2492"/>
      <c r="D527" s="2492"/>
      <c r="E527" s="2492"/>
      <c r="F527" s="2492"/>
      <c r="G527" s="2492"/>
      <c r="H527" s="2493"/>
      <c r="I527" s="25" t="s">
        <v>437</v>
      </c>
      <c r="J527" s="25"/>
      <c r="K527" s="25"/>
      <c r="L527" s="25"/>
      <c r="M527" s="25"/>
      <c r="N527" s="25"/>
      <c r="O527" s="25"/>
      <c r="P527" s="25"/>
      <c r="Q527" s="25"/>
      <c r="R527" s="25"/>
      <c r="S527" s="25"/>
      <c r="T527" s="25"/>
      <c r="U527" s="25"/>
      <c r="V527" s="25"/>
      <c r="W527" s="25"/>
      <c r="X527" s="25"/>
      <c r="Y527" s="25"/>
      <c r="AC527" s="2426">
        <v>12</v>
      </c>
      <c r="AD527" s="2366"/>
      <c r="AE527" s="2366"/>
      <c r="AF527" s="2366"/>
      <c r="AG527" s="75" t="s">
        <v>424</v>
      </c>
      <c r="AH527" s="2209">
        <v>2021</v>
      </c>
      <c r="AI527" s="2209"/>
      <c r="AJ527" s="2209"/>
      <c r="AK527" s="22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1"/>
      <c r="C528" s="2492"/>
      <c r="D528" s="2492"/>
      <c r="E528" s="2492"/>
      <c r="F528" s="2492"/>
      <c r="G528" s="2492"/>
      <c r="H528" s="2493"/>
      <c r="I528" s="80" t="s">
        <v>438</v>
      </c>
      <c r="J528" s="80"/>
      <c r="K528" s="80"/>
      <c r="L528" s="80"/>
      <c r="M528" s="80"/>
      <c r="N528" s="80"/>
      <c r="O528" s="80"/>
      <c r="P528" s="80"/>
      <c r="Q528" s="80"/>
      <c r="R528" s="80"/>
      <c r="S528" s="80"/>
      <c r="T528" s="80"/>
      <c r="U528" s="80"/>
      <c r="V528" s="80"/>
      <c r="W528" s="80"/>
      <c r="X528" s="80"/>
      <c r="Y528" s="80"/>
      <c r="Z528" s="80"/>
      <c r="AA528" s="80"/>
      <c r="AB528" s="80"/>
      <c r="AC528" s="2426">
        <v>5</v>
      </c>
      <c r="AD528" s="2366"/>
      <c r="AE528" s="2366"/>
      <c r="AF528" s="2366"/>
      <c r="AG528" s="65" t="s">
        <v>424</v>
      </c>
      <c r="AH528" s="2209">
        <v>2022</v>
      </c>
      <c r="AI528" s="2209"/>
      <c r="AJ528" s="2209"/>
      <c r="AK528" s="22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8" t="s">
        <v>439</v>
      </c>
      <c r="C529" s="2489"/>
      <c r="D529" s="2489"/>
      <c r="E529" s="2489"/>
      <c r="F529" s="2489"/>
      <c r="G529" s="2489"/>
      <c r="H529" s="2490"/>
      <c r="I529" s="72" t="s">
        <v>436</v>
      </c>
      <c r="J529" s="72"/>
      <c r="K529" s="72"/>
      <c r="L529" s="72"/>
      <c r="M529" s="72"/>
      <c r="N529" s="72"/>
      <c r="O529" s="72"/>
      <c r="P529" s="72"/>
      <c r="Q529" s="72"/>
      <c r="R529" s="72"/>
      <c r="S529" s="72"/>
      <c r="T529" s="72"/>
      <c r="U529" s="72"/>
      <c r="V529" s="72"/>
      <c r="W529" s="72"/>
      <c r="X529" s="72"/>
      <c r="Y529" s="72"/>
      <c r="Z529" s="72"/>
      <c r="AA529" s="72"/>
      <c r="AB529" s="72"/>
      <c r="AC529" s="2254">
        <v>9</v>
      </c>
      <c r="AD529" s="2255"/>
      <c r="AE529" s="2255"/>
      <c r="AF529" s="2255"/>
      <c r="AG529" s="196" t="s">
        <v>424</v>
      </c>
      <c r="AH529" s="2209">
        <v>2021</v>
      </c>
      <c r="AI529" s="2209"/>
      <c r="AJ529" s="2209"/>
      <c r="AK529" s="22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1"/>
      <c r="C530" s="2492"/>
      <c r="D530" s="2492"/>
      <c r="E530" s="2492"/>
      <c r="F530" s="2492"/>
      <c r="G530" s="2492"/>
      <c r="H530" s="2493"/>
      <c r="I530" s="25" t="s">
        <v>437</v>
      </c>
      <c r="J530" s="25"/>
      <c r="K530" s="25"/>
      <c r="L530" s="25"/>
      <c r="M530" s="25"/>
      <c r="N530" s="25"/>
      <c r="O530" s="25"/>
      <c r="P530" s="25"/>
      <c r="Q530" s="25"/>
      <c r="R530" s="25"/>
      <c r="S530" s="25"/>
      <c r="T530" s="25"/>
      <c r="U530" s="25"/>
      <c r="V530" s="25"/>
      <c r="W530" s="25"/>
      <c r="X530" s="25"/>
      <c r="Y530" s="25"/>
      <c r="Z530" s="25"/>
      <c r="AA530" s="25"/>
      <c r="AB530" s="25"/>
      <c r="AC530" s="2426">
        <v>12</v>
      </c>
      <c r="AD530" s="2366"/>
      <c r="AE530" s="2366"/>
      <c r="AF530" s="2366"/>
      <c r="AG530" s="75" t="s">
        <v>424</v>
      </c>
      <c r="AH530" s="2209">
        <v>2021</v>
      </c>
      <c r="AI530" s="2209"/>
      <c r="AJ530" s="2209"/>
      <c r="AK530" s="22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4"/>
      <c r="C531" s="2495"/>
      <c r="D531" s="2495"/>
      <c r="E531" s="2495"/>
      <c r="F531" s="2495"/>
      <c r="G531" s="2495"/>
      <c r="H531" s="2496"/>
      <c r="I531" s="80" t="s">
        <v>438</v>
      </c>
      <c r="J531" s="80"/>
      <c r="K531" s="80"/>
      <c r="L531" s="80"/>
      <c r="M531" s="80"/>
      <c r="N531" s="80"/>
      <c r="O531" s="80"/>
      <c r="P531" s="80"/>
      <c r="Q531" s="80"/>
      <c r="R531" s="80"/>
      <c r="S531" s="80"/>
      <c r="T531" s="80"/>
      <c r="U531" s="80"/>
      <c r="V531" s="80"/>
      <c r="W531" s="80"/>
      <c r="X531" s="80"/>
      <c r="Y531" s="80"/>
      <c r="Z531" s="80"/>
      <c r="AA531" s="80"/>
      <c r="AB531" s="80"/>
      <c r="AC531" s="2426">
        <v>5</v>
      </c>
      <c r="AD531" s="2366"/>
      <c r="AE531" s="2366"/>
      <c r="AF531" s="2366"/>
      <c r="AG531" s="65" t="s">
        <v>424</v>
      </c>
      <c r="AH531" s="2209">
        <v>2022</v>
      </c>
      <c r="AI531" s="2209"/>
      <c r="AJ531" s="2209"/>
      <c r="AK531" s="22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8" t="s">
        <v>440</v>
      </c>
      <c r="C532" s="2489"/>
      <c r="D532" s="2489"/>
      <c r="E532" s="2489"/>
      <c r="F532" s="2489"/>
      <c r="G532" s="2489"/>
      <c r="H532" s="2490"/>
      <c r="I532" s="71" t="s">
        <v>441</v>
      </c>
      <c r="J532" s="72"/>
      <c r="K532" s="72"/>
      <c r="L532" s="72"/>
      <c r="M532" s="72"/>
      <c r="N532" s="72"/>
      <c r="O532" s="2048" t="s">
        <v>2611</v>
      </c>
      <c r="P532" s="2048"/>
      <c r="Q532" s="2048"/>
      <c r="R532" s="2048"/>
      <c r="S532" s="2048"/>
      <c r="T532" s="2048"/>
      <c r="U532" s="2048"/>
      <c r="V532" s="2048"/>
      <c r="W532" s="2048"/>
      <c r="X532" s="2048"/>
      <c r="Y532" s="2048"/>
      <c r="Z532" s="2048"/>
      <c r="AA532" s="2048"/>
      <c r="AB532" s="94"/>
      <c r="AC532" s="2254"/>
      <c r="AD532" s="2255"/>
      <c r="AE532" s="2255"/>
      <c r="AF532" s="2255"/>
      <c r="AG532" s="196" t="s">
        <v>424</v>
      </c>
      <c r="AH532" s="2209"/>
      <c r="AI532" s="2209"/>
      <c r="AJ532" s="2209"/>
      <c r="AK532" s="22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1"/>
      <c r="C533" s="2492"/>
      <c r="D533" s="2492"/>
      <c r="E533" s="2492"/>
      <c r="F533" s="2492"/>
      <c r="G533" s="2492"/>
      <c r="H533" s="2493"/>
      <c r="I533" s="171" t="s">
        <v>442</v>
      </c>
      <c r="J533" s="25"/>
      <c r="K533" s="25"/>
      <c r="L533" s="25"/>
      <c r="M533" s="25"/>
      <c r="N533" s="25"/>
      <c r="O533" s="25"/>
      <c r="P533" s="25"/>
      <c r="Q533" s="25"/>
      <c r="R533" s="25"/>
      <c r="S533" s="25"/>
      <c r="T533" s="25"/>
      <c r="U533" s="25"/>
      <c r="V533" s="25"/>
      <c r="W533" s="25"/>
      <c r="X533" s="25"/>
      <c r="Y533" s="25"/>
      <c r="Z533" s="25"/>
      <c r="AA533" s="25"/>
      <c r="AB533" s="101"/>
      <c r="AC533" s="2426">
        <v>3</v>
      </c>
      <c r="AD533" s="2366"/>
      <c r="AE533" s="2366"/>
      <c r="AF533" s="2366"/>
      <c r="AG533" s="75" t="s">
        <v>424</v>
      </c>
      <c r="AH533" s="2209">
        <v>2021</v>
      </c>
      <c r="AI533" s="2209"/>
      <c r="AJ533" s="2209"/>
      <c r="AK533" s="22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1"/>
      <c r="C534" s="2492"/>
      <c r="D534" s="2492"/>
      <c r="E534" s="2492"/>
      <c r="F534" s="2492"/>
      <c r="G534" s="2492"/>
      <c r="H534" s="2493"/>
      <c r="I534" s="79" t="s">
        <v>443</v>
      </c>
      <c r="J534" s="80"/>
      <c r="K534" s="80"/>
      <c r="L534" s="80"/>
      <c r="M534" s="80"/>
      <c r="N534" s="80"/>
      <c r="O534" s="80"/>
      <c r="P534" s="80"/>
      <c r="Q534" s="80"/>
      <c r="R534" s="80"/>
      <c r="S534" s="80"/>
      <c r="T534" s="80"/>
      <c r="U534" s="80"/>
      <c r="V534" s="80"/>
      <c r="W534" s="80"/>
      <c r="X534" s="80"/>
      <c r="Y534" s="80"/>
      <c r="Z534" s="80"/>
      <c r="AA534" s="80"/>
      <c r="AB534" s="81"/>
      <c r="AC534" s="2426">
        <v>12</v>
      </c>
      <c r="AD534" s="2366"/>
      <c r="AE534" s="2366"/>
      <c r="AF534" s="2366"/>
      <c r="AG534" s="65" t="s">
        <v>424</v>
      </c>
      <c r="AH534" s="2209">
        <v>2021</v>
      </c>
      <c r="AI534" s="2209"/>
      <c r="AJ534" s="2209"/>
      <c r="AK534" s="22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1"/>
      <c r="C535" s="2492"/>
      <c r="D535" s="2492"/>
      <c r="E535" s="2492"/>
      <c r="F535" s="2492"/>
      <c r="G535" s="2492"/>
      <c r="H535" s="2493"/>
      <c r="I535" s="72" t="s">
        <v>444</v>
      </c>
      <c r="J535" s="72"/>
      <c r="K535" s="72"/>
      <c r="L535" s="72"/>
      <c r="M535" s="72"/>
      <c r="N535" s="72"/>
      <c r="O535" s="2054" t="s">
        <v>2581</v>
      </c>
      <c r="P535" s="2054"/>
      <c r="Q535" s="2054"/>
      <c r="R535" s="2054"/>
      <c r="S535" s="2054"/>
      <c r="T535" s="2054"/>
      <c r="U535" s="2054"/>
      <c r="V535" s="2054"/>
      <c r="W535" s="2054"/>
      <c r="X535" s="2054"/>
      <c r="Y535" s="2054"/>
      <c r="Z535" s="2054"/>
      <c r="AA535" s="2054"/>
      <c r="AC535" s="2426"/>
      <c r="AD535" s="2366"/>
      <c r="AE535" s="2366"/>
      <c r="AF535" s="2366"/>
      <c r="AG535" s="75" t="s">
        <v>424</v>
      </c>
      <c r="AH535" s="2209"/>
      <c r="AI535" s="2209"/>
      <c r="AJ535" s="2209"/>
      <c r="AK535" s="22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1"/>
      <c r="C536" s="2492"/>
      <c r="D536" s="2492"/>
      <c r="E536" s="2492"/>
      <c r="F536" s="2492"/>
      <c r="G536" s="2492"/>
      <c r="H536" s="2493"/>
      <c r="I536" s="25" t="s">
        <v>442</v>
      </c>
      <c r="J536" s="25"/>
      <c r="K536" s="25"/>
      <c r="L536" s="25"/>
      <c r="M536" s="25"/>
      <c r="N536" s="25"/>
      <c r="O536" s="25"/>
      <c r="P536" s="25"/>
      <c r="Q536" s="25"/>
      <c r="R536" s="25"/>
      <c r="S536" s="25"/>
      <c r="T536" s="25"/>
      <c r="U536" s="25"/>
      <c r="V536" s="25"/>
      <c r="W536" s="25"/>
      <c r="X536" s="25"/>
      <c r="Y536" s="25"/>
      <c r="AC536" s="2426">
        <v>8</v>
      </c>
      <c r="AD536" s="2366"/>
      <c r="AE536" s="2366"/>
      <c r="AF536" s="2366"/>
      <c r="AG536" s="75" t="s">
        <v>424</v>
      </c>
      <c r="AH536" s="2209">
        <v>2021</v>
      </c>
      <c r="AI536" s="2209"/>
      <c r="AJ536" s="2209"/>
      <c r="AK536" s="22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1"/>
      <c r="C537" s="2492"/>
      <c r="D537" s="2492"/>
      <c r="E537" s="2492"/>
      <c r="F537" s="2492"/>
      <c r="G537" s="2492"/>
      <c r="H537" s="2493"/>
      <c r="I537" s="80" t="s">
        <v>443</v>
      </c>
      <c r="J537" s="80"/>
      <c r="K537" s="80"/>
      <c r="L537" s="80"/>
      <c r="M537" s="80"/>
      <c r="N537" s="80"/>
      <c r="O537" s="80"/>
      <c r="P537" s="80"/>
      <c r="Q537" s="80"/>
      <c r="R537" s="80"/>
      <c r="S537" s="80"/>
      <c r="T537" s="80"/>
      <c r="U537" s="80"/>
      <c r="V537" s="80"/>
      <c r="W537" s="80"/>
      <c r="X537" s="80"/>
      <c r="Y537" s="80"/>
      <c r="Z537" s="80"/>
      <c r="AA537" s="80"/>
      <c r="AB537" s="80"/>
      <c r="AC537" s="2426">
        <v>5</v>
      </c>
      <c r="AD537" s="2366"/>
      <c r="AE537" s="2366"/>
      <c r="AF537" s="2366"/>
      <c r="AG537" s="65" t="s">
        <v>424</v>
      </c>
      <c r="AH537" s="2209">
        <v>2022</v>
      </c>
      <c r="AI537" s="2209"/>
      <c r="AJ537" s="2209"/>
      <c r="AK537" s="22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1"/>
      <c r="C538" s="2492"/>
      <c r="D538" s="2492"/>
      <c r="E538" s="2492"/>
      <c r="F538" s="2492"/>
      <c r="G538" s="2492"/>
      <c r="H538" s="2493"/>
      <c r="I538" s="72" t="s">
        <v>444</v>
      </c>
      <c r="J538" s="72"/>
      <c r="K538" s="72"/>
      <c r="L538" s="72"/>
      <c r="M538" s="72"/>
      <c r="N538" s="72"/>
      <c r="O538" s="2054" t="s">
        <v>343</v>
      </c>
      <c r="P538" s="2054"/>
      <c r="Q538" s="2054"/>
      <c r="R538" s="2054"/>
      <c r="S538" s="2054"/>
      <c r="T538" s="2054"/>
      <c r="U538" s="2054"/>
      <c r="V538" s="2054"/>
      <c r="W538" s="2054"/>
      <c r="X538" s="2054"/>
      <c r="Y538" s="2054"/>
      <c r="Z538" s="2054"/>
      <c r="AA538" s="2054"/>
      <c r="AC538" s="2426" t="s">
        <v>626</v>
      </c>
      <c r="AD538" s="2366"/>
      <c r="AE538" s="2366"/>
      <c r="AF538" s="2366"/>
      <c r="AG538" s="75" t="s">
        <v>424</v>
      </c>
      <c r="AH538" s="2209"/>
      <c r="AI538" s="2209"/>
      <c r="AJ538" s="2209"/>
      <c r="AK538" s="22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1"/>
      <c r="C539" s="2492"/>
      <c r="D539" s="2492"/>
      <c r="E539" s="2492"/>
      <c r="F539" s="2492"/>
      <c r="G539" s="2492"/>
      <c r="H539" s="2493"/>
      <c r="I539" s="25" t="s">
        <v>442</v>
      </c>
      <c r="J539" s="25"/>
      <c r="K539" s="25"/>
      <c r="L539" s="25"/>
      <c r="M539" s="25"/>
      <c r="N539" s="25"/>
      <c r="O539" s="25"/>
      <c r="P539" s="25"/>
      <c r="Q539" s="25"/>
      <c r="R539" s="25"/>
      <c r="S539" s="25"/>
      <c r="T539" s="25"/>
      <c r="U539" s="25"/>
      <c r="V539" s="25"/>
      <c r="W539" s="25"/>
      <c r="X539" s="25"/>
      <c r="Y539" s="25"/>
      <c r="AC539" s="2426" t="s">
        <v>626</v>
      </c>
      <c r="AD539" s="2366"/>
      <c r="AE539" s="2366"/>
      <c r="AF539" s="2366"/>
      <c r="AG539" s="75" t="s">
        <v>424</v>
      </c>
      <c r="AH539" s="2209"/>
      <c r="AI539" s="2209"/>
      <c r="AJ539" s="2209"/>
      <c r="AK539" s="22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1"/>
      <c r="C540" s="2492"/>
      <c r="D540" s="2492"/>
      <c r="E540" s="2492"/>
      <c r="F540" s="2492"/>
      <c r="G540" s="2492"/>
      <c r="H540" s="2493"/>
      <c r="I540" s="80" t="s">
        <v>443</v>
      </c>
      <c r="J540" s="80"/>
      <c r="K540" s="80"/>
      <c r="L540" s="80"/>
      <c r="M540" s="80"/>
      <c r="N540" s="80"/>
      <c r="O540" s="80"/>
      <c r="P540" s="80"/>
      <c r="Q540" s="80"/>
      <c r="R540" s="80"/>
      <c r="S540" s="80"/>
      <c r="T540" s="80"/>
      <c r="U540" s="80"/>
      <c r="V540" s="80"/>
      <c r="W540" s="80"/>
      <c r="X540" s="80"/>
      <c r="Y540" s="80"/>
      <c r="Z540" s="80"/>
      <c r="AA540" s="80"/>
      <c r="AB540" s="80"/>
      <c r="AC540" s="2426" t="s">
        <v>626</v>
      </c>
      <c r="AD540" s="2366"/>
      <c r="AE540" s="2366"/>
      <c r="AF540" s="2366"/>
      <c r="AG540" s="65" t="s">
        <v>424</v>
      </c>
      <c r="AH540" s="2209"/>
      <c r="AI540" s="2209"/>
      <c r="AJ540" s="2209"/>
      <c r="AK540" s="22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1"/>
      <c r="C541" s="2492"/>
      <c r="D541" s="2492"/>
      <c r="E541" s="2492"/>
      <c r="F541" s="2492"/>
      <c r="G541" s="2492"/>
      <c r="H541" s="2493"/>
      <c r="I541" s="72" t="s">
        <v>444</v>
      </c>
      <c r="J541" s="72"/>
      <c r="K541" s="72"/>
      <c r="L541" s="72"/>
      <c r="M541" s="72"/>
      <c r="N541" s="72"/>
      <c r="O541" s="2054" t="s">
        <v>343</v>
      </c>
      <c r="P541" s="2054"/>
      <c r="Q541" s="2054"/>
      <c r="R541" s="2054"/>
      <c r="S541" s="2054"/>
      <c r="T541" s="2054"/>
      <c r="U541" s="2054"/>
      <c r="V541" s="2054"/>
      <c r="W541" s="2054"/>
      <c r="X541" s="2054"/>
      <c r="Y541" s="2054"/>
      <c r="Z541" s="2054"/>
      <c r="AA541" s="2054"/>
      <c r="AC541" s="2426" t="s">
        <v>626</v>
      </c>
      <c r="AD541" s="2366"/>
      <c r="AE541" s="2366"/>
      <c r="AF541" s="2366"/>
      <c r="AG541" s="75" t="s">
        <v>424</v>
      </c>
      <c r="AH541" s="2209"/>
      <c r="AI541" s="2209"/>
      <c r="AJ541" s="2209"/>
      <c r="AK541" s="22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1"/>
      <c r="C542" s="2492"/>
      <c r="D542" s="2492"/>
      <c r="E542" s="2492"/>
      <c r="F542" s="2492"/>
      <c r="G542" s="2492"/>
      <c r="H542" s="2493"/>
      <c r="I542" s="25" t="s">
        <v>442</v>
      </c>
      <c r="J542" s="25"/>
      <c r="K542" s="25"/>
      <c r="L542" s="25"/>
      <c r="M542" s="25"/>
      <c r="N542" s="25"/>
      <c r="O542" s="25"/>
      <c r="P542" s="25"/>
      <c r="Q542" s="25"/>
      <c r="R542" s="25"/>
      <c r="S542" s="25"/>
      <c r="T542" s="25"/>
      <c r="U542" s="25"/>
      <c r="V542" s="25"/>
      <c r="W542" s="25"/>
      <c r="X542" s="25"/>
      <c r="Y542" s="25"/>
      <c r="AC542" s="2426" t="s">
        <v>626</v>
      </c>
      <c r="AD542" s="2366"/>
      <c r="AE542" s="2366"/>
      <c r="AF542" s="2366"/>
      <c r="AG542" s="75" t="s">
        <v>424</v>
      </c>
      <c r="AH542" s="2209"/>
      <c r="AI542" s="2209"/>
      <c r="AJ542" s="2209"/>
      <c r="AK542" s="22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1"/>
      <c r="C543" s="2492"/>
      <c r="D543" s="2492"/>
      <c r="E543" s="2492"/>
      <c r="F543" s="2492"/>
      <c r="G543" s="2492"/>
      <c r="H543" s="2493"/>
      <c r="I543" s="80" t="s">
        <v>443</v>
      </c>
      <c r="J543" s="80"/>
      <c r="K543" s="80"/>
      <c r="L543" s="80"/>
      <c r="M543" s="80"/>
      <c r="N543" s="80"/>
      <c r="O543" s="80"/>
      <c r="P543" s="80"/>
      <c r="Q543" s="80"/>
      <c r="R543" s="80"/>
      <c r="S543" s="80"/>
      <c r="T543" s="80"/>
      <c r="U543" s="80"/>
      <c r="V543" s="80"/>
      <c r="W543" s="80"/>
      <c r="X543" s="80"/>
      <c r="Y543" s="80"/>
      <c r="Z543" s="80"/>
      <c r="AA543" s="80"/>
      <c r="AB543" s="80"/>
      <c r="AC543" s="2426" t="s">
        <v>626</v>
      </c>
      <c r="AD543" s="2366"/>
      <c r="AE543" s="2366"/>
      <c r="AF543" s="2366"/>
      <c r="AG543" s="65" t="s">
        <v>424</v>
      </c>
      <c r="AH543" s="2209"/>
      <c r="AI543" s="2209"/>
      <c r="AJ543" s="2209"/>
      <c r="AK543" s="22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1"/>
      <c r="C544" s="2492"/>
      <c r="D544" s="2492"/>
      <c r="E544" s="2492"/>
      <c r="F544" s="2492"/>
      <c r="G544" s="2492"/>
      <c r="H544" s="2493"/>
      <c r="I544" s="72" t="s">
        <v>444</v>
      </c>
      <c r="J544" s="72"/>
      <c r="K544" s="72"/>
      <c r="L544" s="72"/>
      <c r="M544" s="72"/>
      <c r="N544" s="72"/>
      <c r="O544" s="2054" t="s">
        <v>343</v>
      </c>
      <c r="P544" s="2054"/>
      <c r="Q544" s="2054"/>
      <c r="R544" s="2054"/>
      <c r="S544" s="2054"/>
      <c r="T544" s="2054"/>
      <c r="U544" s="2054"/>
      <c r="V544" s="2054"/>
      <c r="W544" s="2054"/>
      <c r="X544" s="2054"/>
      <c r="Y544" s="2054"/>
      <c r="Z544" s="2054"/>
      <c r="AA544" s="2054"/>
      <c r="AC544" s="2426" t="s">
        <v>626</v>
      </c>
      <c r="AD544" s="2366"/>
      <c r="AE544" s="2366"/>
      <c r="AF544" s="2366"/>
      <c r="AG544" s="75" t="s">
        <v>424</v>
      </c>
      <c r="AH544" s="2209"/>
      <c r="AI544" s="2209"/>
      <c r="AJ544" s="2209"/>
      <c r="AK544" s="22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1"/>
      <c r="C545" s="2492"/>
      <c r="D545" s="2492"/>
      <c r="E545" s="2492"/>
      <c r="F545" s="2492"/>
      <c r="G545" s="2492"/>
      <c r="H545" s="2493"/>
      <c r="I545" s="25" t="s">
        <v>442</v>
      </c>
      <c r="J545" s="25"/>
      <c r="K545" s="25"/>
      <c r="L545" s="25"/>
      <c r="M545" s="25"/>
      <c r="N545" s="25"/>
      <c r="O545" s="25"/>
      <c r="P545" s="25"/>
      <c r="Q545" s="25"/>
      <c r="R545" s="25"/>
      <c r="S545" s="25"/>
      <c r="T545" s="25"/>
      <c r="U545" s="25"/>
      <c r="V545" s="25"/>
      <c r="W545" s="25"/>
      <c r="X545" s="25"/>
      <c r="Y545" s="25"/>
      <c r="AC545" s="2426" t="s">
        <v>626</v>
      </c>
      <c r="AD545" s="2366"/>
      <c r="AE545" s="2366"/>
      <c r="AF545" s="2366"/>
      <c r="AG545" s="65" t="s">
        <v>424</v>
      </c>
      <c r="AH545" s="2209"/>
      <c r="AI545" s="2209"/>
      <c r="AJ545" s="2209"/>
      <c r="AK545" s="22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1"/>
      <c r="C546" s="2492"/>
      <c r="D546" s="2492"/>
      <c r="E546" s="2492"/>
      <c r="F546" s="2492"/>
      <c r="G546" s="2492"/>
      <c r="H546" s="2493"/>
      <c r="I546" s="80" t="s">
        <v>443</v>
      </c>
      <c r="J546" s="80"/>
      <c r="K546" s="80"/>
      <c r="L546" s="80"/>
      <c r="M546" s="80"/>
      <c r="N546" s="80"/>
      <c r="O546" s="80"/>
      <c r="P546" s="80"/>
      <c r="Q546" s="80"/>
      <c r="R546" s="80"/>
      <c r="S546" s="80"/>
      <c r="T546" s="80"/>
      <c r="U546" s="80"/>
      <c r="V546" s="80"/>
      <c r="W546" s="80"/>
      <c r="X546" s="80"/>
      <c r="Y546" s="80"/>
      <c r="Z546" s="80"/>
      <c r="AA546" s="80"/>
      <c r="AB546" s="80"/>
      <c r="AC546" s="2426" t="s">
        <v>626</v>
      </c>
      <c r="AD546" s="2366"/>
      <c r="AE546" s="2366"/>
      <c r="AF546" s="2366"/>
      <c r="AG546" s="75" t="s">
        <v>424</v>
      </c>
      <c r="AH546" s="2209"/>
      <c r="AI546" s="2209"/>
      <c r="AJ546" s="2209"/>
      <c r="AK546" s="22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1"/>
      <c r="C547" s="2492"/>
      <c r="D547" s="2492"/>
      <c r="E547" s="2492"/>
      <c r="F547" s="2492"/>
      <c r="G547" s="2492"/>
      <c r="H547" s="2493"/>
      <c r="I547" s="72" t="s">
        <v>444</v>
      </c>
      <c r="J547" s="72"/>
      <c r="K547" s="72"/>
      <c r="L547" s="72"/>
      <c r="M547" s="72"/>
      <c r="N547" s="72"/>
      <c r="O547" s="2054" t="s">
        <v>343</v>
      </c>
      <c r="P547" s="2054"/>
      <c r="Q547" s="2054"/>
      <c r="R547" s="2054"/>
      <c r="S547" s="2054"/>
      <c r="T547" s="2054"/>
      <c r="U547" s="2054"/>
      <c r="V547" s="2054"/>
      <c r="W547" s="2054"/>
      <c r="X547" s="2054"/>
      <c r="Y547" s="2054"/>
      <c r="Z547" s="2054"/>
      <c r="AA547" s="2054"/>
      <c r="AC547" s="2426" t="s">
        <v>626</v>
      </c>
      <c r="AD547" s="2366"/>
      <c r="AE547" s="2366"/>
      <c r="AF547" s="2366"/>
      <c r="AG547" s="65" t="s">
        <v>424</v>
      </c>
      <c r="AH547" s="2209"/>
      <c r="AI547" s="2209"/>
      <c r="AJ547" s="2209"/>
      <c r="AK547" s="22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1"/>
      <c r="C548" s="2492"/>
      <c r="D548" s="2492"/>
      <c r="E548" s="2492"/>
      <c r="F548" s="2492"/>
      <c r="G548" s="2492"/>
      <c r="H548" s="2493"/>
      <c r="I548" s="25" t="s">
        <v>442</v>
      </c>
      <c r="J548" s="25"/>
      <c r="K548" s="25"/>
      <c r="L548" s="25"/>
      <c r="M548" s="25"/>
      <c r="N548" s="25"/>
      <c r="O548" s="25"/>
      <c r="P548" s="25"/>
      <c r="Q548" s="25"/>
      <c r="R548" s="25"/>
      <c r="S548" s="25"/>
      <c r="T548" s="25"/>
      <c r="U548" s="25"/>
      <c r="V548" s="25"/>
      <c r="W548" s="25"/>
      <c r="X548" s="25"/>
      <c r="Y548" s="25"/>
      <c r="AC548" s="2426" t="s">
        <v>626</v>
      </c>
      <c r="AD548" s="2366"/>
      <c r="AE548" s="2366"/>
      <c r="AF548" s="2366"/>
      <c r="AG548" s="75" t="s">
        <v>424</v>
      </c>
      <c r="AH548" s="2209"/>
      <c r="AI548" s="2209"/>
      <c r="AJ548" s="2209"/>
      <c r="AK548" s="22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1"/>
      <c r="C549" s="2492"/>
      <c r="D549" s="2492"/>
      <c r="E549" s="2492"/>
      <c r="F549" s="2492"/>
      <c r="G549" s="2492"/>
      <c r="H549" s="2493"/>
      <c r="I549" s="80" t="s">
        <v>443</v>
      </c>
      <c r="J549" s="80"/>
      <c r="K549" s="80"/>
      <c r="L549" s="80"/>
      <c r="M549" s="80"/>
      <c r="N549" s="80"/>
      <c r="O549" s="80"/>
      <c r="P549" s="80"/>
      <c r="Q549" s="80"/>
      <c r="R549" s="80"/>
      <c r="S549" s="80"/>
      <c r="T549" s="80"/>
      <c r="U549" s="80"/>
      <c r="V549" s="80"/>
      <c r="W549" s="80"/>
      <c r="X549" s="80"/>
      <c r="Y549" s="80"/>
      <c r="Z549" s="80"/>
      <c r="AA549" s="80"/>
      <c r="AB549" s="80"/>
      <c r="AC549" s="2426" t="s">
        <v>626</v>
      </c>
      <c r="AD549" s="2366"/>
      <c r="AE549" s="2366"/>
      <c r="AF549" s="2366"/>
      <c r="AG549" s="65" t="s">
        <v>424</v>
      </c>
      <c r="AH549" s="2209"/>
      <c r="AI549" s="2209"/>
      <c r="AJ549" s="2209"/>
      <c r="AK549" s="22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1"/>
      <c r="C550" s="2492"/>
      <c r="D550" s="2492"/>
      <c r="E550" s="2492"/>
      <c r="F550" s="2492"/>
      <c r="G550" s="2492"/>
      <c r="H550" s="2493"/>
      <c r="I550" s="72" t="s">
        <v>595</v>
      </c>
      <c r="J550" s="72"/>
      <c r="K550" s="72"/>
      <c r="L550" s="72"/>
      <c r="M550" s="72"/>
      <c r="N550" s="72"/>
      <c r="O550" s="72"/>
      <c r="P550" s="72"/>
      <c r="Q550" s="72"/>
      <c r="R550" s="72"/>
      <c r="S550" s="72"/>
      <c r="T550" s="72"/>
      <c r="U550" s="72"/>
      <c r="V550" s="72"/>
      <c r="W550" s="72"/>
      <c r="X550" s="25"/>
      <c r="Y550" s="25"/>
      <c r="AC550" s="2426" t="s">
        <v>626</v>
      </c>
      <c r="AD550" s="2366"/>
      <c r="AE550" s="2366"/>
      <c r="AF550" s="2366"/>
      <c r="AG550" s="65" t="s">
        <v>424</v>
      </c>
      <c r="AH550" s="2209"/>
      <c r="AI550" s="2209"/>
      <c r="AJ550" s="2209"/>
      <c r="AK550" s="22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1"/>
      <c r="C551" s="2492"/>
      <c r="D551" s="2492"/>
      <c r="E551" s="2492"/>
      <c r="F551" s="2492"/>
      <c r="G551" s="2492"/>
      <c r="H551" s="2493"/>
      <c r="I551" s="25" t="s">
        <v>596</v>
      </c>
      <c r="J551" s="25"/>
      <c r="K551" s="25"/>
      <c r="L551" s="25"/>
      <c r="M551" s="25"/>
      <c r="N551" s="25"/>
      <c r="O551" s="25"/>
      <c r="P551" s="25"/>
      <c r="Q551" s="25"/>
      <c r="R551" s="25"/>
      <c r="S551" s="25"/>
      <c r="T551" s="25"/>
      <c r="U551" s="25"/>
      <c r="V551" s="25"/>
      <c r="W551" s="25"/>
      <c r="X551" s="25"/>
      <c r="Y551" s="25"/>
      <c r="AC551" s="2426">
        <v>6</v>
      </c>
      <c r="AD551" s="2366"/>
      <c r="AE551" s="2366"/>
      <c r="AF551" s="2366"/>
      <c r="AG551" s="75" t="s">
        <v>424</v>
      </c>
      <c r="AH551" s="2209">
        <v>2022</v>
      </c>
      <c r="AI551" s="2209"/>
      <c r="AJ551" s="2209"/>
      <c r="AK551" s="22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1"/>
      <c r="C552" s="2492"/>
      <c r="D552" s="2492"/>
      <c r="E552" s="2492"/>
      <c r="F552" s="2492"/>
      <c r="G552" s="2492"/>
      <c r="H552" s="2493"/>
      <c r="I552" s="25" t="s">
        <v>597</v>
      </c>
      <c r="J552" s="25"/>
      <c r="K552" s="25"/>
      <c r="L552" s="25"/>
      <c r="M552" s="25"/>
      <c r="N552" s="25"/>
      <c r="O552" s="25"/>
      <c r="P552" s="25"/>
      <c r="Q552" s="25"/>
      <c r="R552" s="25"/>
      <c r="S552" s="25"/>
      <c r="T552" s="25"/>
      <c r="U552" s="25"/>
      <c r="V552" s="25"/>
      <c r="W552" s="25"/>
      <c r="X552" s="25"/>
      <c r="Y552" s="25"/>
      <c r="AC552" s="2426">
        <v>3</v>
      </c>
      <c r="AD552" s="2366"/>
      <c r="AE552" s="2366"/>
      <c r="AF552" s="2366"/>
      <c r="AG552" s="65" t="s">
        <v>424</v>
      </c>
      <c r="AH552" s="2209">
        <v>2024</v>
      </c>
      <c r="AI552" s="2209"/>
      <c r="AJ552" s="2209"/>
      <c r="AK552" s="22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1"/>
      <c r="C553" s="2492"/>
      <c r="D553" s="2492"/>
      <c r="E553" s="2492"/>
      <c r="F553" s="2492"/>
      <c r="G553" s="2492"/>
      <c r="H553" s="2493"/>
      <c r="I553" s="25" t="s">
        <v>598</v>
      </c>
      <c r="J553" s="25"/>
      <c r="K553" s="25"/>
      <c r="L553" s="25"/>
      <c r="M553" s="25"/>
      <c r="N553" s="25"/>
      <c r="O553" s="25"/>
      <c r="P553" s="25"/>
      <c r="Q553" s="25"/>
      <c r="R553" s="25"/>
      <c r="S553" s="25"/>
      <c r="T553" s="25"/>
      <c r="U553" s="25"/>
      <c r="V553" s="25"/>
      <c r="W553" s="25"/>
      <c r="X553" s="25"/>
      <c r="Y553" s="25"/>
      <c r="AC553" s="2426">
        <v>3</v>
      </c>
      <c r="AD553" s="2366"/>
      <c r="AE553" s="2366"/>
      <c r="AF553" s="2366"/>
      <c r="AG553" s="65" t="s">
        <v>424</v>
      </c>
      <c r="AH553" s="2209">
        <v>2024</v>
      </c>
      <c r="AI553" s="2209"/>
      <c r="AJ553" s="2209"/>
      <c r="AK553" s="22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4"/>
      <c r="C554" s="2495"/>
      <c r="D554" s="2495"/>
      <c r="E554" s="2495"/>
      <c r="F554" s="2495"/>
      <c r="G554" s="2495"/>
      <c r="H554" s="2496"/>
      <c r="I554" s="80" t="s">
        <v>482</v>
      </c>
      <c r="J554" s="80"/>
      <c r="K554" s="80"/>
      <c r="L554" s="80"/>
      <c r="M554" s="80"/>
      <c r="N554" s="80"/>
      <c r="O554" s="80"/>
      <c r="P554" s="80"/>
      <c r="Q554" s="80"/>
      <c r="R554" s="80"/>
      <c r="S554" s="80"/>
      <c r="T554" s="80"/>
      <c r="U554" s="80"/>
      <c r="V554" s="80"/>
      <c r="W554" s="80"/>
      <c r="X554" s="80"/>
      <c r="Y554" s="80"/>
      <c r="Z554" s="80"/>
      <c r="AA554" s="80"/>
      <c r="AB554" s="80"/>
      <c r="AC554" s="2426">
        <v>6</v>
      </c>
      <c r="AD554" s="2366"/>
      <c r="AE554" s="2366"/>
      <c r="AF554" s="2366"/>
      <c r="AG554" s="65" t="s">
        <v>424</v>
      </c>
      <c r="AH554" s="2209">
        <v>2024</v>
      </c>
      <c r="AI554" s="2209"/>
      <c r="AJ554" s="2209"/>
      <c r="AK554" s="22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21" t="s">
        <v>484</v>
      </c>
      <c r="C563" s="2105"/>
      <c r="D563" s="2105"/>
      <c r="E563" s="2105"/>
      <c r="F563" s="2105"/>
      <c r="G563" s="2105"/>
      <c r="H563" s="2105"/>
      <c r="I563" s="2105"/>
      <c r="J563" s="2105"/>
      <c r="K563" s="2105"/>
      <c r="L563" s="2105"/>
      <c r="M563" s="2105"/>
      <c r="N563" s="2105"/>
      <c r="O563" s="2105"/>
      <c r="P563" s="2106"/>
      <c r="Q563" s="2521" t="s">
        <v>2378</v>
      </c>
      <c r="R563" s="2522"/>
      <c r="S563" s="2523"/>
      <c r="T563" s="2521" t="s">
        <v>2376</v>
      </c>
      <c r="U563" s="2522"/>
      <c r="V563" s="2523"/>
      <c r="W563" s="2521" t="s">
        <v>485</v>
      </c>
      <c r="X563" s="2522"/>
      <c r="Y563" s="2523"/>
      <c r="Z563" s="2521" t="s">
        <v>2377</v>
      </c>
      <c r="AA563" s="2522"/>
      <c r="AB563" s="2522"/>
      <c r="AC563" s="2522"/>
      <c r="AD563" s="2522"/>
      <c r="AE563" s="2521" t="s">
        <v>2150</v>
      </c>
      <c r="AF563" s="2522"/>
      <c r="AG563" s="2522"/>
      <c r="AH563" s="2523"/>
      <c r="AI563" s="2521" t="s">
        <v>2151</v>
      </c>
      <c r="AJ563" s="2522"/>
      <c r="AK563" s="2522"/>
      <c r="AL563" s="2523"/>
      <c r="AM563" s="2521" t="s">
        <v>486</v>
      </c>
      <c r="AN563" s="2522"/>
      <c r="AO563" s="2522"/>
      <c r="AP563" s="2522"/>
      <c r="AQ563" s="2522"/>
      <c r="AR563" s="2522"/>
      <c r="AS563" s="252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02" t="s">
        <v>2535</v>
      </c>
      <c r="D564" s="2102"/>
      <c r="E564" s="2102"/>
      <c r="F564" s="2102"/>
      <c r="G564" s="2102"/>
      <c r="H564" s="2102"/>
      <c r="I564" s="2102"/>
      <c r="J564" s="2102"/>
      <c r="K564" s="2102"/>
      <c r="L564" s="2102"/>
      <c r="M564" s="2102"/>
      <c r="N564" s="2102"/>
      <c r="O564" s="2102"/>
      <c r="P564" s="2103"/>
      <c r="Q564" s="2063">
        <v>30</v>
      </c>
      <c r="R564" s="2063"/>
      <c r="S564" s="2064"/>
      <c r="T564" s="2062"/>
      <c r="U564" s="2063"/>
      <c r="V564" s="2064"/>
      <c r="W564" s="2531">
        <v>3.2000000000000001E-2</v>
      </c>
      <c r="X564" s="2532"/>
      <c r="Y564" s="2533"/>
      <c r="Z564" s="2524" t="s">
        <v>2580</v>
      </c>
      <c r="AA564" s="2524"/>
      <c r="AB564" s="2524"/>
      <c r="AC564" s="2524"/>
      <c r="AD564" s="2524"/>
      <c r="AE564" s="2525">
        <v>1</v>
      </c>
      <c r="AF564" s="2526"/>
      <c r="AG564" s="2526"/>
      <c r="AH564" s="2527"/>
      <c r="AI564" s="2528"/>
      <c r="AJ564" s="2529"/>
      <c r="AK564" s="2529"/>
      <c r="AL564" s="2530"/>
      <c r="AM564" s="2037">
        <v>13223000</v>
      </c>
      <c r="AN564" s="2038"/>
      <c r="AO564" s="2038"/>
      <c r="AP564" s="2038"/>
      <c r="AQ564" s="2038"/>
      <c r="AR564" s="2038"/>
      <c r="AS564" s="2039"/>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02" t="s">
        <v>2535</v>
      </c>
      <c r="D565" s="2102"/>
      <c r="E565" s="2102"/>
      <c r="F565" s="2102"/>
      <c r="G565" s="2102"/>
      <c r="H565" s="2102"/>
      <c r="I565" s="2102"/>
      <c r="J565" s="2102"/>
      <c r="K565" s="2102"/>
      <c r="L565" s="2102"/>
      <c r="M565" s="2102"/>
      <c r="N565" s="2102"/>
      <c r="O565" s="2102"/>
      <c r="P565" s="2103"/>
      <c r="Q565" s="2062">
        <v>30</v>
      </c>
      <c r="R565" s="2063"/>
      <c r="S565" s="2064"/>
      <c r="T565" s="2062"/>
      <c r="U565" s="2063"/>
      <c r="V565" s="2064"/>
      <c r="W565" s="2531">
        <v>3.2000000000000001E-2</v>
      </c>
      <c r="X565" s="2532"/>
      <c r="Y565" s="2533"/>
      <c r="Z565" s="2524" t="s">
        <v>2580</v>
      </c>
      <c r="AA565" s="2524"/>
      <c r="AB565" s="2524"/>
      <c r="AC565" s="2524"/>
      <c r="AD565" s="2524"/>
      <c r="AE565" s="2525">
        <v>2</v>
      </c>
      <c r="AF565" s="2526"/>
      <c r="AG565" s="2526"/>
      <c r="AH565" s="2527"/>
      <c r="AI565" s="2528"/>
      <c r="AJ565" s="2529"/>
      <c r="AK565" s="2529"/>
      <c r="AL565" s="2530"/>
      <c r="AM565" s="2037">
        <v>3927103</v>
      </c>
      <c r="AN565" s="2038"/>
      <c r="AO565" s="2038"/>
      <c r="AP565" s="2038"/>
      <c r="AQ565" s="2038"/>
      <c r="AR565" s="2038"/>
      <c r="AS565" s="203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02" t="s">
        <v>2126</v>
      </c>
      <c r="D566" s="2102"/>
      <c r="E566" s="2102"/>
      <c r="F566" s="2102"/>
      <c r="G566" s="2102"/>
      <c r="H566" s="2102"/>
      <c r="I566" s="2102"/>
      <c r="J566" s="2102"/>
      <c r="K566" s="2102"/>
      <c r="L566" s="2102"/>
      <c r="M566" s="2102"/>
      <c r="N566" s="2102"/>
      <c r="O566" s="2102"/>
      <c r="P566" s="2103"/>
      <c r="Q566" s="2062"/>
      <c r="R566" s="2063"/>
      <c r="S566" s="2064"/>
      <c r="T566" s="2062"/>
      <c r="U566" s="2063"/>
      <c r="V566" s="2064"/>
      <c r="W566" s="2531"/>
      <c r="X566" s="2532"/>
      <c r="Y566" s="2533"/>
      <c r="Z566" s="2524" t="s">
        <v>626</v>
      </c>
      <c r="AA566" s="2524"/>
      <c r="AB566" s="2524"/>
      <c r="AC566" s="2524"/>
      <c r="AD566" s="2524"/>
      <c r="AE566" s="2525"/>
      <c r="AF566" s="2526"/>
      <c r="AG566" s="2526"/>
      <c r="AH566" s="2527"/>
      <c r="AI566" s="2528"/>
      <c r="AJ566" s="2529"/>
      <c r="AK566" s="2529"/>
      <c r="AL566" s="2530"/>
      <c r="AM566" s="2037">
        <v>2698643</v>
      </c>
      <c r="AN566" s="2038"/>
      <c r="AO566" s="2038"/>
      <c r="AP566" s="2038"/>
      <c r="AQ566" s="2038"/>
      <c r="AR566" s="2038"/>
      <c r="AS566" s="203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02" t="s">
        <v>2616</v>
      </c>
      <c r="D567" s="2102"/>
      <c r="E567" s="2102"/>
      <c r="F567" s="2102"/>
      <c r="G567" s="2102"/>
      <c r="H567" s="2102"/>
      <c r="I567" s="2102"/>
      <c r="J567" s="2102"/>
      <c r="K567" s="2102"/>
      <c r="L567" s="2102"/>
      <c r="M567" s="2102"/>
      <c r="N567" s="2102"/>
      <c r="O567" s="2102"/>
      <c r="P567" s="2103"/>
      <c r="Q567" s="2062"/>
      <c r="R567" s="2063"/>
      <c r="S567" s="2064"/>
      <c r="T567" s="2062"/>
      <c r="U567" s="2063"/>
      <c r="V567" s="2064"/>
      <c r="W567" s="2531"/>
      <c r="X567" s="2532"/>
      <c r="Y567" s="2533"/>
      <c r="Z567" s="2524" t="s">
        <v>626</v>
      </c>
      <c r="AA567" s="2524"/>
      <c r="AB567" s="2524"/>
      <c r="AC567" s="2524"/>
      <c r="AD567" s="2524"/>
      <c r="AE567" s="2525"/>
      <c r="AF567" s="2526"/>
      <c r="AG567" s="2526"/>
      <c r="AH567" s="2527"/>
      <c r="AI567" s="2528"/>
      <c r="AJ567" s="2529"/>
      <c r="AK567" s="2529"/>
      <c r="AL567" s="2530"/>
      <c r="AM567" s="2037">
        <v>2760000</v>
      </c>
      <c r="AN567" s="2038"/>
      <c r="AO567" s="2038"/>
      <c r="AP567" s="2038"/>
      <c r="AQ567" s="2038"/>
      <c r="AR567" s="2038"/>
      <c r="AS567" s="203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102" t="s">
        <v>2582</v>
      </c>
      <c r="D568" s="2102"/>
      <c r="E568" s="2102"/>
      <c r="F568" s="2102"/>
      <c r="G568" s="2102"/>
      <c r="H568" s="2102"/>
      <c r="I568" s="2102"/>
      <c r="J568" s="2102"/>
      <c r="K568" s="2102"/>
      <c r="L568" s="2102"/>
      <c r="M568" s="2102"/>
      <c r="N568" s="2102"/>
      <c r="O568" s="2102"/>
      <c r="P568" s="2103"/>
      <c r="Q568" s="2062"/>
      <c r="R568" s="2063"/>
      <c r="S568" s="2064"/>
      <c r="T568" s="2062"/>
      <c r="U568" s="2063"/>
      <c r="V568" s="2064"/>
      <c r="W568" s="2531"/>
      <c r="X568" s="2532"/>
      <c r="Y568" s="2533"/>
      <c r="Z568" s="2524" t="s">
        <v>626</v>
      </c>
      <c r="AA568" s="2524"/>
      <c r="AB568" s="2524"/>
      <c r="AC568" s="2524"/>
      <c r="AD568" s="2524"/>
      <c r="AE568" s="2525"/>
      <c r="AF568" s="2526"/>
      <c r="AG568" s="2526"/>
      <c r="AH568" s="2527"/>
      <c r="AI568" s="2528"/>
      <c r="AJ568" s="2529"/>
      <c r="AK568" s="2529"/>
      <c r="AL568" s="2530"/>
      <c r="AM568" s="2037">
        <v>100</v>
      </c>
      <c r="AN568" s="2038"/>
      <c r="AO568" s="2038"/>
      <c r="AP568" s="2038"/>
      <c r="AQ568" s="2038"/>
      <c r="AR568" s="2038"/>
      <c r="AS568" s="203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02" t="s">
        <v>2583</v>
      </c>
      <c r="D569" s="2102"/>
      <c r="E569" s="2102"/>
      <c r="F569" s="2102"/>
      <c r="G569" s="2102"/>
      <c r="H569" s="2102"/>
      <c r="I569" s="2102"/>
      <c r="J569" s="2102"/>
      <c r="K569" s="2102"/>
      <c r="L569" s="2102"/>
      <c r="M569" s="2102"/>
      <c r="N569" s="2102"/>
      <c r="O569" s="2102"/>
      <c r="P569" s="2103"/>
      <c r="Q569" s="2062"/>
      <c r="R569" s="2063"/>
      <c r="S569" s="2064"/>
      <c r="T569" s="2062"/>
      <c r="U569" s="2063"/>
      <c r="V569" s="2064"/>
      <c r="W569" s="2531"/>
      <c r="X569" s="2532"/>
      <c r="Y569" s="2533"/>
      <c r="Z569" s="2524" t="s">
        <v>626</v>
      </c>
      <c r="AA569" s="2524"/>
      <c r="AB569" s="2524"/>
      <c r="AC569" s="2524"/>
      <c r="AD569" s="2524"/>
      <c r="AE569" s="2525"/>
      <c r="AF569" s="2526"/>
      <c r="AG569" s="2526"/>
      <c r="AH569" s="2527"/>
      <c r="AI569" s="2528"/>
      <c r="AJ569" s="2529"/>
      <c r="AK569" s="2529"/>
      <c r="AL569" s="2530"/>
      <c r="AM569" s="2037">
        <v>2937844</v>
      </c>
      <c r="AN569" s="2038"/>
      <c r="AO569" s="2038"/>
      <c r="AP569" s="2038"/>
      <c r="AQ569" s="2038"/>
      <c r="AR569" s="2038"/>
      <c r="AS569" s="203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02" t="s">
        <v>2584</v>
      </c>
      <c r="D570" s="2102"/>
      <c r="E570" s="2102"/>
      <c r="F570" s="2102"/>
      <c r="G570" s="2102"/>
      <c r="H570" s="2102"/>
      <c r="I570" s="2102"/>
      <c r="J570" s="2102"/>
      <c r="K570" s="2102"/>
      <c r="L570" s="2102"/>
      <c r="M570" s="2102"/>
      <c r="N570" s="2102"/>
      <c r="O570" s="2102"/>
      <c r="P570" s="2103"/>
      <c r="Q570" s="2062"/>
      <c r="R570" s="2063"/>
      <c r="S570" s="2064"/>
      <c r="T570" s="2062"/>
      <c r="U570" s="2063"/>
      <c r="V570" s="2064"/>
      <c r="W570" s="2531"/>
      <c r="X570" s="2532"/>
      <c r="Y570" s="2533"/>
      <c r="Z570" s="2524" t="s">
        <v>626</v>
      </c>
      <c r="AA570" s="2524"/>
      <c r="AB570" s="2524"/>
      <c r="AC570" s="2524"/>
      <c r="AD570" s="2524"/>
      <c r="AE570" s="2525"/>
      <c r="AF570" s="2526"/>
      <c r="AG570" s="2526"/>
      <c r="AH570" s="2527"/>
      <c r="AI570" s="2528"/>
      <c r="AJ570" s="2529"/>
      <c r="AK570" s="2529"/>
      <c r="AL570" s="2530"/>
      <c r="AM570" s="2037">
        <v>279640</v>
      </c>
      <c r="AN570" s="2038"/>
      <c r="AO570" s="2038"/>
      <c r="AP570" s="2038"/>
      <c r="AQ570" s="2038"/>
      <c r="AR570" s="2038"/>
      <c r="AS570" s="203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02"/>
      <c r="D571" s="2102"/>
      <c r="E571" s="2102"/>
      <c r="F571" s="2102"/>
      <c r="G571" s="2102"/>
      <c r="H571" s="2102"/>
      <c r="I571" s="2102"/>
      <c r="J571" s="2102"/>
      <c r="K571" s="2102"/>
      <c r="L571" s="2102"/>
      <c r="M571" s="2102"/>
      <c r="N571" s="2102"/>
      <c r="O571" s="2102"/>
      <c r="P571" s="2103"/>
      <c r="Q571" s="2062"/>
      <c r="R571" s="2063"/>
      <c r="S571" s="2064"/>
      <c r="T571" s="2062"/>
      <c r="U571" s="2063"/>
      <c r="V571" s="2064"/>
      <c r="W571" s="2531"/>
      <c r="X571" s="2532"/>
      <c r="Y571" s="2533"/>
      <c r="Z571" s="2524" t="s">
        <v>1383</v>
      </c>
      <c r="AA571" s="2524"/>
      <c r="AB571" s="2524"/>
      <c r="AC571" s="2524"/>
      <c r="AD571" s="2524"/>
      <c r="AE571" s="2525"/>
      <c r="AF571" s="2526"/>
      <c r="AG571" s="2526"/>
      <c r="AH571" s="2527"/>
      <c r="AI571" s="2528"/>
      <c r="AJ571" s="2529"/>
      <c r="AK571" s="2529"/>
      <c r="AL571" s="2530"/>
      <c r="AM571" s="2037"/>
      <c r="AN571" s="2038"/>
      <c r="AO571" s="2038"/>
      <c r="AP571" s="2038"/>
      <c r="AQ571" s="2038"/>
      <c r="AR571" s="2038"/>
      <c r="AS571" s="2039"/>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102"/>
      <c r="D572" s="2102"/>
      <c r="E572" s="2102"/>
      <c r="F572" s="2102"/>
      <c r="G572" s="2102"/>
      <c r="H572" s="2102"/>
      <c r="I572" s="2102"/>
      <c r="J572" s="2102"/>
      <c r="K572" s="2102"/>
      <c r="L572" s="2102"/>
      <c r="M572" s="2102"/>
      <c r="N572" s="2102"/>
      <c r="O572" s="2102"/>
      <c r="P572" s="2103"/>
      <c r="Q572" s="2062"/>
      <c r="R572" s="2063"/>
      <c r="S572" s="2064"/>
      <c r="T572" s="2062"/>
      <c r="U572" s="2063"/>
      <c r="V572" s="2064"/>
      <c r="W572" s="2531"/>
      <c r="X572" s="2532"/>
      <c r="Y572" s="2533"/>
      <c r="Z572" s="2524" t="s">
        <v>1383</v>
      </c>
      <c r="AA572" s="2524"/>
      <c r="AB572" s="2524"/>
      <c r="AC572" s="2524"/>
      <c r="AD572" s="2524"/>
      <c r="AE572" s="2525"/>
      <c r="AF572" s="2526"/>
      <c r="AG572" s="2526"/>
      <c r="AH572" s="2527"/>
      <c r="AI572" s="2528"/>
      <c r="AJ572" s="2529"/>
      <c r="AK572" s="2529"/>
      <c r="AL572" s="2530"/>
      <c r="AM572" s="2037"/>
      <c r="AN572" s="2038"/>
      <c r="AO572" s="2038"/>
      <c r="AP572" s="2038"/>
      <c r="AQ572" s="2038"/>
      <c r="AR572" s="2038"/>
      <c r="AS572" s="2039"/>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02"/>
      <c r="D573" s="2102"/>
      <c r="E573" s="2102"/>
      <c r="F573" s="2102"/>
      <c r="G573" s="2102"/>
      <c r="H573" s="2102"/>
      <c r="I573" s="2102"/>
      <c r="J573" s="2102"/>
      <c r="K573" s="2102"/>
      <c r="L573" s="2102"/>
      <c r="M573" s="2102"/>
      <c r="N573" s="2102"/>
      <c r="O573" s="2102"/>
      <c r="P573" s="2103"/>
      <c r="Q573" s="2062"/>
      <c r="R573" s="2063"/>
      <c r="S573" s="2064"/>
      <c r="T573" s="2062"/>
      <c r="U573" s="2063"/>
      <c r="V573" s="2064"/>
      <c r="W573" s="2531"/>
      <c r="X573" s="2532"/>
      <c r="Y573" s="2533"/>
      <c r="Z573" s="2524" t="s">
        <v>1383</v>
      </c>
      <c r="AA573" s="2524"/>
      <c r="AB573" s="2524"/>
      <c r="AC573" s="2524"/>
      <c r="AD573" s="2524"/>
      <c r="AE573" s="2525"/>
      <c r="AF573" s="2526"/>
      <c r="AG573" s="2526"/>
      <c r="AH573" s="2527"/>
      <c r="AI573" s="2528"/>
      <c r="AJ573" s="2529"/>
      <c r="AK573" s="2529"/>
      <c r="AL573" s="2530"/>
      <c r="AM573" s="2037"/>
      <c r="AN573" s="2038"/>
      <c r="AO573" s="2038"/>
      <c r="AP573" s="2038"/>
      <c r="AQ573" s="2038"/>
      <c r="AR573" s="2038"/>
      <c r="AS573" s="203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102"/>
      <c r="D574" s="2102"/>
      <c r="E574" s="2102"/>
      <c r="F574" s="2102"/>
      <c r="G574" s="2102"/>
      <c r="H574" s="2102"/>
      <c r="I574" s="2102"/>
      <c r="J574" s="2102"/>
      <c r="K574" s="2102"/>
      <c r="L574" s="2102"/>
      <c r="M574" s="2102"/>
      <c r="N574" s="2102"/>
      <c r="O574" s="2102"/>
      <c r="P574" s="2103"/>
      <c r="Q574" s="2062"/>
      <c r="R574" s="2063"/>
      <c r="S574" s="2064"/>
      <c r="T574" s="2062"/>
      <c r="U574" s="2063"/>
      <c r="V574" s="2064"/>
      <c r="W574" s="2531"/>
      <c r="X574" s="2532"/>
      <c r="Y574" s="2533"/>
      <c r="Z574" s="2524" t="s">
        <v>1383</v>
      </c>
      <c r="AA574" s="2524"/>
      <c r="AB574" s="2524"/>
      <c r="AC574" s="2524"/>
      <c r="AD574" s="2524"/>
      <c r="AE574" s="2525"/>
      <c r="AF574" s="2526"/>
      <c r="AG574" s="2526"/>
      <c r="AH574" s="2527"/>
      <c r="AI574" s="2528"/>
      <c r="AJ574" s="2529"/>
      <c r="AK574" s="2529"/>
      <c r="AL574" s="2530"/>
      <c r="AM574" s="2037"/>
      <c r="AN574" s="2038"/>
      <c r="AO574" s="2038"/>
      <c r="AP574" s="2038"/>
      <c r="AQ574" s="2038"/>
      <c r="AR574" s="2038"/>
      <c r="AS574" s="203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102"/>
      <c r="D575" s="2102"/>
      <c r="E575" s="2102"/>
      <c r="F575" s="2102"/>
      <c r="G575" s="2102"/>
      <c r="H575" s="2102"/>
      <c r="I575" s="2102"/>
      <c r="J575" s="2102"/>
      <c r="K575" s="2102"/>
      <c r="L575" s="2102"/>
      <c r="M575" s="2102"/>
      <c r="N575" s="2102"/>
      <c r="O575" s="2102"/>
      <c r="P575" s="2103"/>
      <c r="Q575" s="2062"/>
      <c r="R575" s="2063"/>
      <c r="S575" s="2064"/>
      <c r="T575" s="2062"/>
      <c r="U575" s="2063"/>
      <c r="V575" s="2064"/>
      <c r="W575" s="2531"/>
      <c r="X575" s="2532"/>
      <c r="Y575" s="2533"/>
      <c r="Z575" s="2524" t="s">
        <v>1383</v>
      </c>
      <c r="AA575" s="2524"/>
      <c r="AB575" s="2524"/>
      <c r="AC575" s="2524"/>
      <c r="AD575" s="2524"/>
      <c r="AE575" s="2525"/>
      <c r="AF575" s="2526"/>
      <c r="AG575" s="2526"/>
      <c r="AH575" s="2527"/>
      <c r="AI575" s="2528"/>
      <c r="AJ575" s="2529"/>
      <c r="AK575" s="2529"/>
      <c r="AL575" s="2530"/>
      <c r="AM575" s="2037"/>
      <c r="AN575" s="2038"/>
      <c r="AO575" s="2038"/>
      <c r="AP575" s="2038"/>
      <c r="AQ575" s="2038"/>
      <c r="AR575" s="2038"/>
      <c r="AS575" s="203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7" t="s">
        <v>132</v>
      </c>
      <c r="C576" s="2298"/>
      <c r="D576" s="2298"/>
      <c r="E576" s="2298"/>
      <c r="F576" s="2298"/>
      <c r="G576" s="2298"/>
      <c r="H576" s="2298"/>
      <c r="I576" s="2298"/>
      <c r="J576" s="2298"/>
      <c r="K576" s="2298"/>
      <c r="L576" s="2298"/>
      <c r="M576" s="2298"/>
      <c r="N576" s="2298"/>
      <c r="O576" s="2298"/>
      <c r="P576" s="2298"/>
      <c r="Q576" s="2298"/>
      <c r="R576" s="2298"/>
      <c r="S576" s="2298"/>
      <c r="T576" s="2298"/>
      <c r="U576" s="2423"/>
      <c r="V576" s="2298"/>
      <c r="W576" s="2298"/>
      <c r="X576" s="2298"/>
      <c r="Y576" s="2298"/>
      <c r="Z576" s="2298"/>
      <c r="AA576" s="2298"/>
      <c r="AB576" s="2298"/>
      <c r="AC576" s="2298"/>
      <c r="AD576" s="2298"/>
      <c r="AE576" s="2298"/>
      <c r="AF576" s="2298"/>
      <c r="AG576" s="2298"/>
      <c r="AH576" s="2298"/>
      <c r="AI576" s="2298"/>
      <c r="AJ576" s="2298"/>
      <c r="AK576" s="2298"/>
      <c r="AL576" s="2299"/>
      <c r="AM576" s="2205">
        <f>SUM(AM564:AS575)</f>
        <v>25826330</v>
      </c>
      <c r="AN576" s="2206"/>
      <c r="AO576" s="2206"/>
      <c r="AP576" s="2206"/>
      <c r="AQ576" s="2206"/>
      <c r="AR576" s="2206"/>
      <c r="AS576" s="22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36" t="str">
        <f>C564</f>
        <v>Bank of America</v>
      </c>
      <c r="H578" s="2036"/>
      <c r="I578" s="2036"/>
      <c r="J578" s="2036"/>
      <c r="K578" s="2036"/>
      <c r="L578" s="2036"/>
      <c r="M578" s="2036"/>
      <c r="N578" s="2036"/>
      <c r="O578" s="2036"/>
      <c r="P578" s="2036"/>
      <c r="Q578" s="2036"/>
      <c r="R578" s="2036"/>
      <c r="S578" s="14"/>
      <c r="T578" s="87" t="s">
        <v>118</v>
      </c>
      <c r="U578" s="12" t="s">
        <v>496</v>
      </c>
      <c r="Z578" s="2036" t="str">
        <f>C565</f>
        <v>Bank of America</v>
      </c>
      <c r="AA578" s="2036"/>
      <c r="AB578" s="2036"/>
      <c r="AC578" s="2036"/>
      <c r="AD578" s="2036"/>
      <c r="AE578" s="2036"/>
      <c r="AF578" s="2036"/>
      <c r="AG578" s="2036"/>
      <c r="AH578" s="2036"/>
      <c r="AI578" s="2036"/>
      <c r="AJ578" s="2036"/>
      <c r="AK578" s="203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4" t="s">
        <v>2536</v>
      </c>
      <c r="H579" s="2054"/>
      <c r="I579" s="2054"/>
      <c r="J579" s="2054"/>
      <c r="K579" s="2054"/>
      <c r="L579" s="2054"/>
      <c r="M579" s="2054"/>
      <c r="N579" s="2054"/>
      <c r="O579" s="2054"/>
      <c r="P579" s="2054"/>
      <c r="Q579" s="2054"/>
      <c r="R579" s="2054"/>
      <c r="S579" s="14"/>
      <c r="T579" s="35"/>
      <c r="U579" s="12" t="s">
        <v>90</v>
      </c>
      <c r="Z579" s="2054" t="s">
        <v>2536</v>
      </c>
      <c r="AA579" s="2054"/>
      <c r="AB579" s="2054"/>
      <c r="AC579" s="2054"/>
      <c r="AD579" s="2054"/>
      <c r="AE579" s="2054"/>
      <c r="AF579" s="2054"/>
      <c r="AG579" s="2054"/>
      <c r="AH579" s="2054"/>
      <c r="AI579" s="2054"/>
      <c r="AJ579" s="2054"/>
      <c r="AK579" s="205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54" t="s">
        <v>2537</v>
      </c>
      <c r="H580" s="2054"/>
      <c r="I580" s="2054"/>
      <c r="J580" s="2054"/>
      <c r="K580" s="2054"/>
      <c r="L580" s="2054"/>
      <c r="M580" s="2054"/>
      <c r="N580" s="2054"/>
      <c r="O580" s="2054"/>
      <c r="P580" s="2054"/>
      <c r="Q580" s="2054"/>
      <c r="R580" s="2054"/>
      <c r="S580" s="88"/>
      <c r="T580" s="35"/>
      <c r="U580" s="12" t="s">
        <v>615</v>
      </c>
      <c r="Z580" s="2048" t="s">
        <v>2537</v>
      </c>
      <c r="AA580" s="2048"/>
      <c r="AB580" s="2048"/>
      <c r="AC580" s="2048"/>
      <c r="AD580" s="2048"/>
      <c r="AE580" s="2048"/>
      <c r="AF580" s="2048"/>
      <c r="AG580" s="2048"/>
      <c r="AH580" s="2048"/>
      <c r="AI580" s="2048"/>
      <c r="AJ580" s="2048"/>
      <c r="AK580" s="204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2538</v>
      </c>
      <c r="H581" s="2054"/>
      <c r="I581" s="2054"/>
      <c r="J581" s="2054"/>
      <c r="K581" s="2054"/>
      <c r="L581" s="2054"/>
      <c r="M581" s="2054"/>
      <c r="N581" s="2054"/>
      <c r="O581" s="2054"/>
      <c r="P581" s="2054"/>
      <c r="Q581" s="2054"/>
      <c r="R581" s="2054"/>
      <c r="S581" s="14"/>
      <c r="T581" s="35"/>
      <c r="U581" s="12" t="s">
        <v>17</v>
      </c>
      <c r="Z581" s="2048" t="s">
        <v>2538</v>
      </c>
      <c r="AA581" s="2048"/>
      <c r="AB581" s="2048"/>
      <c r="AC581" s="2048"/>
      <c r="AD581" s="2048"/>
      <c r="AE581" s="2048"/>
      <c r="AF581" s="2048"/>
      <c r="AG581" s="2048"/>
      <c r="AH581" s="2048"/>
      <c r="AI581" s="2048"/>
      <c r="AJ581" s="2048"/>
      <c r="AK581" s="204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78">
        <v>2136217590</v>
      </c>
      <c r="H582" s="2078"/>
      <c r="I582" s="2078"/>
      <c r="J582" s="2078"/>
      <c r="K582" s="2078"/>
      <c r="L582" s="2078"/>
      <c r="O582" s="137" t="s">
        <v>212</v>
      </c>
      <c r="P582" s="2047"/>
      <c r="Q582" s="2047"/>
      <c r="R582" s="2047"/>
      <c r="S582" s="16"/>
      <c r="T582" s="35"/>
      <c r="U582" s="12" t="s">
        <v>325</v>
      </c>
      <c r="Z582" s="2078">
        <v>2136217590</v>
      </c>
      <c r="AA582" s="2078"/>
      <c r="AB582" s="2078"/>
      <c r="AC582" s="2078"/>
      <c r="AD582" s="2078"/>
      <c r="AE582" s="2078"/>
      <c r="AH582" s="137" t="s">
        <v>212</v>
      </c>
      <c r="AI582" s="2047"/>
      <c r="AJ582" s="2047"/>
      <c r="AK582" s="204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2539</v>
      </c>
      <c r="I583" s="2054"/>
      <c r="J583" s="2054"/>
      <c r="K583" s="2054"/>
      <c r="L583" s="2054"/>
      <c r="M583" s="2054"/>
      <c r="N583" s="2054"/>
      <c r="O583" s="2054"/>
      <c r="P583" s="2054"/>
      <c r="Q583" s="2054"/>
      <c r="R583" s="2054"/>
      <c r="S583" s="14"/>
      <c r="T583" s="35"/>
      <c r="U583" s="12" t="s">
        <v>18</v>
      </c>
      <c r="AA583" s="2054" t="s">
        <v>2539</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71" t="s">
        <v>2540</v>
      </c>
      <c r="N584" s="2071"/>
      <c r="O584" s="2071"/>
      <c r="P584" s="2071"/>
      <c r="Q584" s="2071"/>
      <c r="R584" s="2071"/>
      <c r="S584" s="14"/>
      <c r="T584" s="35"/>
      <c r="U584" s="509" t="s">
        <v>1384</v>
      </c>
      <c r="V584" s="719"/>
      <c r="W584" s="719"/>
      <c r="X584" s="719"/>
      <c r="Y584" s="719"/>
      <c r="Z584" s="719"/>
      <c r="AA584" s="14"/>
      <c r="AB584" s="14"/>
      <c r="AC584" s="14"/>
      <c r="AD584" s="14"/>
      <c r="AE584" s="14"/>
      <c r="AF584" s="2071" t="s">
        <v>2540</v>
      </c>
      <c r="AG584" s="2071"/>
      <c r="AH584" s="2071"/>
      <c r="AI584" s="2071"/>
      <c r="AJ584" s="2071"/>
      <c r="AK584" s="207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6" t="s">
        <v>578</v>
      </c>
      <c r="O585" s="2046"/>
      <c r="T585" s="35"/>
      <c r="U585" s="12" t="s">
        <v>20</v>
      </c>
      <c r="AG585" s="2046" t="s">
        <v>578</v>
      </c>
      <c r="AH585" s="204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6" t="str">
        <f>C566</f>
        <v>Deferred Developer Fee</v>
      </c>
      <c r="H587" s="2036"/>
      <c r="I587" s="2036"/>
      <c r="J587" s="2036"/>
      <c r="K587" s="2036"/>
      <c r="L587" s="2036"/>
      <c r="M587" s="2036"/>
      <c r="N587" s="2036"/>
      <c r="O587" s="2036"/>
      <c r="P587" s="2036"/>
      <c r="Q587" s="2036"/>
      <c r="R587" s="2036"/>
      <c r="T587" s="87" t="s">
        <v>616</v>
      </c>
      <c r="U587" s="12" t="s">
        <v>496</v>
      </c>
      <c r="Z587" s="2036" t="str">
        <f>C567</f>
        <v>Master Developer Contribution</v>
      </c>
      <c r="AA587" s="2036"/>
      <c r="AB587" s="2036"/>
      <c r="AC587" s="2036"/>
      <c r="AD587" s="2036"/>
      <c r="AE587" s="2036"/>
      <c r="AF587" s="2036"/>
      <c r="AG587" s="2036"/>
      <c r="AH587" s="2036"/>
      <c r="AI587" s="2036"/>
      <c r="AJ587" s="2036"/>
      <c r="AK587" s="203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2528</v>
      </c>
      <c r="H588" s="2054"/>
      <c r="I588" s="2054"/>
      <c r="J588" s="2054"/>
      <c r="K588" s="2054"/>
      <c r="L588" s="2054"/>
      <c r="M588" s="2054"/>
      <c r="N588" s="2054"/>
      <c r="O588" s="2054"/>
      <c r="P588" s="2054"/>
      <c r="Q588" s="2054"/>
      <c r="R588" s="2054"/>
      <c r="T588" s="35"/>
      <c r="U588" s="12" t="s">
        <v>90</v>
      </c>
      <c r="Z588" s="2054" t="s">
        <v>2585</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8" t="s">
        <v>2529</v>
      </c>
      <c r="H589" s="2048"/>
      <c r="I589" s="2048"/>
      <c r="J589" s="2048"/>
      <c r="K589" s="2048"/>
      <c r="L589" s="2048"/>
      <c r="M589" s="2048"/>
      <c r="N589" s="2048"/>
      <c r="O589" s="2048"/>
      <c r="P589" s="2048"/>
      <c r="Q589" s="2048"/>
      <c r="R589" s="2048"/>
      <c r="T589" s="35"/>
      <c r="U589" s="12" t="s">
        <v>615</v>
      </c>
      <c r="Z589" s="2048" t="s">
        <v>67</v>
      </c>
      <c r="AA589" s="2048"/>
      <c r="AB589" s="2048"/>
      <c r="AC589" s="2048"/>
      <c r="AD589" s="2048"/>
      <c r="AE589" s="2048"/>
      <c r="AF589" s="2048"/>
      <c r="AG589" s="2048"/>
      <c r="AH589" s="2048"/>
      <c r="AI589" s="2048"/>
      <c r="AJ589" s="2048"/>
      <c r="AK589" s="204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8" t="s">
        <v>2531</v>
      </c>
      <c r="H590" s="2048"/>
      <c r="I590" s="2048"/>
      <c r="J590" s="2048"/>
      <c r="K590" s="2048"/>
      <c r="L590" s="2048"/>
      <c r="M590" s="2048"/>
      <c r="N590" s="2048"/>
      <c r="O590" s="2048"/>
      <c r="P590" s="2048"/>
      <c r="Q590" s="2048"/>
      <c r="R590" s="2048"/>
      <c r="T590" s="35"/>
      <c r="U590" s="12" t="s">
        <v>17</v>
      </c>
      <c r="Z590" s="2048" t="s">
        <v>2586</v>
      </c>
      <c r="AA590" s="2048"/>
      <c r="AB590" s="2048"/>
      <c r="AC590" s="2048"/>
      <c r="AD590" s="2048"/>
      <c r="AE590" s="2048"/>
      <c r="AF590" s="2048"/>
      <c r="AG590" s="2048"/>
      <c r="AH590" s="2048"/>
      <c r="AI590" s="2048"/>
      <c r="AJ590" s="2048"/>
      <c r="AK590" s="204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78">
        <v>7142887600</v>
      </c>
      <c r="H591" s="2078"/>
      <c r="I591" s="2078"/>
      <c r="J591" s="2078"/>
      <c r="K591" s="2078"/>
      <c r="L591" s="2078"/>
      <c r="O591" s="137" t="s">
        <v>212</v>
      </c>
      <c r="P591" s="2047">
        <v>250</v>
      </c>
      <c r="Q591" s="2047"/>
      <c r="R591" s="2047"/>
      <c r="T591" s="35"/>
      <c r="U591" s="12" t="s">
        <v>325</v>
      </c>
      <c r="Z591" s="2078">
        <v>7143471313</v>
      </c>
      <c r="AA591" s="2078"/>
      <c r="AB591" s="2078"/>
      <c r="AC591" s="2078"/>
      <c r="AD591" s="2078"/>
      <c r="AE591" s="2078"/>
      <c r="AH591" s="137" t="s">
        <v>212</v>
      </c>
      <c r="AI591" s="2047"/>
      <c r="AJ591" s="2047"/>
      <c r="AK591" s="204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491</v>
      </c>
      <c r="I592" s="2054"/>
      <c r="J592" s="2054"/>
      <c r="K592" s="2054"/>
      <c r="L592" s="2054"/>
      <c r="M592" s="2054"/>
      <c r="N592" s="2054"/>
      <c r="O592" s="2054"/>
      <c r="P592" s="2054"/>
      <c r="Q592" s="2054"/>
      <c r="R592" s="2054"/>
      <c r="T592" s="35"/>
      <c r="U592" s="12" t="s">
        <v>18</v>
      </c>
      <c r="AA592" s="2054" t="s">
        <v>2587</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6" t="s">
        <v>578</v>
      </c>
      <c r="O593" s="2046"/>
      <c r="T593" s="35"/>
      <c r="U593" s="12" t="s">
        <v>20</v>
      </c>
      <c r="AG593" s="2046" t="s">
        <v>578</v>
      </c>
      <c r="AH593" s="204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6" t="str">
        <f>C568</f>
        <v>General Partner Equity</v>
      </c>
      <c r="H595" s="2036"/>
      <c r="I595" s="2036"/>
      <c r="J595" s="2036"/>
      <c r="K595" s="2036"/>
      <c r="L595" s="2036"/>
      <c r="M595" s="2036"/>
      <c r="N595" s="2036"/>
      <c r="O595" s="2036"/>
      <c r="P595" s="2036"/>
      <c r="Q595" s="2036"/>
      <c r="R595" s="2036"/>
      <c r="T595" s="87" t="s">
        <v>619</v>
      </c>
      <c r="U595" s="12" t="s">
        <v>496</v>
      </c>
      <c r="Z595" s="2036" t="str">
        <f>C569</f>
        <v>Limited Partner Equity</v>
      </c>
      <c r="AA595" s="2036"/>
      <c r="AB595" s="2036"/>
      <c r="AC595" s="2036"/>
      <c r="AD595" s="2036"/>
      <c r="AE595" s="2036"/>
      <c r="AF595" s="2036"/>
      <c r="AG595" s="2036"/>
      <c r="AH595" s="2036"/>
      <c r="AI595" s="2036"/>
      <c r="AJ595" s="2036"/>
      <c r="AK595" s="203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4" t="s">
        <v>2528</v>
      </c>
      <c r="H596" s="2054"/>
      <c r="I596" s="2054"/>
      <c r="J596" s="2054"/>
      <c r="K596" s="2054"/>
      <c r="L596" s="2054"/>
      <c r="M596" s="2054"/>
      <c r="N596" s="2054"/>
      <c r="O596" s="2054"/>
      <c r="P596" s="2054"/>
      <c r="Q596" s="2054"/>
      <c r="R596" s="2054"/>
      <c r="T596" s="35"/>
      <c r="U596" s="12" t="s">
        <v>90</v>
      </c>
      <c r="Z596" s="2054" t="s">
        <v>2564</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4" t="s">
        <v>2529</v>
      </c>
      <c r="H597" s="2054"/>
      <c r="I597" s="2054"/>
      <c r="J597" s="2054"/>
      <c r="K597" s="2054"/>
      <c r="L597" s="2054"/>
      <c r="M597" s="2054"/>
      <c r="N597" s="2054"/>
      <c r="O597" s="2054"/>
      <c r="P597" s="2054"/>
      <c r="Q597" s="2054"/>
      <c r="R597" s="2054"/>
      <c r="T597" s="35"/>
      <c r="U597" s="12" t="s">
        <v>615</v>
      </c>
      <c r="Z597" s="2048" t="s">
        <v>527</v>
      </c>
      <c r="AA597" s="2048"/>
      <c r="AB597" s="2048"/>
      <c r="AC597" s="2048"/>
      <c r="AD597" s="2048"/>
      <c r="AE597" s="2048"/>
      <c r="AF597" s="2048"/>
      <c r="AG597" s="2048"/>
      <c r="AH597" s="2048"/>
      <c r="AI597" s="2048"/>
      <c r="AJ597" s="2048"/>
      <c r="AK597" s="204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4" t="s">
        <v>2531</v>
      </c>
      <c r="H598" s="2054"/>
      <c r="I598" s="2054"/>
      <c r="J598" s="2054"/>
      <c r="K598" s="2054"/>
      <c r="L598" s="2054"/>
      <c r="M598" s="2054"/>
      <c r="N598" s="2054"/>
      <c r="O598" s="2054"/>
      <c r="P598" s="2054"/>
      <c r="Q598" s="2054"/>
      <c r="R598" s="2054"/>
      <c r="T598" s="35"/>
      <c r="U598" s="12" t="s">
        <v>17</v>
      </c>
      <c r="Z598" s="2048" t="s">
        <v>2565</v>
      </c>
      <c r="AA598" s="2048"/>
      <c r="AB598" s="2048"/>
      <c r="AC598" s="2048"/>
      <c r="AD598" s="2048"/>
      <c r="AE598" s="2048"/>
      <c r="AF598" s="2048"/>
      <c r="AG598" s="2048"/>
      <c r="AH598" s="2048"/>
      <c r="AI598" s="2048"/>
      <c r="AJ598" s="2048"/>
      <c r="AK598" s="204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78">
        <v>7142887600</v>
      </c>
      <c r="H599" s="2078"/>
      <c r="I599" s="2078"/>
      <c r="J599" s="2078"/>
      <c r="K599" s="2078"/>
      <c r="L599" s="2078"/>
      <c r="O599" s="137" t="s">
        <v>212</v>
      </c>
      <c r="P599" s="2047">
        <v>250</v>
      </c>
      <c r="Q599" s="2047"/>
      <c r="R599" s="2047"/>
      <c r="T599" s="35"/>
      <c r="U599" s="12" t="s">
        <v>325</v>
      </c>
      <c r="Z599" s="2078">
        <v>2132403144</v>
      </c>
      <c r="AA599" s="2078"/>
      <c r="AB599" s="2078"/>
      <c r="AC599" s="2078"/>
      <c r="AD599" s="2078"/>
      <c r="AE599" s="2078"/>
      <c r="AH599" s="137" t="s">
        <v>212</v>
      </c>
      <c r="AI599" s="2047"/>
      <c r="AJ599" s="2047"/>
      <c r="AK599" s="204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2588</v>
      </c>
      <c r="I600" s="2054"/>
      <c r="J600" s="2054"/>
      <c r="K600" s="2054"/>
      <c r="L600" s="2054"/>
      <c r="M600" s="2054"/>
      <c r="N600" s="2054"/>
      <c r="O600" s="2054"/>
      <c r="P600" s="2054"/>
      <c r="Q600" s="2054"/>
      <c r="R600" s="2054"/>
      <c r="T600" s="35"/>
      <c r="U600" s="12" t="s">
        <v>18</v>
      </c>
      <c r="AA600" s="2054" t="s">
        <v>2589</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46" t="s">
        <v>578</v>
      </c>
      <c r="O601" s="2046"/>
      <c r="T601" s="35"/>
      <c r="U601" s="12" t="s">
        <v>20</v>
      </c>
      <c r="AG601" s="2046" t="s">
        <v>578</v>
      </c>
      <c r="AH601" s="2046"/>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36" t="str">
        <f>C570</f>
        <v>Other Costs Deferred Until Completion</v>
      </c>
      <c r="H603" s="2036"/>
      <c r="I603" s="2036"/>
      <c r="J603" s="2036"/>
      <c r="K603" s="2036"/>
      <c r="L603" s="2036"/>
      <c r="M603" s="2036"/>
      <c r="N603" s="2036"/>
      <c r="O603" s="2036"/>
      <c r="P603" s="2036"/>
      <c r="Q603" s="2036"/>
      <c r="R603" s="2036"/>
      <c r="T603" s="87" t="s">
        <v>488</v>
      </c>
      <c r="U603" s="12" t="s">
        <v>496</v>
      </c>
      <c r="Z603" s="2036">
        <f>C571</f>
        <v>0</v>
      </c>
      <c r="AA603" s="2036"/>
      <c r="AB603" s="2036"/>
      <c r="AC603" s="2036"/>
      <c r="AD603" s="2036"/>
      <c r="AE603" s="2036"/>
      <c r="AF603" s="2036"/>
      <c r="AG603" s="2036"/>
      <c r="AH603" s="2036"/>
      <c r="AI603" s="2036"/>
      <c r="AJ603" s="2036"/>
      <c r="AK603" s="203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4" t="s">
        <v>2528</v>
      </c>
      <c r="H604" s="2054"/>
      <c r="I604" s="2054"/>
      <c r="J604" s="2054"/>
      <c r="K604" s="2054"/>
      <c r="L604" s="2054"/>
      <c r="M604" s="2054"/>
      <c r="N604" s="2054"/>
      <c r="O604" s="2054"/>
      <c r="P604" s="2054"/>
      <c r="Q604" s="2054"/>
      <c r="R604" s="2054"/>
      <c r="T604" s="35"/>
      <c r="U604" s="12" t="s">
        <v>90</v>
      </c>
      <c r="Z604" s="2054"/>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t="s">
        <v>2529</v>
      </c>
      <c r="H605" s="2054"/>
      <c r="I605" s="2054"/>
      <c r="J605" s="2054"/>
      <c r="K605" s="2054"/>
      <c r="L605" s="2054"/>
      <c r="M605" s="2054"/>
      <c r="N605" s="2054"/>
      <c r="O605" s="2054"/>
      <c r="P605" s="2054"/>
      <c r="Q605" s="2054"/>
      <c r="R605" s="2054"/>
      <c r="T605" s="35"/>
      <c r="U605" s="12" t="s">
        <v>615</v>
      </c>
      <c r="Z605" s="2048"/>
      <c r="AA605" s="2048"/>
      <c r="AB605" s="2048"/>
      <c r="AC605" s="2048"/>
      <c r="AD605" s="2048"/>
      <c r="AE605" s="2048"/>
      <c r="AF605" s="2048"/>
      <c r="AG605" s="2048"/>
      <c r="AH605" s="2048"/>
      <c r="AI605" s="2048"/>
      <c r="AJ605" s="2048"/>
      <c r="AK605" s="204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4" t="s">
        <v>2531</v>
      </c>
      <c r="H606" s="2054"/>
      <c r="I606" s="2054"/>
      <c r="J606" s="2054"/>
      <c r="K606" s="2054"/>
      <c r="L606" s="2054"/>
      <c r="M606" s="2054"/>
      <c r="N606" s="2054"/>
      <c r="O606" s="2054"/>
      <c r="P606" s="2054"/>
      <c r="Q606" s="2054"/>
      <c r="R606" s="2054"/>
      <c r="T606" s="35"/>
      <c r="U606" s="12" t="s">
        <v>17</v>
      </c>
      <c r="Z606" s="2048"/>
      <c r="AA606" s="2048"/>
      <c r="AB606" s="2048"/>
      <c r="AC606" s="2048"/>
      <c r="AD606" s="2048"/>
      <c r="AE606" s="2048"/>
      <c r="AF606" s="2048"/>
      <c r="AG606" s="2048"/>
      <c r="AH606" s="2048"/>
      <c r="AI606" s="2048"/>
      <c r="AJ606" s="2048"/>
      <c r="AK606" s="204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8">
        <v>7142887600</v>
      </c>
      <c r="H607" s="2078"/>
      <c r="I607" s="2078"/>
      <c r="J607" s="2078"/>
      <c r="K607" s="2078"/>
      <c r="L607" s="2078"/>
      <c r="M607" s="12"/>
      <c r="N607" s="12"/>
      <c r="O607" s="137" t="s">
        <v>212</v>
      </c>
      <c r="P607" s="2047">
        <v>250</v>
      </c>
      <c r="Q607" s="2047"/>
      <c r="R607" s="2047"/>
      <c r="S607" s="12"/>
      <c r="T607" s="35"/>
      <c r="U607" s="12" t="s">
        <v>325</v>
      </c>
      <c r="V607" s="12"/>
      <c r="W607" s="12"/>
      <c r="X607" s="12"/>
      <c r="Y607" s="12"/>
      <c r="Z607" s="2078"/>
      <c r="AA607" s="2078"/>
      <c r="AB607" s="2078"/>
      <c r="AC607" s="2078"/>
      <c r="AD607" s="2078"/>
      <c r="AE607" s="2078"/>
      <c r="AF607" s="12"/>
      <c r="AG607" s="12"/>
      <c r="AH607" s="137" t="s">
        <v>212</v>
      </c>
      <c r="AI607" s="2047"/>
      <c r="AJ607" s="2047"/>
      <c r="AK607" s="204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4" t="s">
        <v>491</v>
      </c>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46" t="s">
        <v>578</v>
      </c>
      <c r="O609" s="2046"/>
      <c r="P609" s="12"/>
      <c r="Q609" s="12"/>
      <c r="R609" s="12"/>
      <c r="S609" s="12"/>
      <c r="T609" s="35"/>
      <c r="U609" s="12" t="s">
        <v>20</v>
      </c>
      <c r="V609" s="12"/>
      <c r="W609" s="12"/>
      <c r="X609" s="12"/>
      <c r="Y609" s="12"/>
      <c r="Z609" s="12"/>
      <c r="AA609" s="12"/>
      <c r="AB609" s="12"/>
      <c r="AC609" s="12"/>
      <c r="AD609" s="12"/>
      <c r="AE609" s="12"/>
      <c r="AF609" s="12"/>
      <c r="AG609" s="2046" t="s">
        <v>706</v>
      </c>
      <c r="AH609" s="204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31"/>
      <c r="BH609" s="2033"/>
      <c r="BI609" s="185" t="s">
        <v>508</v>
      </c>
      <c r="BJ609" s="186"/>
      <c r="BK609" s="2031"/>
      <c r="BL609" s="2033"/>
      <c r="BM609" s="58"/>
      <c r="BN609" s="2212" t="s">
        <v>668</v>
      </c>
      <c r="BO609" s="2213"/>
      <c r="BP609" s="2213"/>
      <c r="BQ609" s="2213"/>
      <c r="BR609" s="2214"/>
      <c r="BS609" s="2085" t="s">
        <v>334</v>
      </c>
      <c r="BT609" s="2085"/>
      <c r="BU609" s="2085"/>
      <c r="BV609" s="2085"/>
      <c r="BW609" s="2085"/>
      <c r="BX609" s="2085" t="s">
        <v>168</v>
      </c>
      <c r="BY609" s="2085"/>
      <c r="BZ609" s="2085"/>
      <c r="CA609" s="2085"/>
      <c r="CB609" s="2085"/>
      <c r="CC609" s="2085" t="s">
        <v>169</v>
      </c>
      <c r="CD609" s="2085"/>
      <c r="CE609" s="2085"/>
      <c r="CF609" s="2085"/>
      <c r="CG609" s="2085"/>
      <c r="CH609" s="2085" t="s">
        <v>493</v>
      </c>
      <c r="CI609" s="2085"/>
      <c r="CJ609" s="2085"/>
      <c r="CK609" s="2085"/>
      <c r="CL609" s="2085"/>
      <c r="CM609" s="2085" t="s">
        <v>31</v>
      </c>
      <c r="CN609" s="2085"/>
      <c r="CO609" s="2085"/>
      <c r="CP609" s="2085"/>
      <c r="CQ609" s="2085"/>
      <c r="CR609" s="1804"/>
      <c r="CS609" s="2085" t="s">
        <v>668</v>
      </c>
      <c r="CT609" s="2085"/>
      <c r="CU609" s="2085"/>
      <c r="CV609" s="2085"/>
      <c r="CW609" s="2085"/>
      <c r="CX609" s="2085" t="s">
        <v>334</v>
      </c>
      <c r="CY609" s="2085"/>
      <c r="CZ609" s="2085"/>
      <c r="DA609" s="2085"/>
      <c r="DB609" s="2085"/>
      <c r="DC609" s="2085" t="s">
        <v>168</v>
      </c>
      <c r="DD609" s="2085"/>
      <c r="DE609" s="2085"/>
      <c r="DF609" s="2085"/>
      <c r="DG609" s="2085"/>
      <c r="DH609" s="2085" t="s">
        <v>169</v>
      </c>
      <c r="DI609" s="2085"/>
      <c r="DJ609" s="2085"/>
      <c r="DK609" s="2085"/>
      <c r="DL609" s="2085"/>
      <c r="DM609" s="2085" t="s">
        <v>493</v>
      </c>
      <c r="DN609" s="2085"/>
      <c r="DO609" s="2085"/>
      <c r="DP609" s="2085"/>
      <c r="DQ609" s="2085"/>
      <c r="DR609" s="2085" t="s">
        <v>31</v>
      </c>
      <c r="DS609" s="2085"/>
      <c r="DT609" s="2085"/>
      <c r="DU609" s="2085"/>
      <c r="DV609" s="2085"/>
      <c r="DX609" s="2085" t="s">
        <v>668</v>
      </c>
      <c r="DY609" s="2085"/>
      <c r="DZ609" s="2085"/>
      <c r="EA609" s="2085"/>
      <c r="EB609" s="2085"/>
      <c r="EC609" s="2085" t="s">
        <v>334</v>
      </c>
      <c r="ED609" s="2085"/>
      <c r="EE609" s="2085"/>
      <c r="EF609" s="2085"/>
      <c r="EG609" s="2085"/>
      <c r="EH609" s="2085" t="s">
        <v>168</v>
      </c>
      <c r="EI609" s="2085"/>
      <c r="EJ609" s="2085"/>
      <c r="EK609" s="2085"/>
      <c r="EL609" s="2085"/>
      <c r="EM609" s="2085" t="s">
        <v>169</v>
      </c>
      <c r="EN609" s="2085"/>
      <c r="EO609" s="2085"/>
      <c r="EP609" s="2085"/>
      <c r="EQ609" s="2085"/>
      <c r="ER609" s="2085" t="s">
        <v>493</v>
      </c>
      <c r="ES609" s="2085"/>
      <c r="ET609" s="2085"/>
      <c r="EU609" s="2085"/>
      <c r="EV609" s="2085"/>
      <c r="EW609" s="2085" t="s">
        <v>31</v>
      </c>
      <c r="EX609" s="2085"/>
      <c r="EY609" s="2085"/>
      <c r="EZ609" s="2085"/>
      <c r="FA609" s="208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50">
        <f t="shared" ref="BE610:BE634" si="0">IF(AND(AH728&lt;=0.5,AH728&gt;=0.36),1,0)</f>
        <v>0</v>
      </c>
      <c r="BF610" s="2052"/>
      <c r="BG610" s="2031">
        <f t="shared" ref="BG610:BG634" si="1">IF(BE610=1,G728,0)</f>
        <v>0</v>
      </c>
      <c r="BH610" s="2033"/>
      <c r="BI610" s="2050">
        <f t="shared" ref="BI610:BI634" si="2">IF(AND(AH728&lt;=0.35,AH728&gt;0),1,0)</f>
        <v>1</v>
      </c>
      <c r="BJ610" s="2052"/>
      <c r="BK610" s="2031">
        <f t="shared" ref="BK610:BK634" si="3">IF(BI610=1,G728,0)</f>
        <v>7</v>
      </c>
      <c r="BL610" s="2033"/>
      <c r="BM610" s="58"/>
      <c r="BN610" s="2024">
        <f t="shared" ref="BN610:BN634" si="4">IF(B728="SRO/Studio",G728,0)</f>
        <v>0</v>
      </c>
      <c r="BO610" s="2025"/>
      <c r="BP610" s="2025"/>
      <c r="BQ610" s="2025"/>
      <c r="BR610" s="2026"/>
      <c r="BS610" s="2030">
        <f t="shared" ref="BS610:BS634" si="5">IF(B728="1 Bedroom",G728,0)</f>
        <v>7</v>
      </c>
      <c r="BT610" s="2030"/>
      <c r="BU610" s="2030"/>
      <c r="BV610" s="2030"/>
      <c r="BW610" s="2030"/>
      <c r="BX610" s="2030">
        <f t="shared" ref="BX610:BX634" si="6">IF(B728="2 Bedrooms",G728,0)</f>
        <v>0</v>
      </c>
      <c r="BY610" s="2030"/>
      <c r="BZ610" s="2030"/>
      <c r="CA610" s="2030"/>
      <c r="CB610" s="2030"/>
      <c r="CC610" s="2030">
        <f t="shared" ref="CC610:CC634" si="7">IF(B728="3 Bedrooms",G728,0)</f>
        <v>0</v>
      </c>
      <c r="CD610" s="2030"/>
      <c r="CE610" s="2030"/>
      <c r="CF610" s="2030"/>
      <c r="CG610" s="2030"/>
      <c r="CH610" s="2030">
        <f t="shared" ref="CH610:CH634" si="8">IF(B728="4 Bedrooms",G728,0)</f>
        <v>0</v>
      </c>
      <c r="CI610" s="2030"/>
      <c r="CJ610" s="2030"/>
      <c r="CK610" s="2030"/>
      <c r="CL610" s="2030"/>
      <c r="CM610" s="2030">
        <f t="shared" ref="CM610:CM634" si="9">IF(B728="5 Bedrooms",G728,0)</f>
        <v>0</v>
      </c>
      <c r="CN610" s="2030"/>
      <c r="CO610" s="2030"/>
      <c r="CP610" s="2030"/>
      <c r="CQ610" s="2030"/>
      <c r="CR610" s="265"/>
      <c r="CS610" s="2049">
        <f t="shared" ref="CS610:CS634" si="10">IF(AND(B728="SRO/Studio",AH728&lt;=0.3),G728,0)</f>
        <v>0</v>
      </c>
      <c r="CT610" s="2049"/>
      <c r="CU610" s="2049"/>
      <c r="CV610" s="2049"/>
      <c r="CW610" s="2049"/>
      <c r="CX610" s="2049">
        <f t="shared" ref="CX610:CX634" si="11">IF(AND(B728="1 Bedroom",AH728&lt;=0.3),G728,0)</f>
        <v>7</v>
      </c>
      <c r="CY610" s="2049"/>
      <c r="CZ610" s="2049"/>
      <c r="DA610" s="2049"/>
      <c r="DB610" s="2049"/>
      <c r="DC610" s="2049">
        <f t="shared" ref="DC610:DC634" si="12">IF(AND(B728="2 Bedrooms",AH728&lt;=0.3),G728,0)</f>
        <v>0</v>
      </c>
      <c r="DD610" s="2049"/>
      <c r="DE610" s="2049"/>
      <c r="DF610" s="2049"/>
      <c r="DG610" s="2049"/>
      <c r="DH610" s="2049">
        <f t="shared" ref="DH610:DH634" si="13">IF(AND(B728="3 Bedrooms",AH728&lt;=0.3),G728,0)</f>
        <v>0</v>
      </c>
      <c r="DI610" s="2049"/>
      <c r="DJ610" s="2049"/>
      <c r="DK610" s="2049"/>
      <c r="DL610" s="2049"/>
      <c r="DM610" s="2049">
        <f t="shared" ref="DM610:DM634" si="14">IF(AND(B728="4 Bedrooms",AH728&lt;=0.3),G728,0)</f>
        <v>0</v>
      </c>
      <c r="DN610" s="2049"/>
      <c r="DO610" s="2049"/>
      <c r="DP610" s="2049"/>
      <c r="DQ610" s="2049"/>
      <c r="DR610" s="2049">
        <f t="shared" ref="DR610:DR634" si="15">IF(AND(B728="5 Bedrooms",AH728&lt;=0.3),G728,0)</f>
        <v>0</v>
      </c>
      <c r="DS610" s="2049"/>
      <c r="DT610" s="2049"/>
      <c r="DU610" s="2049"/>
      <c r="DV610" s="2049"/>
      <c r="DX610" s="2050" t="str">
        <f t="shared" ref="DX610:DX634" si="16">IF(BN610&gt;0,O728," ")</f>
        <v xml:space="preserve"> </v>
      </c>
      <c r="DY610" s="2051"/>
      <c r="DZ610" s="2051"/>
      <c r="EA610" s="2051"/>
      <c r="EB610" s="2052"/>
      <c r="EC610" s="2050">
        <f t="shared" ref="EC610:EC634" si="17">IF(BS610&gt;0,O728," ")</f>
        <v>212</v>
      </c>
      <c r="ED610" s="2051"/>
      <c r="EE610" s="2051"/>
      <c r="EF610" s="2051"/>
      <c r="EG610" s="2052"/>
      <c r="EH610" s="2050" t="str">
        <f t="shared" ref="EH610:EH634" si="18">IF(BX610&gt;0,O728," ")</f>
        <v xml:space="preserve"> </v>
      </c>
      <c r="EI610" s="2051"/>
      <c r="EJ610" s="2051"/>
      <c r="EK610" s="2051"/>
      <c r="EL610" s="2052"/>
      <c r="EM610" s="2050" t="str">
        <f t="shared" ref="EM610:EM634" si="19">IF(CC610&gt;0,O728," ")</f>
        <v xml:space="preserve"> </v>
      </c>
      <c r="EN610" s="2051"/>
      <c r="EO610" s="2051"/>
      <c r="EP610" s="2051"/>
      <c r="EQ610" s="2052"/>
      <c r="ER610" s="2050" t="str">
        <f t="shared" ref="ER610:ER634" si="20">IF(CH610&gt;0,O728," ")</f>
        <v xml:space="preserve"> </v>
      </c>
      <c r="ES610" s="2051"/>
      <c r="ET610" s="2051"/>
      <c r="EU610" s="2051"/>
      <c r="EV610" s="2052"/>
      <c r="EW610" s="2050" t="str">
        <f t="shared" ref="EW610:EW634" si="21">IF(CM610&gt;0,O728," ")</f>
        <v xml:space="preserve"> </v>
      </c>
      <c r="EX610" s="2051"/>
      <c r="EY610" s="2051"/>
      <c r="EZ610" s="2051"/>
      <c r="FA610" s="2052"/>
    </row>
    <row r="611" spans="1:157" s="7" customFormat="1" ht="12.5">
      <c r="A611" s="87" t="s">
        <v>494</v>
      </c>
      <c r="B611" s="12" t="s">
        <v>496</v>
      </c>
      <c r="C611" s="12"/>
      <c r="D611" s="12"/>
      <c r="E611" s="12"/>
      <c r="F611" s="12"/>
      <c r="G611" s="2036">
        <f>C572</f>
        <v>0</v>
      </c>
      <c r="H611" s="2036"/>
      <c r="I611" s="2036"/>
      <c r="J611" s="2036"/>
      <c r="K611" s="2036"/>
      <c r="L611" s="2036"/>
      <c r="M611" s="2036"/>
      <c r="N611" s="2036"/>
      <c r="O611" s="2036"/>
      <c r="P611" s="2036"/>
      <c r="Q611" s="2036"/>
      <c r="R611" s="2036"/>
      <c r="S611" s="12"/>
      <c r="T611" s="87" t="s">
        <v>681</v>
      </c>
      <c r="U611" s="12" t="s">
        <v>496</v>
      </c>
      <c r="V611" s="12"/>
      <c r="W611" s="12"/>
      <c r="X611" s="12"/>
      <c r="Y611" s="12"/>
      <c r="Z611" s="2036">
        <f>C573</f>
        <v>0</v>
      </c>
      <c r="AA611" s="2036"/>
      <c r="AB611" s="2036"/>
      <c r="AC611" s="2036"/>
      <c r="AD611" s="2036"/>
      <c r="AE611" s="2036"/>
      <c r="AF611" s="2036"/>
      <c r="AG611" s="2036"/>
      <c r="AH611" s="2036"/>
      <c r="AI611" s="2036"/>
      <c r="AJ611" s="2036"/>
      <c r="AK611" s="2036"/>
      <c r="AL611" s="12"/>
      <c r="AM611" s="39"/>
      <c r="AN611" s="39"/>
      <c r="AO611" s="39"/>
      <c r="AP611" s="39"/>
      <c r="AQ611" s="39"/>
      <c r="AR611" s="39"/>
      <c r="AS611" s="39"/>
      <c r="AT611" s="39"/>
      <c r="AU611" s="39"/>
      <c r="AV611" s="39"/>
      <c r="AW611" s="39"/>
      <c r="AX611" s="39"/>
      <c r="AY611" s="39"/>
      <c r="BA611" s="7" t="s">
        <v>168</v>
      </c>
      <c r="BB611" s="58"/>
      <c r="BC611" s="58"/>
      <c r="BD611" s="58"/>
      <c r="BE611" s="2050">
        <f t="shared" si="0"/>
        <v>0</v>
      </c>
      <c r="BF611" s="2052"/>
      <c r="BG611" s="2031">
        <f t="shared" si="1"/>
        <v>0</v>
      </c>
      <c r="BH611" s="2033"/>
      <c r="BI611" s="2050">
        <f t="shared" si="2"/>
        <v>1</v>
      </c>
      <c r="BJ611" s="2052"/>
      <c r="BK611" s="2031">
        <f t="shared" si="3"/>
        <v>2</v>
      </c>
      <c r="BL611" s="2033"/>
      <c r="BM611" s="58"/>
      <c r="BN611" s="2024">
        <f t="shared" si="4"/>
        <v>0</v>
      </c>
      <c r="BO611" s="2025"/>
      <c r="BP611" s="2025"/>
      <c r="BQ611" s="2025"/>
      <c r="BR611" s="2026"/>
      <c r="BS611" s="2030">
        <f t="shared" si="5"/>
        <v>0</v>
      </c>
      <c r="BT611" s="2030"/>
      <c r="BU611" s="2030"/>
      <c r="BV611" s="2030"/>
      <c r="BW611" s="2030"/>
      <c r="BX611" s="2030">
        <f t="shared" si="6"/>
        <v>2</v>
      </c>
      <c r="BY611" s="2030"/>
      <c r="BZ611" s="2030"/>
      <c r="CA611" s="2030"/>
      <c r="CB611" s="2030"/>
      <c r="CC611" s="2030">
        <f t="shared" si="7"/>
        <v>0</v>
      </c>
      <c r="CD611" s="2030"/>
      <c r="CE611" s="2030"/>
      <c r="CF611" s="2030"/>
      <c r="CG611" s="2030"/>
      <c r="CH611" s="2030">
        <f t="shared" si="8"/>
        <v>0</v>
      </c>
      <c r="CI611" s="2030"/>
      <c r="CJ611" s="2030"/>
      <c r="CK611" s="2030"/>
      <c r="CL611" s="2030"/>
      <c r="CM611" s="2030">
        <f t="shared" si="9"/>
        <v>0</v>
      </c>
      <c r="CN611" s="2030"/>
      <c r="CO611" s="2030"/>
      <c r="CP611" s="2030"/>
      <c r="CQ611" s="2030"/>
      <c r="CR611" s="265"/>
      <c r="CS611" s="2049">
        <f t="shared" si="10"/>
        <v>0</v>
      </c>
      <c r="CT611" s="2049"/>
      <c r="CU611" s="2049"/>
      <c r="CV611" s="2049"/>
      <c r="CW611" s="2049"/>
      <c r="CX611" s="2049">
        <f t="shared" si="11"/>
        <v>0</v>
      </c>
      <c r="CY611" s="2049"/>
      <c r="CZ611" s="2049"/>
      <c r="DA611" s="2049"/>
      <c r="DB611" s="2049"/>
      <c r="DC611" s="2049">
        <f t="shared" si="12"/>
        <v>2</v>
      </c>
      <c r="DD611" s="2049"/>
      <c r="DE611" s="2049"/>
      <c r="DF611" s="2049"/>
      <c r="DG611" s="2049"/>
      <c r="DH611" s="2049">
        <f t="shared" si="13"/>
        <v>0</v>
      </c>
      <c r="DI611" s="2049"/>
      <c r="DJ611" s="2049"/>
      <c r="DK611" s="2049"/>
      <c r="DL611" s="2049"/>
      <c r="DM611" s="2049">
        <f t="shared" si="14"/>
        <v>0</v>
      </c>
      <c r="DN611" s="2049"/>
      <c r="DO611" s="2049"/>
      <c r="DP611" s="2049"/>
      <c r="DQ611" s="2049"/>
      <c r="DR611" s="2049">
        <f t="shared" si="15"/>
        <v>0</v>
      </c>
      <c r="DS611" s="2049"/>
      <c r="DT611" s="2049"/>
      <c r="DU611" s="2049"/>
      <c r="DV611" s="2049"/>
      <c r="DX611" s="2050" t="str">
        <f t="shared" si="16"/>
        <v xml:space="preserve"> </v>
      </c>
      <c r="DY611" s="2051"/>
      <c r="DZ611" s="2051"/>
      <c r="EA611" s="2051"/>
      <c r="EB611" s="2052"/>
      <c r="EC611" s="2050" t="str">
        <f t="shared" si="17"/>
        <v xml:space="preserve"> </v>
      </c>
      <c r="ED611" s="2051"/>
      <c r="EE611" s="2051"/>
      <c r="EF611" s="2051"/>
      <c r="EG611" s="2052"/>
      <c r="EH611" s="2050">
        <f t="shared" si="18"/>
        <v>805</v>
      </c>
      <c r="EI611" s="2051"/>
      <c r="EJ611" s="2051"/>
      <c r="EK611" s="2051"/>
      <c r="EL611" s="2052"/>
      <c r="EM611" s="2050" t="str">
        <f t="shared" si="19"/>
        <v xml:space="preserve"> </v>
      </c>
      <c r="EN611" s="2051"/>
      <c r="EO611" s="2051"/>
      <c r="EP611" s="2051"/>
      <c r="EQ611" s="2052"/>
      <c r="ER611" s="2050" t="str">
        <f t="shared" si="20"/>
        <v xml:space="preserve"> </v>
      </c>
      <c r="ES611" s="2051"/>
      <c r="ET611" s="2051"/>
      <c r="EU611" s="2051"/>
      <c r="EV611" s="2052"/>
      <c r="EW611" s="2050" t="str">
        <f t="shared" si="21"/>
        <v xml:space="preserve"> </v>
      </c>
      <c r="EX611" s="2051"/>
      <c r="EY611" s="2051"/>
      <c r="EZ611" s="2051"/>
      <c r="FA611" s="2052"/>
    </row>
    <row r="612" spans="1:157" ht="12.5">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50">
        <f t="shared" si="0"/>
        <v>1</v>
      </c>
      <c r="BF612" s="2052"/>
      <c r="BG612" s="2031">
        <f t="shared" si="1"/>
        <v>5</v>
      </c>
      <c r="BH612" s="2033"/>
      <c r="BI612" s="2050">
        <f t="shared" si="2"/>
        <v>0</v>
      </c>
      <c r="BJ612" s="2052"/>
      <c r="BK612" s="2031">
        <f t="shared" si="3"/>
        <v>0</v>
      </c>
      <c r="BL612" s="2033"/>
      <c r="BM612" s="58"/>
      <c r="BN612" s="2024">
        <f t="shared" si="4"/>
        <v>0</v>
      </c>
      <c r="BO612" s="2025"/>
      <c r="BP612" s="2025"/>
      <c r="BQ612" s="2025"/>
      <c r="BR612" s="2026"/>
      <c r="BS612" s="2030">
        <f t="shared" si="5"/>
        <v>5</v>
      </c>
      <c r="BT612" s="2030"/>
      <c r="BU612" s="2030"/>
      <c r="BV612" s="2030"/>
      <c r="BW612" s="2030"/>
      <c r="BX612" s="2030">
        <f t="shared" si="6"/>
        <v>0</v>
      </c>
      <c r="BY612" s="2030"/>
      <c r="BZ612" s="2030"/>
      <c r="CA612" s="2030"/>
      <c r="CB612" s="2030"/>
      <c r="CC612" s="2030">
        <f t="shared" si="7"/>
        <v>0</v>
      </c>
      <c r="CD612" s="2030"/>
      <c r="CE612" s="2030"/>
      <c r="CF612" s="2030"/>
      <c r="CG612" s="2030"/>
      <c r="CH612" s="2030">
        <f t="shared" si="8"/>
        <v>0</v>
      </c>
      <c r="CI612" s="2030"/>
      <c r="CJ612" s="2030"/>
      <c r="CK612" s="2030"/>
      <c r="CL612" s="2030"/>
      <c r="CM612" s="2030">
        <f t="shared" si="9"/>
        <v>0</v>
      </c>
      <c r="CN612" s="2030"/>
      <c r="CO612" s="2030"/>
      <c r="CP612" s="2030"/>
      <c r="CQ612" s="2030"/>
      <c r="CR612" s="265"/>
      <c r="CS612" s="2049">
        <f t="shared" si="10"/>
        <v>0</v>
      </c>
      <c r="CT612" s="2049"/>
      <c r="CU612" s="2049"/>
      <c r="CV612" s="2049"/>
      <c r="CW612" s="2049"/>
      <c r="CX612" s="2049">
        <f t="shared" si="11"/>
        <v>0</v>
      </c>
      <c r="CY612" s="2049"/>
      <c r="CZ612" s="2049"/>
      <c r="DA612" s="2049"/>
      <c r="DB612" s="2049"/>
      <c r="DC612" s="2049">
        <f t="shared" si="12"/>
        <v>0</v>
      </c>
      <c r="DD612" s="2049"/>
      <c r="DE612" s="2049"/>
      <c r="DF612" s="2049"/>
      <c r="DG612" s="2049"/>
      <c r="DH612" s="2049">
        <f t="shared" si="13"/>
        <v>0</v>
      </c>
      <c r="DI612" s="2049"/>
      <c r="DJ612" s="2049"/>
      <c r="DK612" s="2049"/>
      <c r="DL612" s="2049"/>
      <c r="DM612" s="2049">
        <f t="shared" si="14"/>
        <v>0</v>
      </c>
      <c r="DN612" s="2049"/>
      <c r="DO612" s="2049"/>
      <c r="DP612" s="2049"/>
      <c r="DQ612" s="2049"/>
      <c r="DR612" s="2049">
        <f t="shared" si="15"/>
        <v>0</v>
      </c>
      <c r="DS612" s="2049"/>
      <c r="DT612" s="2049"/>
      <c r="DU612" s="2049"/>
      <c r="DV612" s="2049"/>
      <c r="DX612" s="2050" t="str">
        <f t="shared" si="16"/>
        <v xml:space="preserve"> </v>
      </c>
      <c r="DY612" s="2051"/>
      <c r="DZ612" s="2051"/>
      <c r="EA612" s="2051"/>
      <c r="EB612" s="2052"/>
      <c r="EC612" s="2050">
        <f t="shared" si="17"/>
        <v>1187</v>
      </c>
      <c r="ED612" s="2051"/>
      <c r="EE612" s="2051"/>
      <c r="EF612" s="2051"/>
      <c r="EG612" s="2052"/>
      <c r="EH612" s="2050" t="str">
        <f t="shared" si="18"/>
        <v xml:space="preserve"> </v>
      </c>
      <c r="EI612" s="2051"/>
      <c r="EJ612" s="2051"/>
      <c r="EK612" s="2051"/>
      <c r="EL612" s="2052"/>
      <c r="EM612" s="2050" t="str">
        <f t="shared" si="19"/>
        <v xml:space="preserve"> </v>
      </c>
      <c r="EN612" s="2051"/>
      <c r="EO612" s="2051"/>
      <c r="EP612" s="2051"/>
      <c r="EQ612" s="2052"/>
      <c r="ER612" s="2050" t="str">
        <f t="shared" si="20"/>
        <v xml:space="preserve"> </v>
      </c>
      <c r="ES612" s="2051"/>
      <c r="ET612" s="2051"/>
      <c r="EU612" s="2051"/>
      <c r="EV612" s="2052"/>
      <c r="EW612" s="2050" t="str">
        <f t="shared" si="21"/>
        <v xml:space="preserve"> </v>
      </c>
      <c r="EX612" s="2051"/>
      <c r="EY612" s="2051"/>
      <c r="EZ612" s="2051"/>
      <c r="FA612" s="2052"/>
    </row>
    <row r="613" spans="1:157" ht="12.5">
      <c r="A613" s="35"/>
      <c r="B613" s="12" t="s">
        <v>615</v>
      </c>
      <c r="G613" s="2054"/>
      <c r="H613" s="2054"/>
      <c r="I613" s="2054"/>
      <c r="J613" s="2054"/>
      <c r="K613" s="2054"/>
      <c r="L613" s="2054"/>
      <c r="M613" s="2054"/>
      <c r="N613" s="2054"/>
      <c r="O613" s="2054"/>
      <c r="P613" s="2054"/>
      <c r="Q613" s="2054"/>
      <c r="R613" s="2054"/>
      <c r="T613" s="35"/>
      <c r="U613" s="12" t="s">
        <v>615</v>
      </c>
      <c r="Z613" s="2048"/>
      <c r="AA613" s="2048"/>
      <c r="AB613" s="2048"/>
      <c r="AC613" s="2048"/>
      <c r="AD613" s="2048"/>
      <c r="AE613" s="2048"/>
      <c r="AF613" s="2048"/>
      <c r="AG613" s="2048"/>
      <c r="AH613" s="2048"/>
      <c r="AI613" s="2048"/>
      <c r="AJ613" s="2048"/>
      <c r="AK613" s="2048"/>
      <c r="BA613" s="7" t="s">
        <v>170</v>
      </c>
      <c r="BB613" s="58"/>
      <c r="BC613" s="58"/>
      <c r="BD613" s="58"/>
      <c r="BE613" s="2050">
        <f t="shared" si="0"/>
        <v>1</v>
      </c>
      <c r="BF613" s="2052"/>
      <c r="BG613" s="2031">
        <f t="shared" si="1"/>
        <v>2</v>
      </c>
      <c r="BH613" s="2033"/>
      <c r="BI613" s="2050">
        <f t="shared" si="2"/>
        <v>0</v>
      </c>
      <c r="BJ613" s="2052"/>
      <c r="BK613" s="2031">
        <f t="shared" si="3"/>
        <v>0</v>
      </c>
      <c r="BL613" s="2033"/>
      <c r="BM613" s="58"/>
      <c r="BN613" s="2024">
        <f t="shared" si="4"/>
        <v>0</v>
      </c>
      <c r="BO613" s="2025"/>
      <c r="BP613" s="2025"/>
      <c r="BQ613" s="2025"/>
      <c r="BR613" s="2026"/>
      <c r="BS613" s="2030">
        <f t="shared" si="5"/>
        <v>0</v>
      </c>
      <c r="BT613" s="2030"/>
      <c r="BU613" s="2030"/>
      <c r="BV613" s="2030"/>
      <c r="BW613" s="2030"/>
      <c r="BX613" s="2030">
        <f t="shared" si="6"/>
        <v>2</v>
      </c>
      <c r="BY613" s="2030"/>
      <c r="BZ613" s="2030"/>
      <c r="CA613" s="2030"/>
      <c r="CB613" s="2030"/>
      <c r="CC613" s="2030">
        <f t="shared" si="7"/>
        <v>0</v>
      </c>
      <c r="CD613" s="2030"/>
      <c r="CE613" s="2030"/>
      <c r="CF613" s="2030"/>
      <c r="CG613" s="2030"/>
      <c r="CH613" s="2030">
        <f t="shared" si="8"/>
        <v>0</v>
      </c>
      <c r="CI613" s="2030"/>
      <c r="CJ613" s="2030"/>
      <c r="CK613" s="2030"/>
      <c r="CL613" s="2030"/>
      <c r="CM613" s="2030">
        <f t="shared" si="9"/>
        <v>0</v>
      </c>
      <c r="CN613" s="2030"/>
      <c r="CO613" s="2030"/>
      <c r="CP613" s="2030"/>
      <c r="CQ613" s="2030"/>
      <c r="CR613" s="265"/>
      <c r="CS613" s="2049">
        <f t="shared" si="10"/>
        <v>0</v>
      </c>
      <c r="CT613" s="2049"/>
      <c r="CU613" s="2049"/>
      <c r="CV613" s="2049"/>
      <c r="CW613" s="2049"/>
      <c r="CX613" s="2049">
        <f t="shared" si="11"/>
        <v>0</v>
      </c>
      <c r="CY613" s="2049"/>
      <c r="CZ613" s="2049"/>
      <c r="DA613" s="2049"/>
      <c r="DB613" s="2049"/>
      <c r="DC613" s="2049">
        <f t="shared" si="12"/>
        <v>0</v>
      </c>
      <c r="DD613" s="2049"/>
      <c r="DE613" s="2049"/>
      <c r="DF613" s="2049"/>
      <c r="DG613" s="2049"/>
      <c r="DH613" s="2049">
        <f t="shared" si="13"/>
        <v>0</v>
      </c>
      <c r="DI613" s="2049"/>
      <c r="DJ613" s="2049"/>
      <c r="DK613" s="2049"/>
      <c r="DL613" s="2049"/>
      <c r="DM613" s="2049">
        <f t="shared" si="14"/>
        <v>0</v>
      </c>
      <c r="DN613" s="2049"/>
      <c r="DO613" s="2049"/>
      <c r="DP613" s="2049"/>
      <c r="DQ613" s="2049"/>
      <c r="DR613" s="2049">
        <f t="shared" si="15"/>
        <v>0</v>
      </c>
      <c r="DS613" s="2049"/>
      <c r="DT613" s="2049"/>
      <c r="DU613" s="2049"/>
      <c r="DV613" s="2049"/>
      <c r="DX613" s="2050" t="str">
        <f t="shared" si="16"/>
        <v xml:space="preserve"> </v>
      </c>
      <c r="DY613" s="2051"/>
      <c r="DZ613" s="2051"/>
      <c r="EA613" s="2051"/>
      <c r="EB613" s="2052"/>
      <c r="EC613" s="2050" t="str">
        <f t="shared" si="17"/>
        <v xml:space="preserve"> </v>
      </c>
      <c r="ED613" s="2051"/>
      <c r="EE613" s="2051"/>
      <c r="EF613" s="2051"/>
      <c r="EG613" s="2052"/>
      <c r="EH613" s="2050">
        <f t="shared" si="18"/>
        <v>1410</v>
      </c>
      <c r="EI613" s="2051"/>
      <c r="EJ613" s="2051"/>
      <c r="EK613" s="2051"/>
      <c r="EL613" s="2052"/>
      <c r="EM613" s="2050" t="str">
        <f t="shared" si="19"/>
        <v xml:space="preserve"> </v>
      </c>
      <c r="EN613" s="2051"/>
      <c r="EO613" s="2051"/>
      <c r="EP613" s="2051"/>
      <c r="EQ613" s="2052"/>
      <c r="ER613" s="2050" t="str">
        <f t="shared" si="20"/>
        <v xml:space="preserve"> </v>
      </c>
      <c r="ES613" s="2051"/>
      <c r="ET613" s="2051"/>
      <c r="EU613" s="2051"/>
      <c r="EV613" s="2052"/>
      <c r="EW613" s="2050" t="str">
        <f t="shared" si="21"/>
        <v xml:space="preserve"> </v>
      </c>
      <c r="EX613" s="2051"/>
      <c r="EY613" s="2051"/>
      <c r="EZ613" s="2051"/>
      <c r="FA613" s="2052"/>
    </row>
    <row r="614" spans="1:157" ht="12.5">
      <c r="A614" s="35"/>
      <c r="B614" s="12" t="s">
        <v>17</v>
      </c>
      <c r="G614" s="2054"/>
      <c r="H614" s="2054"/>
      <c r="I614" s="2054"/>
      <c r="J614" s="2054"/>
      <c r="K614" s="2054"/>
      <c r="L614" s="2054"/>
      <c r="M614" s="2054"/>
      <c r="N614" s="2054"/>
      <c r="O614" s="2054"/>
      <c r="P614" s="2054"/>
      <c r="Q614" s="2054"/>
      <c r="R614" s="2054"/>
      <c r="T614" s="35"/>
      <c r="U614" s="12" t="s">
        <v>17</v>
      </c>
      <c r="Z614" s="2048"/>
      <c r="AA614" s="2048"/>
      <c r="AB614" s="2048"/>
      <c r="AC614" s="2048"/>
      <c r="AD614" s="2048"/>
      <c r="AE614" s="2048"/>
      <c r="AF614" s="2048"/>
      <c r="AG614" s="2048"/>
      <c r="AH614" s="2048"/>
      <c r="AI614" s="2048"/>
      <c r="AJ614" s="2048"/>
      <c r="AK614" s="2048"/>
      <c r="BA614" s="7" t="s">
        <v>31</v>
      </c>
      <c r="BB614" s="58"/>
      <c r="BC614" s="58"/>
      <c r="BD614" s="58"/>
      <c r="BE614" s="2050">
        <f t="shared" si="0"/>
        <v>0</v>
      </c>
      <c r="BF614" s="2052"/>
      <c r="BG614" s="2031">
        <f t="shared" si="1"/>
        <v>0</v>
      </c>
      <c r="BH614" s="2033"/>
      <c r="BI614" s="2050">
        <f t="shared" si="2"/>
        <v>0</v>
      </c>
      <c r="BJ614" s="2052"/>
      <c r="BK614" s="2031">
        <f t="shared" si="3"/>
        <v>0</v>
      </c>
      <c r="BL614" s="2033"/>
      <c r="BM614" s="58"/>
      <c r="BN614" s="2024">
        <f t="shared" si="4"/>
        <v>0</v>
      </c>
      <c r="BO614" s="2025"/>
      <c r="BP614" s="2025"/>
      <c r="BQ614" s="2025"/>
      <c r="BR614" s="2026"/>
      <c r="BS614" s="2030">
        <f t="shared" si="5"/>
        <v>40</v>
      </c>
      <c r="BT614" s="2030"/>
      <c r="BU614" s="2030"/>
      <c r="BV614" s="2030"/>
      <c r="BW614" s="2030"/>
      <c r="BX614" s="2030">
        <f t="shared" si="6"/>
        <v>0</v>
      </c>
      <c r="BY614" s="2030"/>
      <c r="BZ614" s="2030"/>
      <c r="CA614" s="2030"/>
      <c r="CB614" s="2030"/>
      <c r="CC614" s="2030">
        <f t="shared" si="7"/>
        <v>0</v>
      </c>
      <c r="CD614" s="2030"/>
      <c r="CE614" s="2030"/>
      <c r="CF614" s="2030"/>
      <c r="CG614" s="2030"/>
      <c r="CH614" s="2030">
        <f t="shared" si="8"/>
        <v>0</v>
      </c>
      <c r="CI614" s="2030"/>
      <c r="CJ614" s="2030"/>
      <c r="CK614" s="2030"/>
      <c r="CL614" s="2030"/>
      <c r="CM614" s="2030">
        <f t="shared" si="9"/>
        <v>0</v>
      </c>
      <c r="CN614" s="2030"/>
      <c r="CO614" s="2030"/>
      <c r="CP614" s="2030"/>
      <c r="CQ614" s="2030"/>
      <c r="CR614" s="265"/>
      <c r="CS614" s="2049">
        <f t="shared" si="10"/>
        <v>0</v>
      </c>
      <c r="CT614" s="2049"/>
      <c r="CU614" s="2049"/>
      <c r="CV614" s="2049"/>
      <c r="CW614" s="2049"/>
      <c r="CX614" s="2049">
        <f t="shared" si="11"/>
        <v>0</v>
      </c>
      <c r="CY614" s="2049"/>
      <c r="CZ614" s="2049"/>
      <c r="DA614" s="2049"/>
      <c r="DB614" s="2049"/>
      <c r="DC614" s="2049">
        <f t="shared" si="12"/>
        <v>0</v>
      </c>
      <c r="DD614" s="2049"/>
      <c r="DE614" s="2049"/>
      <c r="DF614" s="2049"/>
      <c r="DG614" s="2049"/>
      <c r="DH614" s="2049">
        <f t="shared" si="13"/>
        <v>0</v>
      </c>
      <c r="DI614" s="2049"/>
      <c r="DJ614" s="2049"/>
      <c r="DK614" s="2049"/>
      <c r="DL614" s="2049"/>
      <c r="DM614" s="2049">
        <f t="shared" si="14"/>
        <v>0</v>
      </c>
      <c r="DN614" s="2049"/>
      <c r="DO614" s="2049"/>
      <c r="DP614" s="2049"/>
      <c r="DQ614" s="2049"/>
      <c r="DR614" s="2049">
        <f t="shared" si="15"/>
        <v>0</v>
      </c>
      <c r="DS614" s="2049"/>
      <c r="DT614" s="2049"/>
      <c r="DU614" s="2049"/>
      <c r="DV614" s="2049"/>
      <c r="DX614" s="2050" t="str">
        <f t="shared" si="16"/>
        <v xml:space="preserve"> </v>
      </c>
      <c r="DY614" s="2051"/>
      <c r="DZ614" s="2051"/>
      <c r="EA614" s="2051"/>
      <c r="EB614" s="2052"/>
      <c r="EC614" s="2050">
        <f t="shared" si="17"/>
        <v>1439</v>
      </c>
      <c r="ED614" s="2051"/>
      <c r="EE614" s="2051"/>
      <c r="EF614" s="2051"/>
      <c r="EG614" s="2052"/>
      <c r="EH614" s="2050" t="str">
        <f t="shared" si="18"/>
        <v xml:space="preserve"> </v>
      </c>
      <c r="EI614" s="2051"/>
      <c r="EJ614" s="2051"/>
      <c r="EK614" s="2051"/>
      <c r="EL614" s="2052"/>
      <c r="EM614" s="2050" t="str">
        <f t="shared" si="19"/>
        <v xml:space="preserve"> </v>
      </c>
      <c r="EN614" s="2051"/>
      <c r="EO614" s="2051"/>
      <c r="EP614" s="2051"/>
      <c r="EQ614" s="2052"/>
      <c r="ER614" s="2050" t="str">
        <f t="shared" si="20"/>
        <v xml:space="preserve"> </v>
      </c>
      <c r="ES614" s="2051"/>
      <c r="ET614" s="2051"/>
      <c r="EU614" s="2051"/>
      <c r="EV614" s="2052"/>
      <c r="EW614" s="2050" t="str">
        <f t="shared" si="21"/>
        <v xml:space="preserve"> </v>
      </c>
      <c r="EX614" s="2051"/>
      <c r="EY614" s="2051"/>
      <c r="EZ614" s="2051"/>
      <c r="FA614" s="2052"/>
    </row>
    <row r="615" spans="1:157" ht="12.5">
      <c r="A615" s="35"/>
      <c r="B615" s="12" t="s">
        <v>325</v>
      </c>
      <c r="G615" s="2078"/>
      <c r="H615" s="2078"/>
      <c r="I615" s="2078"/>
      <c r="J615" s="2078"/>
      <c r="K615" s="2078"/>
      <c r="L615" s="2078"/>
      <c r="O615" s="137" t="s">
        <v>212</v>
      </c>
      <c r="P615" s="2047"/>
      <c r="Q615" s="2047"/>
      <c r="R615" s="2047"/>
      <c r="T615" s="35"/>
      <c r="U615" s="12" t="s">
        <v>325</v>
      </c>
      <c r="Z615" s="2078"/>
      <c r="AA615" s="2078"/>
      <c r="AB615" s="2078"/>
      <c r="AC615" s="2078"/>
      <c r="AD615" s="2078"/>
      <c r="AE615" s="2078"/>
      <c r="AH615" s="137" t="s">
        <v>212</v>
      </c>
      <c r="AI615" s="2047"/>
      <c r="AJ615" s="2047"/>
      <c r="AK615" s="2047"/>
      <c r="AZ615" s="58"/>
      <c r="BA615" s="58"/>
      <c r="BB615" s="58"/>
      <c r="BC615" s="58"/>
      <c r="BD615" s="58"/>
      <c r="BE615" s="2050">
        <f t="shared" si="0"/>
        <v>0</v>
      </c>
      <c r="BF615" s="2052"/>
      <c r="BG615" s="2031">
        <f t="shared" si="1"/>
        <v>0</v>
      </c>
      <c r="BH615" s="2033"/>
      <c r="BI615" s="2050">
        <f t="shared" si="2"/>
        <v>0</v>
      </c>
      <c r="BJ615" s="2052"/>
      <c r="BK615" s="2031">
        <f t="shared" si="3"/>
        <v>0</v>
      </c>
      <c r="BL615" s="2033"/>
      <c r="BM615" s="58"/>
      <c r="BN615" s="2024">
        <f t="shared" si="4"/>
        <v>0</v>
      </c>
      <c r="BO615" s="2025"/>
      <c r="BP615" s="2025"/>
      <c r="BQ615" s="2025"/>
      <c r="BR615" s="2026"/>
      <c r="BS615" s="2030">
        <f t="shared" si="5"/>
        <v>0</v>
      </c>
      <c r="BT615" s="2030"/>
      <c r="BU615" s="2030"/>
      <c r="BV615" s="2030"/>
      <c r="BW615" s="2030"/>
      <c r="BX615" s="2030">
        <f t="shared" si="6"/>
        <v>8</v>
      </c>
      <c r="BY615" s="2030"/>
      <c r="BZ615" s="2030"/>
      <c r="CA615" s="2030"/>
      <c r="CB615" s="2030"/>
      <c r="CC615" s="2030">
        <f t="shared" si="7"/>
        <v>0</v>
      </c>
      <c r="CD615" s="2030"/>
      <c r="CE615" s="2030"/>
      <c r="CF615" s="2030"/>
      <c r="CG615" s="2030"/>
      <c r="CH615" s="2030">
        <f t="shared" si="8"/>
        <v>0</v>
      </c>
      <c r="CI615" s="2030"/>
      <c r="CJ615" s="2030"/>
      <c r="CK615" s="2030"/>
      <c r="CL615" s="2030"/>
      <c r="CM615" s="2030">
        <f t="shared" si="9"/>
        <v>0</v>
      </c>
      <c r="CN615" s="2030"/>
      <c r="CO615" s="2030"/>
      <c r="CP615" s="2030"/>
      <c r="CQ615" s="2030"/>
      <c r="CR615" s="265"/>
      <c r="CS615" s="2049">
        <f t="shared" si="10"/>
        <v>0</v>
      </c>
      <c r="CT615" s="2049"/>
      <c r="CU615" s="2049"/>
      <c r="CV615" s="2049"/>
      <c r="CW615" s="2049"/>
      <c r="CX615" s="2049">
        <f t="shared" si="11"/>
        <v>0</v>
      </c>
      <c r="CY615" s="2049"/>
      <c r="CZ615" s="2049"/>
      <c r="DA615" s="2049"/>
      <c r="DB615" s="2049"/>
      <c r="DC615" s="2049">
        <f t="shared" si="12"/>
        <v>0</v>
      </c>
      <c r="DD615" s="2049"/>
      <c r="DE615" s="2049"/>
      <c r="DF615" s="2049"/>
      <c r="DG615" s="2049"/>
      <c r="DH615" s="2049">
        <f t="shared" si="13"/>
        <v>0</v>
      </c>
      <c r="DI615" s="2049"/>
      <c r="DJ615" s="2049"/>
      <c r="DK615" s="2049"/>
      <c r="DL615" s="2049"/>
      <c r="DM615" s="2049">
        <f t="shared" si="14"/>
        <v>0</v>
      </c>
      <c r="DN615" s="2049"/>
      <c r="DO615" s="2049"/>
      <c r="DP615" s="2049"/>
      <c r="DQ615" s="2049"/>
      <c r="DR615" s="2049">
        <f t="shared" si="15"/>
        <v>0</v>
      </c>
      <c r="DS615" s="2049"/>
      <c r="DT615" s="2049"/>
      <c r="DU615" s="2049"/>
      <c r="DV615" s="2049"/>
      <c r="DX615" s="2050" t="str">
        <f t="shared" si="16"/>
        <v xml:space="preserve"> </v>
      </c>
      <c r="DY615" s="2051"/>
      <c r="DZ615" s="2051"/>
      <c r="EA615" s="2051"/>
      <c r="EB615" s="2052"/>
      <c r="EC615" s="2050" t="str">
        <f t="shared" si="17"/>
        <v xml:space="preserve"> </v>
      </c>
      <c r="ED615" s="2051"/>
      <c r="EE615" s="2051"/>
      <c r="EF615" s="2051"/>
      <c r="EG615" s="2052"/>
      <c r="EH615" s="2050">
        <f t="shared" si="18"/>
        <v>1713</v>
      </c>
      <c r="EI615" s="2051"/>
      <c r="EJ615" s="2051"/>
      <c r="EK615" s="2051"/>
      <c r="EL615" s="2052"/>
      <c r="EM615" s="2050" t="str">
        <f t="shared" si="19"/>
        <v xml:space="preserve"> </v>
      </c>
      <c r="EN615" s="2051"/>
      <c r="EO615" s="2051"/>
      <c r="EP615" s="2051"/>
      <c r="EQ615" s="2052"/>
      <c r="ER615" s="2050" t="str">
        <f t="shared" si="20"/>
        <v xml:space="preserve"> </v>
      </c>
      <c r="ES615" s="2051"/>
      <c r="ET615" s="2051"/>
      <c r="EU615" s="2051"/>
      <c r="EV615" s="2052"/>
      <c r="EW615" s="2050" t="str">
        <f t="shared" si="21"/>
        <v xml:space="preserve"> </v>
      </c>
      <c r="EX615" s="2051"/>
      <c r="EY615" s="2051"/>
      <c r="EZ615" s="2051"/>
      <c r="FA615" s="2052"/>
    </row>
    <row r="616" spans="1:157" ht="12.5">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50">
        <f t="shared" si="0"/>
        <v>0</v>
      </c>
      <c r="BF616" s="2052"/>
      <c r="BG616" s="2031">
        <f t="shared" si="1"/>
        <v>0</v>
      </c>
      <c r="BH616" s="2033"/>
      <c r="BI616" s="2050">
        <f t="shared" si="2"/>
        <v>0</v>
      </c>
      <c r="BJ616" s="2052"/>
      <c r="BK616" s="2031">
        <f t="shared" si="3"/>
        <v>0</v>
      </c>
      <c r="BL616" s="2033"/>
      <c r="BM616" s="58"/>
      <c r="BN616" s="2024">
        <f t="shared" si="4"/>
        <v>0</v>
      </c>
      <c r="BO616" s="2025"/>
      <c r="BP616" s="2025"/>
      <c r="BQ616" s="2025"/>
      <c r="BR616" s="2026"/>
      <c r="BS616" s="2030">
        <f t="shared" si="5"/>
        <v>0</v>
      </c>
      <c r="BT616" s="2030"/>
      <c r="BU616" s="2030"/>
      <c r="BV616" s="2030"/>
      <c r="BW616" s="2030"/>
      <c r="BX616" s="2030">
        <f t="shared" si="6"/>
        <v>0</v>
      </c>
      <c r="BY616" s="2030"/>
      <c r="BZ616" s="2030"/>
      <c r="CA616" s="2030"/>
      <c r="CB616" s="2030"/>
      <c r="CC616" s="2030">
        <f t="shared" si="7"/>
        <v>0</v>
      </c>
      <c r="CD616" s="2030"/>
      <c r="CE616" s="2030"/>
      <c r="CF616" s="2030"/>
      <c r="CG616" s="2030"/>
      <c r="CH616" s="2030">
        <f t="shared" si="8"/>
        <v>0</v>
      </c>
      <c r="CI616" s="2030"/>
      <c r="CJ616" s="2030"/>
      <c r="CK616" s="2030"/>
      <c r="CL616" s="2030"/>
      <c r="CM616" s="2030">
        <f t="shared" si="9"/>
        <v>0</v>
      </c>
      <c r="CN616" s="2030"/>
      <c r="CO616" s="2030"/>
      <c r="CP616" s="2030"/>
      <c r="CQ616" s="2030"/>
      <c r="CR616" s="265"/>
      <c r="CS616" s="2049">
        <f t="shared" si="10"/>
        <v>0</v>
      </c>
      <c r="CT616" s="2049"/>
      <c r="CU616" s="2049"/>
      <c r="CV616" s="2049"/>
      <c r="CW616" s="2049"/>
      <c r="CX616" s="2049">
        <f t="shared" si="11"/>
        <v>0</v>
      </c>
      <c r="CY616" s="2049"/>
      <c r="CZ616" s="2049"/>
      <c r="DA616" s="2049"/>
      <c r="DB616" s="2049"/>
      <c r="DC616" s="2049">
        <f t="shared" si="12"/>
        <v>0</v>
      </c>
      <c r="DD616" s="2049"/>
      <c r="DE616" s="2049"/>
      <c r="DF616" s="2049"/>
      <c r="DG616" s="2049"/>
      <c r="DH616" s="2049">
        <f t="shared" si="13"/>
        <v>0</v>
      </c>
      <c r="DI616" s="2049"/>
      <c r="DJ616" s="2049"/>
      <c r="DK616" s="2049"/>
      <c r="DL616" s="2049"/>
      <c r="DM616" s="2049">
        <f t="shared" si="14"/>
        <v>0</v>
      </c>
      <c r="DN616" s="2049"/>
      <c r="DO616" s="2049"/>
      <c r="DP616" s="2049"/>
      <c r="DQ616" s="2049"/>
      <c r="DR616" s="2049">
        <f t="shared" si="15"/>
        <v>0</v>
      </c>
      <c r="DS616" s="2049"/>
      <c r="DT616" s="2049"/>
      <c r="DU616" s="2049"/>
      <c r="DV616" s="2049"/>
      <c r="DX616" s="2050" t="str">
        <f t="shared" si="16"/>
        <v xml:space="preserve"> </v>
      </c>
      <c r="DY616" s="2051"/>
      <c r="DZ616" s="2051"/>
      <c r="EA616" s="2051"/>
      <c r="EB616" s="2052"/>
      <c r="EC616" s="2050" t="str">
        <f t="shared" si="17"/>
        <v xml:space="preserve"> </v>
      </c>
      <c r="ED616" s="2051"/>
      <c r="EE616" s="2051"/>
      <c r="EF616" s="2051"/>
      <c r="EG616" s="2052"/>
      <c r="EH616" s="2050" t="str">
        <f t="shared" si="18"/>
        <v xml:space="preserve"> </v>
      </c>
      <c r="EI616" s="2051"/>
      <c r="EJ616" s="2051"/>
      <c r="EK616" s="2051"/>
      <c r="EL616" s="2052"/>
      <c r="EM616" s="2050" t="str">
        <f t="shared" si="19"/>
        <v xml:space="preserve"> </v>
      </c>
      <c r="EN616" s="2051"/>
      <c r="EO616" s="2051"/>
      <c r="EP616" s="2051"/>
      <c r="EQ616" s="2052"/>
      <c r="ER616" s="2050" t="str">
        <f t="shared" si="20"/>
        <v xml:space="preserve"> </v>
      </c>
      <c r="ES616" s="2051"/>
      <c r="ET616" s="2051"/>
      <c r="EU616" s="2051"/>
      <c r="EV616" s="2052"/>
      <c r="EW616" s="2050" t="str">
        <f t="shared" si="21"/>
        <v xml:space="preserve"> </v>
      </c>
      <c r="EX616" s="2051"/>
      <c r="EY616" s="2051"/>
      <c r="EZ616" s="2051"/>
      <c r="FA616" s="2052"/>
    </row>
    <row r="617" spans="1:157" ht="12.5">
      <c r="A617" s="35"/>
      <c r="B617" s="12" t="s">
        <v>20</v>
      </c>
      <c r="N617" s="2046" t="s">
        <v>706</v>
      </c>
      <c r="O617" s="2046"/>
      <c r="T617" s="35"/>
      <c r="U617" s="12" t="s">
        <v>20</v>
      </c>
      <c r="AG617" s="2046" t="s">
        <v>706</v>
      </c>
      <c r="AH617" s="2046"/>
      <c r="AZ617" s="58"/>
      <c r="BA617" s="58"/>
      <c r="BB617" s="58"/>
      <c r="BC617" s="58"/>
      <c r="BD617" s="58"/>
      <c r="BE617" s="2050">
        <f t="shared" si="0"/>
        <v>0</v>
      </c>
      <c r="BF617" s="2052"/>
      <c r="BG617" s="2031">
        <f t="shared" si="1"/>
        <v>0</v>
      </c>
      <c r="BH617" s="2033"/>
      <c r="BI617" s="2050">
        <f t="shared" si="2"/>
        <v>0</v>
      </c>
      <c r="BJ617" s="2052"/>
      <c r="BK617" s="2031">
        <f t="shared" si="3"/>
        <v>0</v>
      </c>
      <c r="BL617" s="2033"/>
      <c r="BM617" s="58"/>
      <c r="BN617" s="2024">
        <f t="shared" si="4"/>
        <v>0</v>
      </c>
      <c r="BO617" s="2025"/>
      <c r="BP617" s="2025"/>
      <c r="BQ617" s="2025"/>
      <c r="BR617" s="2026"/>
      <c r="BS617" s="2030">
        <f t="shared" si="5"/>
        <v>0</v>
      </c>
      <c r="BT617" s="2030"/>
      <c r="BU617" s="2030"/>
      <c r="BV617" s="2030"/>
      <c r="BW617" s="2030"/>
      <c r="BX617" s="2030">
        <f t="shared" si="6"/>
        <v>0</v>
      </c>
      <c r="BY617" s="2030"/>
      <c r="BZ617" s="2030"/>
      <c r="CA617" s="2030"/>
      <c r="CB617" s="2030"/>
      <c r="CC617" s="2030">
        <f t="shared" si="7"/>
        <v>0</v>
      </c>
      <c r="CD617" s="2030"/>
      <c r="CE617" s="2030"/>
      <c r="CF617" s="2030"/>
      <c r="CG617" s="2030"/>
      <c r="CH617" s="2030">
        <f t="shared" si="8"/>
        <v>0</v>
      </c>
      <c r="CI617" s="2030"/>
      <c r="CJ617" s="2030"/>
      <c r="CK617" s="2030"/>
      <c r="CL617" s="2030"/>
      <c r="CM617" s="2030">
        <f t="shared" si="9"/>
        <v>0</v>
      </c>
      <c r="CN617" s="2030"/>
      <c r="CO617" s="2030"/>
      <c r="CP617" s="2030"/>
      <c r="CQ617" s="2030"/>
      <c r="CR617" s="265"/>
      <c r="CS617" s="2049">
        <f t="shared" si="10"/>
        <v>0</v>
      </c>
      <c r="CT617" s="2049"/>
      <c r="CU617" s="2049"/>
      <c r="CV617" s="2049"/>
      <c r="CW617" s="2049"/>
      <c r="CX617" s="2049">
        <f t="shared" si="11"/>
        <v>0</v>
      </c>
      <c r="CY617" s="2049"/>
      <c r="CZ617" s="2049"/>
      <c r="DA617" s="2049"/>
      <c r="DB617" s="2049"/>
      <c r="DC617" s="2049">
        <f t="shared" si="12"/>
        <v>0</v>
      </c>
      <c r="DD617" s="2049"/>
      <c r="DE617" s="2049"/>
      <c r="DF617" s="2049"/>
      <c r="DG617" s="2049"/>
      <c r="DH617" s="2049">
        <f t="shared" si="13"/>
        <v>0</v>
      </c>
      <c r="DI617" s="2049"/>
      <c r="DJ617" s="2049"/>
      <c r="DK617" s="2049"/>
      <c r="DL617" s="2049"/>
      <c r="DM617" s="2049">
        <f t="shared" si="14"/>
        <v>0</v>
      </c>
      <c r="DN617" s="2049"/>
      <c r="DO617" s="2049"/>
      <c r="DP617" s="2049"/>
      <c r="DQ617" s="2049"/>
      <c r="DR617" s="2049">
        <f t="shared" si="15"/>
        <v>0</v>
      </c>
      <c r="DS617" s="2049"/>
      <c r="DT617" s="2049"/>
      <c r="DU617" s="2049"/>
      <c r="DV617" s="2049"/>
      <c r="DX617" s="2050" t="str">
        <f t="shared" si="16"/>
        <v xml:space="preserve"> </v>
      </c>
      <c r="DY617" s="2051"/>
      <c r="DZ617" s="2051"/>
      <c r="EA617" s="2051"/>
      <c r="EB617" s="2052"/>
      <c r="EC617" s="2050" t="str">
        <f t="shared" si="17"/>
        <v xml:space="preserve"> </v>
      </c>
      <c r="ED617" s="2051"/>
      <c r="EE617" s="2051"/>
      <c r="EF617" s="2051"/>
      <c r="EG617" s="2052"/>
      <c r="EH617" s="2050" t="str">
        <f t="shared" si="18"/>
        <v xml:space="preserve"> </v>
      </c>
      <c r="EI617" s="2051"/>
      <c r="EJ617" s="2051"/>
      <c r="EK617" s="2051"/>
      <c r="EL617" s="2052"/>
      <c r="EM617" s="2050" t="str">
        <f t="shared" si="19"/>
        <v xml:space="preserve"> </v>
      </c>
      <c r="EN617" s="2051"/>
      <c r="EO617" s="2051"/>
      <c r="EP617" s="2051"/>
      <c r="EQ617" s="2052"/>
      <c r="ER617" s="2050" t="str">
        <f t="shared" si="20"/>
        <v xml:space="preserve"> </v>
      </c>
      <c r="ES617" s="2051"/>
      <c r="ET617" s="2051"/>
      <c r="EU617" s="2051"/>
      <c r="EV617" s="2052"/>
      <c r="EW617" s="2050" t="str">
        <f t="shared" si="21"/>
        <v xml:space="preserve"> </v>
      </c>
      <c r="EX617" s="2051"/>
      <c r="EY617" s="2051"/>
      <c r="EZ617" s="2051"/>
      <c r="FA617" s="2052"/>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0">
        <f t="shared" si="0"/>
        <v>0</v>
      </c>
      <c r="BF618" s="2052"/>
      <c r="BG618" s="2031">
        <f t="shared" si="1"/>
        <v>0</v>
      </c>
      <c r="BH618" s="2033"/>
      <c r="BI618" s="2050">
        <f t="shared" si="2"/>
        <v>0</v>
      </c>
      <c r="BJ618" s="2052"/>
      <c r="BK618" s="2031">
        <f t="shared" si="3"/>
        <v>0</v>
      </c>
      <c r="BL618" s="2033"/>
      <c r="BM618" s="58"/>
      <c r="BN618" s="2024">
        <f t="shared" si="4"/>
        <v>0</v>
      </c>
      <c r="BO618" s="2025"/>
      <c r="BP618" s="2025"/>
      <c r="BQ618" s="2025"/>
      <c r="BR618" s="2026"/>
      <c r="BS618" s="2030">
        <f t="shared" si="5"/>
        <v>0</v>
      </c>
      <c r="BT618" s="2030"/>
      <c r="BU618" s="2030"/>
      <c r="BV618" s="2030"/>
      <c r="BW618" s="2030"/>
      <c r="BX618" s="2030">
        <f t="shared" si="6"/>
        <v>0</v>
      </c>
      <c r="BY618" s="2030"/>
      <c r="BZ618" s="2030"/>
      <c r="CA618" s="2030"/>
      <c r="CB618" s="2030"/>
      <c r="CC618" s="2030">
        <f t="shared" si="7"/>
        <v>0</v>
      </c>
      <c r="CD618" s="2030"/>
      <c r="CE618" s="2030"/>
      <c r="CF618" s="2030"/>
      <c r="CG618" s="2030"/>
      <c r="CH618" s="2030">
        <f t="shared" si="8"/>
        <v>0</v>
      </c>
      <c r="CI618" s="2030"/>
      <c r="CJ618" s="2030"/>
      <c r="CK618" s="2030"/>
      <c r="CL618" s="2030"/>
      <c r="CM618" s="2030">
        <f t="shared" si="9"/>
        <v>0</v>
      </c>
      <c r="CN618" s="2030"/>
      <c r="CO618" s="2030"/>
      <c r="CP618" s="2030"/>
      <c r="CQ618" s="2030"/>
      <c r="CR618" s="265"/>
      <c r="CS618" s="2049">
        <f t="shared" si="10"/>
        <v>0</v>
      </c>
      <c r="CT618" s="2049"/>
      <c r="CU618" s="2049"/>
      <c r="CV618" s="2049"/>
      <c r="CW618" s="2049"/>
      <c r="CX618" s="2049">
        <f t="shared" si="11"/>
        <v>0</v>
      </c>
      <c r="CY618" s="2049"/>
      <c r="CZ618" s="2049"/>
      <c r="DA618" s="2049"/>
      <c r="DB618" s="2049"/>
      <c r="DC618" s="2049">
        <f t="shared" si="12"/>
        <v>0</v>
      </c>
      <c r="DD618" s="2049"/>
      <c r="DE618" s="2049"/>
      <c r="DF618" s="2049"/>
      <c r="DG618" s="2049"/>
      <c r="DH618" s="2049">
        <f t="shared" si="13"/>
        <v>0</v>
      </c>
      <c r="DI618" s="2049"/>
      <c r="DJ618" s="2049"/>
      <c r="DK618" s="2049"/>
      <c r="DL618" s="2049"/>
      <c r="DM618" s="2049">
        <f t="shared" si="14"/>
        <v>0</v>
      </c>
      <c r="DN618" s="2049"/>
      <c r="DO618" s="2049"/>
      <c r="DP618" s="2049"/>
      <c r="DQ618" s="2049"/>
      <c r="DR618" s="2049">
        <f t="shared" si="15"/>
        <v>0</v>
      </c>
      <c r="DS618" s="2049"/>
      <c r="DT618" s="2049"/>
      <c r="DU618" s="2049"/>
      <c r="DV618" s="2049"/>
      <c r="DX618" s="2050" t="str">
        <f t="shared" si="16"/>
        <v xml:space="preserve"> </v>
      </c>
      <c r="DY618" s="2051"/>
      <c r="DZ618" s="2051"/>
      <c r="EA618" s="2051"/>
      <c r="EB618" s="2052"/>
      <c r="EC618" s="2050" t="str">
        <f t="shared" si="17"/>
        <v xml:space="preserve"> </v>
      </c>
      <c r="ED618" s="2051"/>
      <c r="EE618" s="2051"/>
      <c r="EF618" s="2051"/>
      <c r="EG618" s="2052"/>
      <c r="EH618" s="2050" t="str">
        <f t="shared" si="18"/>
        <v xml:space="preserve"> </v>
      </c>
      <c r="EI618" s="2051"/>
      <c r="EJ618" s="2051"/>
      <c r="EK618" s="2051"/>
      <c r="EL618" s="2052"/>
      <c r="EM618" s="2050" t="str">
        <f t="shared" si="19"/>
        <v xml:space="preserve"> </v>
      </c>
      <c r="EN618" s="2051"/>
      <c r="EO618" s="2051"/>
      <c r="EP618" s="2051"/>
      <c r="EQ618" s="2052"/>
      <c r="ER618" s="2050" t="str">
        <f t="shared" si="20"/>
        <v xml:space="preserve"> </v>
      </c>
      <c r="ES618" s="2051"/>
      <c r="ET618" s="2051"/>
      <c r="EU618" s="2051"/>
      <c r="EV618" s="2052"/>
      <c r="EW618" s="2050" t="str">
        <f t="shared" si="21"/>
        <v xml:space="preserve"> </v>
      </c>
      <c r="EX618" s="2051"/>
      <c r="EY618" s="2051"/>
      <c r="EZ618" s="2051"/>
      <c r="FA618" s="2052"/>
    </row>
    <row r="619" spans="1:157" s="7" customFormat="1" ht="12.5">
      <c r="A619" s="87" t="s">
        <v>372</v>
      </c>
      <c r="B619" s="12" t="s">
        <v>496</v>
      </c>
      <c r="C619" s="12"/>
      <c r="D619" s="12"/>
      <c r="E619" s="12"/>
      <c r="F619" s="12"/>
      <c r="G619" s="2036">
        <f>C574</f>
        <v>0</v>
      </c>
      <c r="H619" s="2036"/>
      <c r="I619" s="2036"/>
      <c r="J619" s="2036"/>
      <c r="K619" s="2036"/>
      <c r="L619" s="2036"/>
      <c r="M619" s="2036"/>
      <c r="N619" s="2036"/>
      <c r="O619" s="2036"/>
      <c r="P619" s="2036"/>
      <c r="Q619" s="2036"/>
      <c r="R619" s="2036"/>
      <c r="S619" s="12"/>
      <c r="T619" s="87" t="s">
        <v>373</v>
      </c>
      <c r="U619" s="12" t="s">
        <v>496</v>
      </c>
      <c r="V619" s="12"/>
      <c r="W619" s="12"/>
      <c r="X619" s="12"/>
      <c r="Y619" s="12"/>
      <c r="Z619" s="2036">
        <f>C575</f>
        <v>0</v>
      </c>
      <c r="AA619" s="2036"/>
      <c r="AB619" s="2036"/>
      <c r="AC619" s="2036"/>
      <c r="AD619" s="2036"/>
      <c r="AE619" s="2036"/>
      <c r="AF619" s="2036"/>
      <c r="AG619" s="2036"/>
      <c r="AH619" s="2036"/>
      <c r="AI619" s="2036"/>
      <c r="AJ619" s="2036"/>
      <c r="AK619" s="2036"/>
      <c r="AL619" s="12"/>
      <c r="AM619" s="39"/>
      <c r="AN619" s="39"/>
      <c r="AO619" s="39"/>
      <c r="AP619" s="39"/>
      <c r="AQ619" s="39"/>
      <c r="AR619" s="39"/>
      <c r="AS619" s="39"/>
      <c r="AT619" s="39"/>
      <c r="AU619" s="39"/>
      <c r="AV619" s="39"/>
      <c r="AW619" s="39"/>
      <c r="AX619" s="39"/>
      <c r="AY619" s="39"/>
      <c r="AZ619" s="58"/>
      <c r="BA619" s="58"/>
      <c r="BB619" s="58"/>
      <c r="BC619" s="58"/>
      <c r="BD619" s="58"/>
      <c r="BE619" s="2050">
        <f t="shared" si="0"/>
        <v>0</v>
      </c>
      <c r="BF619" s="2052"/>
      <c r="BG619" s="2031">
        <f t="shared" si="1"/>
        <v>0</v>
      </c>
      <c r="BH619" s="2033"/>
      <c r="BI619" s="2050">
        <f t="shared" si="2"/>
        <v>0</v>
      </c>
      <c r="BJ619" s="2052"/>
      <c r="BK619" s="2031">
        <f t="shared" si="3"/>
        <v>0</v>
      </c>
      <c r="BL619" s="2033"/>
      <c r="BM619" s="58"/>
      <c r="BN619" s="2024">
        <f t="shared" si="4"/>
        <v>0</v>
      </c>
      <c r="BO619" s="2025"/>
      <c r="BP619" s="2025"/>
      <c r="BQ619" s="2025"/>
      <c r="BR619" s="2026"/>
      <c r="BS619" s="2030">
        <f t="shared" si="5"/>
        <v>0</v>
      </c>
      <c r="BT619" s="2030"/>
      <c r="BU619" s="2030"/>
      <c r="BV619" s="2030"/>
      <c r="BW619" s="2030"/>
      <c r="BX619" s="2030">
        <f t="shared" si="6"/>
        <v>0</v>
      </c>
      <c r="BY619" s="2030"/>
      <c r="BZ619" s="2030"/>
      <c r="CA619" s="2030"/>
      <c r="CB619" s="2030"/>
      <c r="CC619" s="2030">
        <f t="shared" si="7"/>
        <v>0</v>
      </c>
      <c r="CD619" s="2030"/>
      <c r="CE619" s="2030"/>
      <c r="CF619" s="2030"/>
      <c r="CG619" s="2030"/>
      <c r="CH619" s="2030">
        <f t="shared" si="8"/>
        <v>0</v>
      </c>
      <c r="CI619" s="2030"/>
      <c r="CJ619" s="2030"/>
      <c r="CK619" s="2030"/>
      <c r="CL619" s="2030"/>
      <c r="CM619" s="2030">
        <f t="shared" si="9"/>
        <v>0</v>
      </c>
      <c r="CN619" s="2030"/>
      <c r="CO619" s="2030"/>
      <c r="CP619" s="2030"/>
      <c r="CQ619" s="2030"/>
      <c r="CR619" s="265"/>
      <c r="CS619" s="2049">
        <f t="shared" si="10"/>
        <v>0</v>
      </c>
      <c r="CT619" s="2049"/>
      <c r="CU619" s="2049"/>
      <c r="CV619" s="2049"/>
      <c r="CW619" s="2049"/>
      <c r="CX619" s="2049">
        <f t="shared" si="11"/>
        <v>0</v>
      </c>
      <c r="CY619" s="2049"/>
      <c r="CZ619" s="2049"/>
      <c r="DA619" s="2049"/>
      <c r="DB619" s="2049"/>
      <c r="DC619" s="2049">
        <f t="shared" si="12"/>
        <v>0</v>
      </c>
      <c r="DD619" s="2049"/>
      <c r="DE619" s="2049"/>
      <c r="DF619" s="2049"/>
      <c r="DG619" s="2049"/>
      <c r="DH619" s="2049">
        <f t="shared" si="13"/>
        <v>0</v>
      </c>
      <c r="DI619" s="2049"/>
      <c r="DJ619" s="2049"/>
      <c r="DK619" s="2049"/>
      <c r="DL619" s="2049"/>
      <c r="DM619" s="2049">
        <f t="shared" si="14"/>
        <v>0</v>
      </c>
      <c r="DN619" s="2049"/>
      <c r="DO619" s="2049"/>
      <c r="DP619" s="2049"/>
      <c r="DQ619" s="2049"/>
      <c r="DR619" s="2049">
        <f t="shared" si="15"/>
        <v>0</v>
      </c>
      <c r="DS619" s="2049"/>
      <c r="DT619" s="2049"/>
      <c r="DU619" s="2049"/>
      <c r="DV619" s="2049"/>
      <c r="DX619" s="2050" t="str">
        <f t="shared" si="16"/>
        <v xml:space="preserve"> </v>
      </c>
      <c r="DY619" s="2051"/>
      <c r="DZ619" s="2051"/>
      <c r="EA619" s="2051"/>
      <c r="EB619" s="2052"/>
      <c r="EC619" s="2050" t="str">
        <f t="shared" si="17"/>
        <v xml:space="preserve"> </v>
      </c>
      <c r="ED619" s="2051"/>
      <c r="EE619" s="2051"/>
      <c r="EF619" s="2051"/>
      <c r="EG619" s="2052"/>
      <c r="EH619" s="2050" t="str">
        <f t="shared" si="18"/>
        <v xml:space="preserve"> </v>
      </c>
      <c r="EI619" s="2051"/>
      <c r="EJ619" s="2051"/>
      <c r="EK619" s="2051"/>
      <c r="EL619" s="2052"/>
      <c r="EM619" s="2050" t="str">
        <f t="shared" si="19"/>
        <v xml:space="preserve"> </v>
      </c>
      <c r="EN619" s="2051"/>
      <c r="EO619" s="2051"/>
      <c r="EP619" s="2051"/>
      <c r="EQ619" s="2052"/>
      <c r="ER619" s="2050" t="str">
        <f t="shared" si="20"/>
        <v xml:space="preserve"> </v>
      </c>
      <c r="ES619" s="2051"/>
      <c r="ET619" s="2051"/>
      <c r="EU619" s="2051"/>
      <c r="EV619" s="2052"/>
      <c r="EW619" s="2050" t="str">
        <f t="shared" si="21"/>
        <v xml:space="preserve"> </v>
      </c>
      <c r="EX619" s="2051"/>
      <c r="EY619" s="2051"/>
      <c r="EZ619" s="2051"/>
      <c r="FA619" s="2052"/>
    </row>
    <row r="620" spans="1:157" s="7" customFormat="1" ht="12.5">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50">
        <f t="shared" si="0"/>
        <v>0</v>
      </c>
      <c r="BF620" s="2052"/>
      <c r="BG620" s="2031">
        <f t="shared" si="1"/>
        <v>0</v>
      </c>
      <c r="BH620" s="2033"/>
      <c r="BI620" s="2050">
        <f t="shared" si="2"/>
        <v>0</v>
      </c>
      <c r="BJ620" s="2052"/>
      <c r="BK620" s="2031">
        <f t="shared" si="3"/>
        <v>0</v>
      </c>
      <c r="BL620" s="2033"/>
      <c r="BM620" s="58"/>
      <c r="BN620" s="2024">
        <f t="shared" si="4"/>
        <v>0</v>
      </c>
      <c r="BO620" s="2025"/>
      <c r="BP620" s="2025"/>
      <c r="BQ620" s="2025"/>
      <c r="BR620" s="2026"/>
      <c r="BS620" s="2030">
        <f t="shared" si="5"/>
        <v>0</v>
      </c>
      <c r="BT620" s="2030"/>
      <c r="BU620" s="2030"/>
      <c r="BV620" s="2030"/>
      <c r="BW620" s="2030"/>
      <c r="BX620" s="2030">
        <f t="shared" si="6"/>
        <v>0</v>
      </c>
      <c r="BY620" s="2030"/>
      <c r="BZ620" s="2030"/>
      <c r="CA620" s="2030"/>
      <c r="CB620" s="2030"/>
      <c r="CC620" s="2030">
        <f t="shared" si="7"/>
        <v>0</v>
      </c>
      <c r="CD620" s="2030"/>
      <c r="CE620" s="2030"/>
      <c r="CF620" s="2030"/>
      <c r="CG620" s="2030"/>
      <c r="CH620" s="2030">
        <f t="shared" si="8"/>
        <v>0</v>
      </c>
      <c r="CI620" s="2030"/>
      <c r="CJ620" s="2030"/>
      <c r="CK620" s="2030"/>
      <c r="CL620" s="2030"/>
      <c r="CM620" s="2030">
        <f t="shared" si="9"/>
        <v>0</v>
      </c>
      <c r="CN620" s="2030"/>
      <c r="CO620" s="2030"/>
      <c r="CP620" s="2030"/>
      <c r="CQ620" s="2030"/>
      <c r="CR620" s="265"/>
      <c r="CS620" s="2049">
        <f t="shared" si="10"/>
        <v>0</v>
      </c>
      <c r="CT620" s="2049"/>
      <c r="CU620" s="2049"/>
      <c r="CV620" s="2049"/>
      <c r="CW620" s="2049"/>
      <c r="CX620" s="2049">
        <f t="shared" si="11"/>
        <v>0</v>
      </c>
      <c r="CY620" s="2049"/>
      <c r="CZ620" s="2049"/>
      <c r="DA620" s="2049"/>
      <c r="DB620" s="2049"/>
      <c r="DC620" s="2049">
        <f t="shared" si="12"/>
        <v>0</v>
      </c>
      <c r="DD620" s="2049"/>
      <c r="DE620" s="2049"/>
      <c r="DF620" s="2049"/>
      <c r="DG620" s="2049"/>
      <c r="DH620" s="2049">
        <f t="shared" si="13"/>
        <v>0</v>
      </c>
      <c r="DI620" s="2049"/>
      <c r="DJ620" s="2049"/>
      <c r="DK620" s="2049"/>
      <c r="DL620" s="2049"/>
      <c r="DM620" s="2049">
        <f t="shared" si="14"/>
        <v>0</v>
      </c>
      <c r="DN620" s="2049"/>
      <c r="DO620" s="2049"/>
      <c r="DP620" s="2049"/>
      <c r="DQ620" s="2049"/>
      <c r="DR620" s="2049">
        <f t="shared" si="15"/>
        <v>0</v>
      </c>
      <c r="DS620" s="2049"/>
      <c r="DT620" s="2049"/>
      <c r="DU620" s="2049"/>
      <c r="DV620" s="2049"/>
      <c r="DX620" s="2050" t="str">
        <f t="shared" si="16"/>
        <v xml:space="preserve"> </v>
      </c>
      <c r="DY620" s="2051"/>
      <c r="DZ620" s="2051"/>
      <c r="EA620" s="2051"/>
      <c r="EB620" s="2052"/>
      <c r="EC620" s="2050" t="str">
        <f t="shared" si="17"/>
        <v xml:space="preserve"> </v>
      </c>
      <c r="ED620" s="2051"/>
      <c r="EE620" s="2051"/>
      <c r="EF620" s="2051"/>
      <c r="EG620" s="2052"/>
      <c r="EH620" s="2050" t="str">
        <f t="shared" si="18"/>
        <v xml:space="preserve"> </v>
      </c>
      <c r="EI620" s="2051"/>
      <c r="EJ620" s="2051"/>
      <c r="EK620" s="2051"/>
      <c r="EL620" s="2052"/>
      <c r="EM620" s="2050" t="str">
        <f t="shared" si="19"/>
        <v xml:space="preserve"> </v>
      </c>
      <c r="EN620" s="2051"/>
      <c r="EO620" s="2051"/>
      <c r="EP620" s="2051"/>
      <c r="EQ620" s="2052"/>
      <c r="ER620" s="2050" t="str">
        <f t="shared" si="20"/>
        <v xml:space="preserve"> </v>
      </c>
      <c r="ES620" s="2051"/>
      <c r="ET620" s="2051"/>
      <c r="EU620" s="2051"/>
      <c r="EV620" s="2052"/>
      <c r="EW620" s="2050" t="str">
        <f t="shared" si="21"/>
        <v xml:space="preserve"> </v>
      </c>
      <c r="EX620" s="2051"/>
      <c r="EY620" s="2051"/>
      <c r="EZ620" s="2051"/>
      <c r="FA620" s="2052"/>
    </row>
    <row r="621" spans="1:157" ht="12.5">
      <c r="B621" s="12" t="s">
        <v>615</v>
      </c>
      <c r="G621" s="2054"/>
      <c r="H621" s="2054"/>
      <c r="I621" s="2054"/>
      <c r="J621" s="2054"/>
      <c r="K621" s="2054"/>
      <c r="L621" s="2054"/>
      <c r="M621" s="2054"/>
      <c r="N621" s="2054"/>
      <c r="O621" s="2054"/>
      <c r="P621" s="2054"/>
      <c r="Q621" s="2054"/>
      <c r="R621" s="2054"/>
      <c r="U621" s="12" t="s">
        <v>615</v>
      </c>
      <c r="Z621" s="2048"/>
      <c r="AA621" s="2048"/>
      <c r="AB621" s="2048"/>
      <c r="AC621" s="2048"/>
      <c r="AD621" s="2048"/>
      <c r="AE621" s="2048"/>
      <c r="AF621" s="2048"/>
      <c r="AG621" s="2048"/>
      <c r="AH621" s="2048"/>
      <c r="AI621" s="2048"/>
      <c r="AJ621" s="2048"/>
      <c r="AK621" s="2048"/>
      <c r="AZ621" s="58"/>
      <c r="BA621" s="58"/>
      <c r="BB621" s="58"/>
      <c r="BC621" s="58"/>
      <c r="BD621" s="58"/>
      <c r="BE621" s="2050">
        <f t="shared" si="0"/>
        <v>0</v>
      </c>
      <c r="BF621" s="2052"/>
      <c r="BG621" s="2031">
        <f t="shared" si="1"/>
        <v>0</v>
      </c>
      <c r="BH621" s="2033"/>
      <c r="BI621" s="2050">
        <f t="shared" si="2"/>
        <v>0</v>
      </c>
      <c r="BJ621" s="2052"/>
      <c r="BK621" s="2031">
        <f t="shared" si="3"/>
        <v>0</v>
      </c>
      <c r="BL621" s="2033"/>
      <c r="BM621" s="58"/>
      <c r="BN621" s="2024">
        <f t="shared" si="4"/>
        <v>0</v>
      </c>
      <c r="BO621" s="2025"/>
      <c r="BP621" s="2025"/>
      <c r="BQ621" s="2025"/>
      <c r="BR621" s="2026"/>
      <c r="BS621" s="2030">
        <f t="shared" si="5"/>
        <v>0</v>
      </c>
      <c r="BT621" s="2030"/>
      <c r="BU621" s="2030"/>
      <c r="BV621" s="2030"/>
      <c r="BW621" s="2030"/>
      <c r="BX621" s="2030">
        <f t="shared" si="6"/>
        <v>0</v>
      </c>
      <c r="BY621" s="2030"/>
      <c r="BZ621" s="2030"/>
      <c r="CA621" s="2030"/>
      <c r="CB621" s="2030"/>
      <c r="CC621" s="2030">
        <f t="shared" si="7"/>
        <v>0</v>
      </c>
      <c r="CD621" s="2030"/>
      <c r="CE621" s="2030"/>
      <c r="CF621" s="2030"/>
      <c r="CG621" s="2030"/>
      <c r="CH621" s="2030">
        <f t="shared" si="8"/>
        <v>0</v>
      </c>
      <c r="CI621" s="2030"/>
      <c r="CJ621" s="2030"/>
      <c r="CK621" s="2030"/>
      <c r="CL621" s="2030"/>
      <c r="CM621" s="2030">
        <f t="shared" si="9"/>
        <v>0</v>
      </c>
      <c r="CN621" s="2030"/>
      <c r="CO621" s="2030"/>
      <c r="CP621" s="2030"/>
      <c r="CQ621" s="2030"/>
      <c r="CR621" s="265"/>
      <c r="CS621" s="2049">
        <f t="shared" si="10"/>
        <v>0</v>
      </c>
      <c r="CT621" s="2049"/>
      <c r="CU621" s="2049"/>
      <c r="CV621" s="2049"/>
      <c r="CW621" s="2049"/>
      <c r="CX621" s="2049">
        <f t="shared" si="11"/>
        <v>0</v>
      </c>
      <c r="CY621" s="2049"/>
      <c r="CZ621" s="2049"/>
      <c r="DA621" s="2049"/>
      <c r="DB621" s="2049"/>
      <c r="DC621" s="2049">
        <f t="shared" si="12"/>
        <v>0</v>
      </c>
      <c r="DD621" s="2049"/>
      <c r="DE621" s="2049"/>
      <c r="DF621" s="2049"/>
      <c r="DG621" s="2049"/>
      <c r="DH621" s="2049">
        <f t="shared" si="13"/>
        <v>0</v>
      </c>
      <c r="DI621" s="2049"/>
      <c r="DJ621" s="2049"/>
      <c r="DK621" s="2049"/>
      <c r="DL621" s="2049"/>
      <c r="DM621" s="2049">
        <f t="shared" si="14"/>
        <v>0</v>
      </c>
      <c r="DN621" s="2049"/>
      <c r="DO621" s="2049"/>
      <c r="DP621" s="2049"/>
      <c r="DQ621" s="2049"/>
      <c r="DR621" s="2049">
        <f t="shared" si="15"/>
        <v>0</v>
      </c>
      <c r="DS621" s="2049"/>
      <c r="DT621" s="2049"/>
      <c r="DU621" s="2049"/>
      <c r="DV621" s="2049"/>
      <c r="DX621" s="2050" t="str">
        <f t="shared" si="16"/>
        <v xml:space="preserve"> </v>
      </c>
      <c r="DY621" s="2051"/>
      <c r="DZ621" s="2051"/>
      <c r="EA621" s="2051"/>
      <c r="EB621" s="2052"/>
      <c r="EC621" s="2050" t="str">
        <f t="shared" si="17"/>
        <v xml:space="preserve"> </v>
      </c>
      <c r="ED621" s="2051"/>
      <c r="EE621" s="2051"/>
      <c r="EF621" s="2051"/>
      <c r="EG621" s="2052"/>
      <c r="EH621" s="2050" t="str">
        <f t="shared" si="18"/>
        <v xml:space="preserve"> </v>
      </c>
      <c r="EI621" s="2051"/>
      <c r="EJ621" s="2051"/>
      <c r="EK621" s="2051"/>
      <c r="EL621" s="2052"/>
      <c r="EM621" s="2050" t="str">
        <f t="shared" si="19"/>
        <v xml:space="preserve"> </v>
      </c>
      <c r="EN621" s="2051"/>
      <c r="EO621" s="2051"/>
      <c r="EP621" s="2051"/>
      <c r="EQ621" s="2052"/>
      <c r="ER621" s="2050" t="str">
        <f t="shared" si="20"/>
        <v xml:space="preserve"> </v>
      </c>
      <c r="ES621" s="2051"/>
      <c r="ET621" s="2051"/>
      <c r="EU621" s="2051"/>
      <c r="EV621" s="2052"/>
      <c r="EW621" s="2050" t="str">
        <f t="shared" si="21"/>
        <v xml:space="preserve"> </v>
      </c>
      <c r="EX621" s="2051"/>
      <c r="EY621" s="2051"/>
      <c r="EZ621" s="2051"/>
      <c r="FA621" s="2052"/>
    </row>
    <row r="622" spans="1:157" ht="12.5">
      <c r="B622" s="12" t="s">
        <v>17</v>
      </c>
      <c r="G622" s="2054"/>
      <c r="H622" s="2054"/>
      <c r="I622" s="2054"/>
      <c r="J622" s="2054"/>
      <c r="K622" s="2054"/>
      <c r="L622" s="2054"/>
      <c r="M622" s="2054"/>
      <c r="N622" s="2054"/>
      <c r="O622" s="2054"/>
      <c r="P622" s="2054"/>
      <c r="Q622" s="2054"/>
      <c r="R622" s="2054"/>
      <c r="U622" s="12" t="s">
        <v>17</v>
      </c>
      <c r="Z622" s="2048"/>
      <c r="AA622" s="2048"/>
      <c r="AB622" s="2048"/>
      <c r="AC622" s="2048"/>
      <c r="AD622" s="2048"/>
      <c r="AE622" s="2048"/>
      <c r="AF622" s="2048"/>
      <c r="AG622" s="2048"/>
      <c r="AH622" s="2048"/>
      <c r="AI622" s="2048"/>
      <c r="AJ622" s="2048"/>
      <c r="AK622" s="2048"/>
      <c r="AZ622" s="58"/>
      <c r="BA622" s="58"/>
      <c r="BB622" s="58"/>
      <c r="BC622" s="58"/>
      <c r="BD622" s="58"/>
      <c r="BE622" s="2050">
        <f t="shared" si="0"/>
        <v>0</v>
      </c>
      <c r="BF622" s="2052"/>
      <c r="BG622" s="2031">
        <f t="shared" si="1"/>
        <v>0</v>
      </c>
      <c r="BH622" s="2033"/>
      <c r="BI622" s="2050">
        <f t="shared" si="2"/>
        <v>0</v>
      </c>
      <c r="BJ622" s="2052"/>
      <c r="BK622" s="2031">
        <f t="shared" si="3"/>
        <v>0</v>
      </c>
      <c r="BL622" s="2033"/>
      <c r="BM622" s="58"/>
      <c r="BN622" s="2024">
        <f t="shared" si="4"/>
        <v>0</v>
      </c>
      <c r="BO622" s="2025"/>
      <c r="BP622" s="2025"/>
      <c r="BQ622" s="2025"/>
      <c r="BR622" s="2026"/>
      <c r="BS622" s="2030">
        <f t="shared" si="5"/>
        <v>0</v>
      </c>
      <c r="BT622" s="2030"/>
      <c r="BU622" s="2030"/>
      <c r="BV622" s="2030"/>
      <c r="BW622" s="2030"/>
      <c r="BX622" s="2030">
        <f t="shared" si="6"/>
        <v>0</v>
      </c>
      <c r="BY622" s="2030"/>
      <c r="BZ622" s="2030"/>
      <c r="CA622" s="2030"/>
      <c r="CB622" s="2030"/>
      <c r="CC622" s="2030">
        <f t="shared" si="7"/>
        <v>0</v>
      </c>
      <c r="CD622" s="2030"/>
      <c r="CE622" s="2030"/>
      <c r="CF622" s="2030"/>
      <c r="CG622" s="2030"/>
      <c r="CH622" s="2030">
        <f t="shared" si="8"/>
        <v>0</v>
      </c>
      <c r="CI622" s="2030"/>
      <c r="CJ622" s="2030"/>
      <c r="CK622" s="2030"/>
      <c r="CL622" s="2030"/>
      <c r="CM622" s="2030">
        <f t="shared" si="9"/>
        <v>0</v>
      </c>
      <c r="CN622" s="2030"/>
      <c r="CO622" s="2030"/>
      <c r="CP622" s="2030"/>
      <c r="CQ622" s="2030"/>
      <c r="CR622" s="265"/>
      <c r="CS622" s="2049">
        <f t="shared" si="10"/>
        <v>0</v>
      </c>
      <c r="CT622" s="2049"/>
      <c r="CU622" s="2049"/>
      <c r="CV622" s="2049"/>
      <c r="CW622" s="2049"/>
      <c r="CX622" s="2049">
        <f t="shared" si="11"/>
        <v>0</v>
      </c>
      <c r="CY622" s="2049"/>
      <c r="CZ622" s="2049"/>
      <c r="DA622" s="2049"/>
      <c r="DB622" s="2049"/>
      <c r="DC622" s="2049">
        <f t="shared" si="12"/>
        <v>0</v>
      </c>
      <c r="DD622" s="2049"/>
      <c r="DE622" s="2049"/>
      <c r="DF622" s="2049"/>
      <c r="DG622" s="2049"/>
      <c r="DH622" s="2049">
        <f t="shared" si="13"/>
        <v>0</v>
      </c>
      <c r="DI622" s="2049"/>
      <c r="DJ622" s="2049"/>
      <c r="DK622" s="2049"/>
      <c r="DL622" s="2049"/>
      <c r="DM622" s="2049">
        <f t="shared" si="14"/>
        <v>0</v>
      </c>
      <c r="DN622" s="2049"/>
      <c r="DO622" s="2049"/>
      <c r="DP622" s="2049"/>
      <c r="DQ622" s="2049"/>
      <c r="DR622" s="2049">
        <f t="shared" si="15"/>
        <v>0</v>
      </c>
      <c r="DS622" s="2049"/>
      <c r="DT622" s="2049"/>
      <c r="DU622" s="2049"/>
      <c r="DV622" s="2049"/>
      <c r="DX622" s="2050" t="str">
        <f t="shared" si="16"/>
        <v xml:space="preserve"> </v>
      </c>
      <c r="DY622" s="2051"/>
      <c r="DZ622" s="2051"/>
      <c r="EA622" s="2051"/>
      <c r="EB622" s="2052"/>
      <c r="EC622" s="2050" t="str">
        <f t="shared" si="17"/>
        <v xml:space="preserve"> </v>
      </c>
      <c r="ED622" s="2051"/>
      <c r="EE622" s="2051"/>
      <c r="EF622" s="2051"/>
      <c r="EG622" s="2052"/>
      <c r="EH622" s="2050" t="str">
        <f t="shared" si="18"/>
        <v xml:space="preserve"> </v>
      </c>
      <c r="EI622" s="2051"/>
      <c r="EJ622" s="2051"/>
      <c r="EK622" s="2051"/>
      <c r="EL622" s="2052"/>
      <c r="EM622" s="2050" t="str">
        <f t="shared" si="19"/>
        <v xml:space="preserve"> </v>
      </c>
      <c r="EN622" s="2051"/>
      <c r="EO622" s="2051"/>
      <c r="EP622" s="2051"/>
      <c r="EQ622" s="2052"/>
      <c r="ER622" s="2050" t="str">
        <f t="shared" si="20"/>
        <v xml:space="preserve"> </v>
      </c>
      <c r="ES622" s="2051"/>
      <c r="ET622" s="2051"/>
      <c r="EU622" s="2051"/>
      <c r="EV622" s="2052"/>
      <c r="EW622" s="2050" t="str">
        <f t="shared" si="21"/>
        <v xml:space="preserve"> </v>
      </c>
      <c r="EX622" s="2051"/>
      <c r="EY622" s="2051"/>
      <c r="EZ622" s="2051"/>
      <c r="FA622" s="2052"/>
    </row>
    <row r="623" spans="1:157" ht="12.5">
      <c r="B623" s="12" t="s">
        <v>325</v>
      </c>
      <c r="G623" s="2078"/>
      <c r="H623" s="2078"/>
      <c r="I623" s="2078"/>
      <c r="J623" s="2078"/>
      <c r="K623" s="2078"/>
      <c r="L623" s="2078"/>
      <c r="O623" s="137" t="s">
        <v>212</v>
      </c>
      <c r="P623" s="2047"/>
      <c r="Q623" s="2047"/>
      <c r="R623" s="2047"/>
      <c r="U623" s="12" t="s">
        <v>325</v>
      </c>
      <c r="Z623" s="2078"/>
      <c r="AA623" s="2078"/>
      <c r="AB623" s="2078"/>
      <c r="AC623" s="2078"/>
      <c r="AD623" s="2078"/>
      <c r="AE623" s="2078"/>
      <c r="AH623" s="137" t="s">
        <v>212</v>
      </c>
      <c r="AI623" s="2047"/>
      <c r="AJ623" s="2047"/>
      <c r="AK623" s="2047"/>
      <c r="AZ623" s="58"/>
      <c r="BA623" s="58"/>
      <c r="BB623" s="58"/>
      <c r="BC623" s="58"/>
      <c r="BD623" s="58"/>
      <c r="BE623" s="2050">
        <f t="shared" si="0"/>
        <v>0</v>
      </c>
      <c r="BF623" s="2052"/>
      <c r="BG623" s="2031">
        <f t="shared" si="1"/>
        <v>0</v>
      </c>
      <c r="BH623" s="2033"/>
      <c r="BI623" s="2050">
        <f t="shared" si="2"/>
        <v>0</v>
      </c>
      <c r="BJ623" s="2052"/>
      <c r="BK623" s="2031">
        <f t="shared" si="3"/>
        <v>0</v>
      </c>
      <c r="BL623" s="2033"/>
      <c r="BM623" s="58"/>
      <c r="BN623" s="2024">
        <f t="shared" si="4"/>
        <v>0</v>
      </c>
      <c r="BO623" s="2025"/>
      <c r="BP623" s="2025"/>
      <c r="BQ623" s="2025"/>
      <c r="BR623" s="2026"/>
      <c r="BS623" s="2030">
        <f t="shared" si="5"/>
        <v>0</v>
      </c>
      <c r="BT623" s="2030"/>
      <c r="BU623" s="2030"/>
      <c r="BV623" s="2030"/>
      <c r="BW623" s="2030"/>
      <c r="BX623" s="2030">
        <f t="shared" si="6"/>
        <v>0</v>
      </c>
      <c r="BY623" s="2030"/>
      <c r="BZ623" s="2030"/>
      <c r="CA623" s="2030"/>
      <c r="CB623" s="2030"/>
      <c r="CC623" s="2030">
        <f t="shared" si="7"/>
        <v>0</v>
      </c>
      <c r="CD623" s="2030"/>
      <c r="CE623" s="2030"/>
      <c r="CF623" s="2030"/>
      <c r="CG623" s="2030"/>
      <c r="CH623" s="2030">
        <f t="shared" si="8"/>
        <v>0</v>
      </c>
      <c r="CI623" s="2030"/>
      <c r="CJ623" s="2030"/>
      <c r="CK623" s="2030"/>
      <c r="CL623" s="2030"/>
      <c r="CM623" s="2030">
        <f t="shared" si="9"/>
        <v>0</v>
      </c>
      <c r="CN623" s="2030"/>
      <c r="CO623" s="2030"/>
      <c r="CP623" s="2030"/>
      <c r="CQ623" s="2030"/>
      <c r="CR623" s="265"/>
      <c r="CS623" s="2049">
        <f t="shared" si="10"/>
        <v>0</v>
      </c>
      <c r="CT623" s="2049"/>
      <c r="CU623" s="2049"/>
      <c r="CV623" s="2049"/>
      <c r="CW623" s="2049"/>
      <c r="CX623" s="2049">
        <f t="shared" si="11"/>
        <v>0</v>
      </c>
      <c r="CY623" s="2049"/>
      <c r="CZ623" s="2049"/>
      <c r="DA623" s="2049"/>
      <c r="DB623" s="2049"/>
      <c r="DC623" s="2049">
        <f t="shared" si="12"/>
        <v>0</v>
      </c>
      <c r="DD623" s="2049"/>
      <c r="DE623" s="2049"/>
      <c r="DF623" s="2049"/>
      <c r="DG623" s="2049"/>
      <c r="DH623" s="2049">
        <f t="shared" si="13"/>
        <v>0</v>
      </c>
      <c r="DI623" s="2049"/>
      <c r="DJ623" s="2049"/>
      <c r="DK623" s="2049"/>
      <c r="DL623" s="2049"/>
      <c r="DM623" s="2049">
        <f t="shared" si="14"/>
        <v>0</v>
      </c>
      <c r="DN623" s="2049"/>
      <c r="DO623" s="2049"/>
      <c r="DP623" s="2049"/>
      <c r="DQ623" s="2049"/>
      <c r="DR623" s="2049">
        <f t="shared" si="15"/>
        <v>0</v>
      </c>
      <c r="DS623" s="2049"/>
      <c r="DT623" s="2049"/>
      <c r="DU623" s="2049"/>
      <c r="DV623" s="2049"/>
      <c r="DX623" s="2050" t="str">
        <f t="shared" si="16"/>
        <v xml:space="preserve"> </v>
      </c>
      <c r="DY623" s="2051"/>
      <c r="DZ623" s="2051"/>
      <c r="EA623" s="2051"/>
      <c r="EB623" s="2052"/>
      <c r="EC623" s="2050" t="str">
        <f t="shared" si="17"/>
        <v xml:space="preserve"> </v>
      </c>
      <c r="ED623" s="2051"/>
      <c r="EE623" s="2051"/>
      <c r="EF623" s="2051"/>
      <c r="EG623" s="2052"/>
      <c r="EH623" s="2050" t="str">
        <f t="shared" si="18"/>
        <v xml:space="preserve"> </v>
      </c>
      <c r="EI623" s="2051"/>
      <c r="EJ623" s="2051"/>
      <c r="EK623" s="2051"/>
      <c r="EL623" s="2052"/>
      <c r="EM623" s="2050" t="str">
        <f t="shared" si="19"/>
        <v xml:space="preserve"> </v>
      </c>
      <c r="EN623" s="2051"/>
      <c r="EO623" s="2051"/>
      <c r="EP623" s="2051"/>
      <c r="EQ623" s="2052"/>
      <c r="ER623" s="2050" t="str">
        <f t="shared" si="20"/>
        <v xml:space="preserve"> </v>
      </c>
      <c r="ES623" s="2051"/>
      <c r="ET623" s="2051"/>
      <c r="EU623" s="2051"/>
      <c r="EV623" s="2052"/>
      <c r="EW623" s="2050" t="str">
        <f t="shared" si="21"/>
        <v xml:space="preserve"> </v>
      </c>
      <c r="EX623" s="2051"/>
      <c r="EY623" s="2051"/>
      <c r="EZ623" s="2051"/>
      <c r="FA623" s="2052"/>
    </row>
    <row r="624" spans="1:157" ht="12.5">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50">
        <f t="shared" si="0"/>
        <v>0</v>
      </c>
      <c r="BF624" s="2052"/>
      <c r="BG624" s="2031">
        <f t="shared" si="1"/>
        <v>0</v>
      </c>
      <c r="BH624" s="2033"/>
      <c r="BI624" s="2050">
        <f t="shared" si="2"/>
        <v>0</v>
      </c>
      <c r="BJ624" s="2052"/>
      <c r="BK624" s="2031">
        <f t="shared" si="3"/>
        <v>0</v>
      </c>
      <c r="BL624" s="2033"/>
      <c r="BM624" s="58"/>
      <c r="BN624" s="2024">
        <f t="shared" si="4"/>
        <v>0</v>
      </c>
      <c r="BO624" s="2025"/>
      <c r="BP624" s="2025"/>
      <c r="BQ624" s="2025"/>
      <c r="BR624" s="2026"/>
      <c r="BS624" s="2030">
        <f t="shared" si="5"/>
        <v>0</v>
      </c>
      <c r="BT624" s="2030"/>
      <c r="BU624" s="2030"/>
      <c r="BV624" s="2030"/>
      <c r="BW624" s="2030"/>
      <c r="BX624" s="2030">
        <f t="shared" si="6"/>
        <v>0</v>
      </c>
      <c r="BY624" s="2030"/>
      <c r="BZ624" s="2030"/>
      <c r="CA624" s="2030"/>
      <c r="CB624" s="2030"/>
      <c r="CC624" s="2030">
        <f t="shared" si="7"/>
        <v>0</v>
      </c>
      <c r="CD624" s="2030"/>
      <c r="CE624" s="2030"/>
      <c r="CF624" s="2030"/>
      <c r="CG624" s="2030"/>
      <c r="CH624" s="2030">
        <f t="shared" si="8"/>
        <v>0</v>
      </c>
      <c r="CI624" s="2030"/>
      <c r="CJ624" s="2030"/>
      <c r="CK624" s="2030"/>
      <c r="CL624" s="2030"/>
      <c r="CM624" s="2030">
        <f t="shared" si="9"/>
        <v>0</v>
      </c>
      <c r="CN624" s="2030"/>
      <c r="CO624" s="2030"/>
      <c r="CP624" s="2030"/>
      <c r="CQ624" s="2030"/>
      <c r="CR624" s="265"/>
      <c r="CS624" s="2049">
        <f t="shared" si="10"/>
        <v>0</v>
      </c>
      <c r="CT624" s="2049"/>
      <c r="CU624" s="2049"/>
      <c r="CV624" s="2049"/>
      <c r="CW624" s="2049"/>
      <c r="CX624" s="2049">
        <f t="shared" si="11"/>
        <v>0</v>
      </c>
      <c r="CY624" s="2049"/>
      <c r="CZ624" s="2049"/>
      <c r="DA624" s="2049"/>
      <c r="DB624" s="2049"/>
      <c r="DC624" s="2049">
        <f t="shared" si="12"/>
        <v>0</v>
      </c>
      <c r="DD624" s="2049"/>
      <c r="DE624" s="2049"/>
      <c r="DF624" s="2049"/>
      <c r="DG624" s="2049"/>
      <c r="DH624" s="2049">
        <f t="shared" si="13"/>
        <v>0</v>
      </c>
      <c r="DI624" s="2049"/>
      <c r="DJ624" s="2049"/>
      <c r="DK624" s="2049"/>
      <c r="DL624" s="2049"/>
      <c r="DM624" s="2049">
        <f t="shared" si="14"/>
        <v>0</v>
      </c>
      <c r="DN624" s="2049"/>
      <c r="DO624" s="2049"/>
      <c r="DP624" s="2049"/>
      <c r="DQ624" s="2049"/>
      <c r="DR624" s="2049">
        <f t="shared" si="15"/>
        <v>0</v>
      </c>
      <c r="DS624" s="2049"/>
      <c r="DT624" s="2049"/>
      <c r="DU624" s="2049"/>
      <c r="DV624" s="2049"/>
      <c r="DX624" s="2050" t="str">
        <f t="shared" si="16"/>
        <v xml:space="preserve"> </v>
      </c>
      <c r="DY624" s="2051"/>
      <c r="DZ624" s="2051"/>
      <c r="EA624" s="2051"/>
      <c r="EB624" s="2052"/>
      <c r="EC624" s="2050" t="str">
        <f t="shared" si="17"/>
        <v xml:space="preserve"> </v>
      </c>
      <c r="ED624" s="2051"/>
      <c r="EE624" s="2051"/>
      <c r="EF624" s="2051"/>
      <c r="EG624" s="2052"/>
      <c r="EH624" s="2050" t="str">
        <f t="shared" si="18"/>
        <v xml:space="preserve"> </v>
      </c>
      <c r="EI624" s="2051"/>
      <c r="EJ624" s="2051"/>
      <c r="EK624" s="2051"/>
      <c r="EL624" s="2052"/>
      <c r="EM624" s="2050" t="str">
        <f t="shared" si="19"/>
        <v xml:space="preserve"> </v>
      </c>
      <c r="EN624" s="2051"/>
      <c r="EO624" s="2051"/>
      <c r="EP624" s="2051"/>
      <c r="EQ624" s="2052"/>
      <c r="ER624" s="2050" t="str">
        <f t="shared" si="20"/>
        <v xml:space="preserve"> </v>
      </c>
      <c r="ES624" s="2051"/>
      <c r="ET624" s="2051"/>
      <c r="EU624" s="2051"/>
      <c r="EV624" s="2052"/>
      <c r="EW624" s="2050" t="str">
        <f t="shared" si="21"/>
        <v xml:space="preserve"> </v>
      </c>
      <c r="EX624" s="2051"/>
      <c r="EY624" s="2051"/>
      <c r="EZ624" s="2051"/>
      <c r="FA624" s="2052"/>
    </row>
    <row r="625" spans="1:157" ht="12.5">
      <c r="B625" s="12" t="s">
        <v>20</v>
      </c>
      <c r="N625" s="2046" t="s">
        <v>706</v>
      </c>
      <c r="O625" s="2046"/>
      <c r="U625" s="12" t="s">
        <v>20</v>
      </c>
      <c r="AG625" s="2046" t="s">
        <v>706</v>
      </c>
      <c r="AH625" s="2046"/>
      <c r="AZ625" s="58"/>
      <c r="BA625" s="58"/>
      <c r="BB625" s="58"/>
      <c r="BC625" s="58"/>
      <c r="BD625" s="58"/>
      <c r="BE625" s="2050">
        <f t="shared" si="0"/>
        <v>0</v>
      </c>
      <c r="BF625" s="2052"/>
      <c r="BG625" s="2031">
        <f t="shared" si="1"/>
        <v>0</v>
      </c>
      <c r="BH625" s="2033"/>
      <c r="BI625" s="2050">
        <f t="shared" si="2"/>
        <v>0</v>
      </c>
      <c r="BJ625" s="2052"/>
      <c r="BK625" s="2031">
        <f t="shared" si="3"/>
        <v>0</v>
      </c>
      <c r="BL625" s="2033"/>
      <c r="BM625" s="58"/>
      <c r="BN625" s="2024">
        <f t="shared" si="4"/>
        <v>0</v>
      </c>
      <c r="BO625" s="2025"/>
      <c r="BP625" s="2025"/>
      <c r="BQ625" s="2025"/>
      <c r="BR625" s="2026"/>
      <c r="BS625" s="2030">
        <f t="shared" si="5"/>
        <v>0</v>
      </c>
      <c r="BT625" s="2030"/>
      <c r="BU625" s="2030"/>
      <c r="BV625" s="2030"/>
      <c r="BW625" s="2030"/>
      <c r="BX625" s="2030">
        <f t="shared" si="6"/>
        <v>0</v>
      </c>
      <c r="BY625" s="2030"/>
      <c r="BZ625" s="2030"/>
      <c r="CA625" s="2030"/>
      <c r="CB625" s="2030"/>
      <c r="CC625" s="2030">
        <f t="shared" si="7"/>
        <v>0</v>
      </c>
      <c r="CD625" s="2030"/>
      <c r="CE625" s="2030"/>
      <c r="CF625" s="2030"/>
      <c r="CG625" s="2030"/>
      <c r="CH625" s="2030">
        <f t="shared" si="8"/>
        <v>0</v>
      </c>
      <c r="CI625" s="2030"/>
      <c r="CJ625" s="2030"/>
      <c r="CK625" s="2030"/>
      <c r="CL625" s="2030"/>
      <c r="CM625" s="2030">
        <f t="shared" si="9"/>
        <v>0</v>
      </c>
      <c r="CN625" s="2030"/>
      <c r="CO625" s="2030"/>
      <c r="CP625" s="2030"/>
      <c r="CQ625" s="2030"/>
      <c r="CR625" s="265"/>
      <c r="CS625" s="2049">
        <f t="shared" si="10"/>
        <v>0</v>
      </c>
      <c r="CT625" s="2049"/>
      <c r="CU625" s="2049"/>
      <c r="CV625" s="2049"/>
      <c r="CW625" s="2049"/>
      <c r="CX625" s="2049">
        <f t="shared" si="11"/>
        <v>0</v>
      </c>
      <c r="CY625" s="2049"/>
      <c r="CZ625" s="2049"/>
      <c r="DA625" s="2049"/>
      <c r="DB625" s="2049"/>
      <c r="DC625" s="2049">
        <f t="shared" si="12"/>
        <v>0</v>
      </c>
      <c r="DD625" s="2049"/>
      <c r="DE625" s="2049"/>
      <c r="DF625" s="2049"/>
      <c r="DG625" s="2049"/>
      <c r="DH625" s="2049">
        <f t="shared" si="13"/>
        <v>0</v>
      </c>
      <c r="DI625" s="2049"/>
      <c r="DJ625" s="2049"/>
      <c r="DK625" s="2049"/>
      <c r="DL625" s="2049"/>
      <c r="DM625" s="2049">
        <f t="shared" si="14"/>
        <v>0</v>
      </c>
      <c r="DN625" s="2049"/>
      <c r="DO625" s="2049"/>
      <c r="DP625" s="2049"/>
      <c r="DQ625" s="2049"/>
      <c r="DR625" s="2049">
        <f t="shared" si="15"/>
        <v>0</v>
      </c>
      <c r="DS625" s="2049"/>
      <c r="DT625" s="2049"/>
      <c r="DU625" s="2049"/>
      <c r="DV625" s="2049"/>
      <c r="DX625" s="2050" t="str">
        <f t="shared" si="16"/>
        <v xml:space="preserve"> </v>
      </c>
      <c r="DY625" s="2051"/>
      <c r="DZ625" s="2051"/>
      <c r="EA625" s="2051"/>
      <c r="EB625" s="2052"/>
      <c r="EC625" s="2050" t="str">
        <f t="shared" si="17"/>
        <v xml:space="preserve"> </v>
      </c>
      <c r="ED625" s="2051"/>
      <c r="EE625" s="2051"/>
      <c r="EF625" s="2051"/>
      <c r="EG625" s="2052"/>
      <c r="EH625" s="2050" t="str">
        <f t="shared" si="18"/>
        <v xml:space="preserve"> </v>
      </c>
      <c r="EI625" s="2051"/>
      <c r="EJ625" s="2051"/>
      <c r="EK625" s="2051"/>
      <c r="EL625" s="2052"/>
      <c r="EM625" s="2050" t="str">
        <f t="shared" si="19"/>
        <v xml:space="preserve"> </v>
      </c>
      <c r="EN625" s="2051"/>
      <c r="EO625" s="2051"/>
      <c r="EP625" s="2051"/>
      <c r="EQ625" s="2052"/>
      <c r="ER625" s="2050" t="str">
        <f t="shared" si="20"/>
        <v xml:space="preserve"> </v>
      </c>
      <c r="ES625" s="2051"/>
      <c r="ET625" s="2051"/>
      <c r="EU625" s="2051"/>
      <c r="EV625" s="2052"/>
      <c r="EW625" s="2050" t="str">
        <f t="shared" si="21"/>
        <v xml:space="preserve"> </v>
      </c>
      <c r="EX625" s="2051"/>
      <c r="EY625" s="2051"/>
      <c r="EZ625" s="2051"/>
      <c r="FA625" s="2052"/>
    </row>
    <row r="626" spans="1:157" ht="12.5">
      <c r="AZ626" s="58"/>
      <c r="BA626" s="58"/>
      <c r="BB626" s="58"/>
      <c r="BC626" s="58"/>
      <c r="BD626" s="58"/>
      <c r="BE626" s="2050">
        <f t="shared" si="0"/>
        <v>0</v>
      </c>
      <c r="BF626" s="2052"/>
      <c r="BG626" s="2031">
        <f t="shared" si="1"/>
        <v>0</v>
      </c>
      <c r="BH626" s="2033"/>
      <c r="BI626" s="2050">
        <f t="shared" si="2"/>
        <v>0</v>
      </c>
      <c r="BJ626" s="2052"/>
      <c r="BK626" s="2031">
        <f t="shared" si="3"/>
        <v>0</v>
      </c>
      <c r="BL626" s="2033"/>
      <c r="BM626" s="58"/>
      <c r="BN626" s="2024">
        <f t="shared" si="4"/>
        <v>0</v>
      </c>
      <c r="BO626" s="2025"/>
      <c r="BP626" s="2025"/>
      <c r="BQ626" s="2025"/>
      <c r="BR626" s="2026"/>
      <c r="BS626" s="2030">
        <f t="shared" si="5"/>
        <v>0</v>
      </c>
      <c r="BT626" s="2030"/>
      <c r="BU626" s="2030"/>
      <c r="BV626" s="2030"/>
      <c r="BW626" s="2030"/>
      <c r="BX626" s="2030">
        <f t="shared" si="6"/>
        <v>0</v>
      </c>
      <c r="BY626" s="2030"/>
      <c r="BZ626" s="2030"/>
      <c r="CA626" s="2030"/>
      <c r="CB626" s="2030"/>
      <c r="CC626" s="2030">
        <f t="shared" si="7"/>
        <v>0</v>
      </c>
      <c r="CD626" s="2030"/>
      <c r="CE626" s="2030"/>
      <c r="CF626" s="2030"/>
      <c r="CG626" s="2030"/>
      <c r="CH626" s="2030">
        <f t="shared" si="8"/>
        <v>0</v>
      </c>
      <c r="CI626" s="2030"/>
      <c r="CJ626" s="2030"/>
      <c r="CK626" s="2030"/>
      <c r="CL626" s="2030"/>
      <c r="CM626" s="2030">
        <f t="shared" si="9"/>
        <v>0</v>
      </c>
      <c r="CN626" s="2030"/>
      <c r="CO626" s="2030"/>
      <c r="CP626" s="2030"/>
      <c r="CQ626" s="2030"/>
      <c r="CR626" s="265"/>
      <c r="CS626" s="2049">
        <f t="shared" si="10"/>
        <v>0</v>
      </c>
      <c r="CT626" s="2049"/>
      <c r="CU626" s="2049"/>
      <c r="CV626" s="2049"/>
      <c r="CW626" s="2049"/>
      <c r="CX626" s="2049">
        <f t="shared" si="11"/>
        <v>0</v>
      </c>
      <c r="CY626" s="2049"/>
      <c r="CZ626" s="2049"/>
      <c r="DA626" s="2049"/>
      <c r="DB626" s="2049"/>
      <c r="DC626" s="2049">
        <f t="shared" si="12"/>
        <v>0</v>
      </c>
      <c r="DD626" s="2049"/>
      <c r="DE626" s="2049"/>
      <c r="DF626" s="2049"/>
      <c r="DG626" s="2049"/>
      <c r="DH626" s="2049">
        <f t="shared" si="13"/>
        <v>0</v>
      </c>
      <c r="DI626" s="2049"/>
      <c r="DJ626" s="2049"/>
      <c r="DK626" s="2049"/>
      <c r="DL626" s="2049"/>
      <c r="DM626" s="2049">
        <f t="shared" si="14"/>
        <v>0</v>
      </c>
      <c r="DN626" s="2049"/>
      <c r="DO626" s="2049"/>
      <c r="DP626" s="2049"/>
      <c r="DQ626" s="2049"/>
      <c r="DR626" s="2049">
        <f t="shared" si="15"/>
        <v>0</v>
      </c>
      <c r="DS626" s="2049"/>
      <c r="DT626" s="2049"/>
      <c r="DU626" s="2049"/>
      <c r="DV626" s="2049"/>
      <c r="DX626" s="2050" t="str">
        <f t="shared" si="16"/>
        <v xml:space="preserve"> </v>
      </c>
      <c r="DY626" s="2051"/>
      <c r="DZ626" s="2051"/>
      <c r="EA626" s="2051"/>
      <c r="EB626" s="2052"/>
      <c r="EC626" s="2050" t="str">
        <f t="shared" si="17"/>
        <v xml:space="preserve"> </v>
      </c>
      <c r="ED626" s="2051"/>
      <c r="EE626" s="2051"/>
      <c r="EF626" s="2051"/>
      <c r="EG626" s="2052"/>
      <c r="EH626" s="2050" t="str">
        <f t="shared" si="18"/>
        <v xml:space="preserve"> </v>
      </c>
      <c r="EI626" s="2051"/>
      <c r="EJ626" s="2051"/>
      <c r="EK626" s="2051"/>
      <c r="EL626" s="2052"/>
      <c r="EM626" s="2050" t="str">
        <f t="shared" si="19"/>
        <v xml:space="preserve"> </v>
      </c>
      <c r="EN626" s="2051"/>
      <c r="EO626" s="2051"/>
      <c r="EP626" s="2051"/>
      <c r="EQ626" s="2052"/>
      <c r="ER626" s="2050" t="str">
        <f t="shared" si="20"/>
        <v xml:space="preserve"> </v>
      </c>
      <c r="ES626" s="2051"/>
      <c r="ET626" s="2051"/>
      <c r="EU626" s="2051"/>
      <c r="EV626" s="2052"/>
      <c r="EW626" s="2050" t="str">
        <f t="shared" si="21"/>
        <v xml:space="preserve"> </v>
      </c>
      <c r="EX626" s="2051"/>
      <c r="EY626" s="2051"/>
      <c r="EZ626" s="2051"/>
      <c r="FA626" s="2052"/>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50">
        <f t="shared" si="0"/>
        <v>0</v>
      </c>
      <c r="BF627" s="2052"/>
      <c r="BG627" s="2031">
        <f t="shared" si="1"/>
        <v>0</v>
      </c>
      <c r="BH627" s="2033"/>
      <c r="BI627" s="2050">
        <f t="shared" si="2"/>
        <v>0</v>
      </c>
      <c r="BJ627" s="2052"/>
      <c r="BK627" s="2031">
        <f t="shared" si="3"/>
        <v>0</v>
      </c>
      <c r="BL627" s="2033"/>
      <c r="BM627" s="58"/>
      <c r="BN627" s="2024">
        <f t="shared" si="4"/>
        <v>0</v>
      </c>
      <c r="BO627" s="2025"/>
      <c r="BP627" s="2025"/>
      <c r="BQ627" s="2025"/>
      <c r="BR627" s="2026"/>
      <c r="BS627" s="2030">
        <f t="shared" si="5"/>
        <v>0</v>
      </c>
      <c r="BT627" s="2030"/>
      <c r="BU627" s="2030"/>
      <c r="BV627" s="2030"/>
      <c r="BW627" s="2030"/>
      <c r="BX627" s="2030">
        <f t="shared" si="6"/>
        <v>0</v>
      </c>
      <c r="BY627" s="2030"/>
      <c r="BZ627" s="2030"/>
      <c r="CA627" s="2030"/>
      <c r="CB627" s="2030"/>
      <c r="CC627" s="2030">
        <f t="shared" si="7"/>
        <v>0</v>
      </c>
      <c r="CD627" s="2030"/>
      <c r="CE627" s="2030"/>
      <c r="CF627" s="2030"/>
      <c r="CG627" s="2030"/>
      <c r="CH627" s="2030">
        <f t="shared" si="8"/>
        <v>0</v>
      </c>
      <c r="CI627" s="2030"/>
      <c r="CJ627" s="2030"/>
      <c r="CK627" s="2030"/>
      <c r="CL627" s="2030"/>
      <c r="CM627" s="2030">
        <f t="shared" si="9"/>
        <v>0</v>
      </c>
      <c r="CN627" s="2030"/>
      <c r="CO627" s="2030"/>
      <c r="CP627" s="2030"/>
      <c r="CQ627" s="2030"/>
      <c r="CR627" s="265"/>
      <c r="CS627" s="2049">
        <f t="shared" si="10"/>
        <v>0</v>
      </c>
      <c r="CT627" s="2049"/>
      <c r="CU627" s="2049"/>
      <c r="CV627" s="2049"/>
      <c r="CW627" s="2049"/>
      <c r="CX627" s="2049">
        <f t="shared" si="11"/>
        <v>0</v>
      </c>
      <c r="CY627" s="2049"/>
      <c r="CZ627" s="2049"/>
      <c r="DA627" s="2049"/>
      <c r="DB627" s="2049"/>
      <c r="DC627" s="2049">
        <f t="shared" si="12"/>
        <v>0</v>
      </c>
      <c r="DD627" s="2049"/>
      <c r="DE627" s="2049"/>
      <c r="DF627" s="2049"/>
      <c r="DG627" s="2049"/>
      <c r="DH627" s="2049">
        <f t="shared" si="13"/>
        <v>0</v>
      </c>
      <c r="DI627" s="2049"/>
      <c r="DJ627" s="2049"/>
      <c r="DK627" s="2049"/>
      <c r="DL627" s="2049"/>
      <c r="DM627" s="2049">
        <f t="shared" si="14"/>
        <v>0</v>
      </c>
      <c r="DN627" s="2049"/>
      <c r="DO627" s="2049"/>
      <c r="DP627" s="2049"/>
      <c r="DQ627" s="2049"/>
      <c r="DR627" s="2049">
        <f t="shared" si="15"/>
        <v>0</v>
      </c>
      <c r="DS627" s="2049"/>
      <c r="DT627" s="2049"/>
      <c r="DU627" s="2049"/>
      <c r="DV627" s="2049"/>
      <c r="DX627" s="2050" t="str">
        <f t="shared" si="16"/>
        <v xml:space="preserve"> </v>
      </c>
      <c r="DY627" s="2051"/>
      <c r="DZ627" s="2051"/>
      <c r="EA627" s="2051"/>
      <c r="EB627" s="2052"/>
      <c r="EC627" s="2050" t="str">
        <f t="shared" si="17"/>
        <v xml:space="preserve"> </v>
      </c>
      <c r="ED627" s="2051"/>
      <c r="EE627" s="2051"/>
      <c r="EF627" s="2051"/>
      <c r="EG627" s="2052"/>
      <c r="EH627" s="2050" t="str">
        <f t="shared" si="18"/>
        <v xml:space="preserve"> </v>
      </c>
      <c r="EI627" s="2051"/>
      <c r="EJ627" s="2051"/>
      <c r="EK627" s="2051"/>
      <c r="EL627" s="2052"/>
      <c r="EM627" s="2050" t="str">
        <f t="shared" si="19"/>
        <v xml:space="preserve"> </v>
      </c>
      <c r="EN627" s="2051"/>
      <c r="EO627" s="2051"/>
      <c r="EP627" s="2051"/>
      <c r="EQ627" s="2052"/>
      <c r="ER627" s="2050" t="str">
        <f t="shared" si="20"/>
        <v xml:space="preserve"> </v>
      </c>
      <c r="ES627" s="2051"/>
      <c r="ET627" s="2051"/>
      <c r="EU627" s="2051"/>
      <c r="EV627" s="2052"/>
      <c r="EW627" s="2050" t="str">
        <f t="shared" si="21"/>
        <v xml:space="preserve"> </v>
      </c>
      <c r="EX627" s="2051"/>
      <c r="EY627" s="2051"/>
      <c r="EZ627" s="2051"/>
      <c r="FA627" s="2052"/>
    </row>
    <row r="628" spans="1:157" ht="13">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50">
        <f t="shared" si="0"/>
        <v>0</v>
      </c>
      <c r="BF628" s="2052"/>
      <c r="BG628" s="2031">
        <f t="shared" si="1"/>
        <v>0</v>
      </c>
      <c r="BH628" s="2033"/>
      <c r="BI628" s="2050">
        <f t="shared" si="2"/>
        <v>0</v>
      </c>
      <c r="BJ628" s="2052"/>
      <c r="BK628" s="2031">
        <f t="shared" si="3"/>
        <v>0</v>
      </c>
      <c r="BL628" s="2033"/>
      <c r="BM628" s="58"/>
      <c r="BN628" s="2024">
        <f t="shared" si="4"/>
        <v>0</v>
      </c>
      <c r="BO628" s="2025"/>
      <c r="BP628" s="2025"/>
      <c r="BQ628" s="2025"/>
      <c r="BR628" s="2026"/>
      <c r="BS628" s="2030">
        <f t="shared" si="5"/>
        <v>0</v>
      </c>
      <c r="BT628" s="2030"/>
      <c r="BU628" s="2030"/>
      <c r="BV628" s="2030"/>
      <c r="BW628" s="2030"/>
      <c r="BX628" s="2030">
        <f t="shared" si="6"/>
        <v>0</v>
      </c>
      <c r="BY628" s="2030"/>
      <c r="BZ628" s="2030"/>
      <c r="CA628" s="2030"/>
      <c r="CB628" s="2030"/>
      <c r="CC628" s="2030">
        <f t="shared" si="7"/>
        <v>0</v>
      </c>
      <c r="CD628" s="2030"/>
      <c r="CE628" s="2030"/>
      <c r="CF628" s="2030"/>
      <c r="CG628" s="2030"/>
      <c r="CH628" s="2030">
        <f t="shared" si="8"/>
        <v>0</v>
      </c>
      <c r="CI628" s="2030"/>
      <c r="CJ628" s="2030"/>
      <c r="CK628" s="2030"/>
      <c r="CL628" s="2030"/>
      <c r="CM628" s="2030">
        <f t="shared" si="9"/>
        <v>0</v>
      </c>
      <c r="CN628" s="2030"/>
      <c r="CO628" s="2030"/>
      <c r="CP628" s="2030"/>
      <c r="CQ628" s="2030"/>
      <c r="CR628" s="265"/>
      <c r="CS628" s="2049">
        <f t="shared" si="10"/>
        <v>0</v>
      </c>
      <c r="CT628" s="2049"/>
      <c r="CU628" s="2049"/>
      <c r="CV628" s="2049"/>
      <c r="CW628" s="2049"/>
      <c r="CX628" s="2049">
        <f t="shared" si="11"/>
        <v>0</v>
      </c>
      <c r="CY628" s="2049"/>
      <c r="CZ628" s="2049"/>
      <c r="DA628" s="2049"/>
      <c r="DB628" s="2049"/>
      <c r="DC628" s="2049">
        <f t="shared" si="12"/>
        <v>0</v>
      </c>
      <c r="DD628" s="2049"/>
      <c r="DE628" s="2049"/>
      <c r="DF628" s="2049"/>
      <c r="DG628" s="2049"/>
      <c r="DH628" s="2049">
        <f t="shared" si="13"/>
        <v>0</v>
      </c>
      <c r="DI628" s="2049"/>
      <c r="DJ628" s="2049"/>
      <c r="DK628" s="2049"/>
      <c r="DL628" s="2049"/>
      <c r="DM628" s="2049">
        <f t="shared" si="14"/>
        <v>0</v>
      </c>
      <c r="DN628" s="2049"/>
      <c r="DO628" s="2049"/>
      <c r="DP628" s="2049"/>
      <c r="DQ628" s="2049"/>
      <c r="DR628" s="2049">
        <f t="shared" si="15"/>
        <v>0</v>
      </c>
      <c r="DS628" s="2049"/>
      <c r="DT628" s="2049"/>
      <c r="DU628" s="2049"/>
      <c r="DV628" s="2049"/>
      <c r="DX628" s="2050" t="str">
        <f t="shared" si="16"/>
        <v xml:space="preserve"> </v>
      </c>
      <c r="DY628" s="2051"/>
      <c r="DZ628" s="2051"/>
      <c r="EA628" s="2051"/>
      <c r="EB628" s="2052"/>
      <c r="EC628" s="2050" t="str">
        <f t="shared" si="17"/>
        <v xml:space="preserve"> </v>
      </c>
      <c r="ED628" s="2051"/>
      <c r="EE628" s="2051"/>
      <c r="EF628" s="2051"/>
      <c r="EG628" s="2052"/>
      <c r="EH628" s="2050" t="str">
        <f t="shared" si="18"/>
        <v xml:space="preserve"> </v>
      </c>
      <c r="EI628" s="2051"/>
      <c r="EJ628" s="2051"/>
      <c r="EK628" s="2051"/>
      <c r="EL628" s="2052"/>
      <c r="EM628" s="2050" t="str">
        <f t="shared" si="19"/>
        <v xml:space="preserve"> </v>
      </c>
      <c r="EN628" s="2051"/>
      <c r="EO628" s="2051"/>
      <c r="EP628" s="2051"/>
      <c r="EQ628" s="2052"/>
      <c r="ER628" s="2050" t="str">
        <f t="shared" si="20"/>
        <v xml:space="preserve"> </v>
      </c>
      <c r="ES628" s="2051"/>
      <c r="ET628" s="2051"/>
      <c r="EU628" s="2051"/>
      <c r="EV628" s="2052"/>
      <c r="EW628" s="2050" t="str">
        <f t="shared" si="21"/>
        <v xml:space="preserve"> </v>
      </c>
      <c r="EX628" s="2051"/>
      <c r="EY628" s="2051"/>
      <c r="EZ628" s="2051"/>
      <c r="FA628" s="2052"/>
    </row>
    <row r="629" spans="1:157" ht="12.5">
      <c r="A629" s="25"/>
      <c r="B629" s="25"/>
      <c r="C629" s="25"/>
      <c r="D629" s="25"/>
      <c r="E629" s="25"/>
      <c r="F629" s="25"/>
      <c r="G629" s="3"/>
      <c r="H629" s="25"/>
      <c r="AZ629" s="58"/>
      <c r="BA629" s="58"/>
      <c r="BB629" s="58"/>
      <c r="BC629" s="58"/>
      <c r="BD629" s="58"/>
      <c r="BE629" s="2050">
        <f t="shared" si="0"/>
        <v>0</v>
      </c>
      <c r="BF629" s="2052"/>
      <c r="BG629" s="2031">
        <f t="shared" si="1"/>
        <v>0</v>
      </c>
      <c r="BH629" s="2033"/>
      <c r="BI629" s="2050">
        <f t="shared" si="2"/>
        <v>0</v>
      </c>
      <c r="BJ629" s="2052"/>
      <c r="BK629" s="2031">
        <f t="shared" si="3"/>
        <v>0</v>
      </c>
      <c r="BL629" s="2033"/>
      <c r="BM629" s="58"/>
      <c r="BN629" s="2024">
        <f t="shared" si="4"/>
        <v>0</v>
      </c>
      <c r="BO629" s="2025"/>
      <c r="BP629" s="2025"/>
      <c r="BQ629" s="2025"/>
      <c r="BR629" s="2026"/>
      <c r="BS629" s="2030">
        <f t="shared" si="5"/>
        <v>0</v>
      </c>
      <c r="BT629" s="2030"/>
      <c r="BU629" s="2030"/>
      <c r="BV629" s="2030"/>
      <c r="BW629" s="2030"/>
      <c r="BX629" s="2030">
        <f t="shared" si="6"/>
        <v>0</v>
      </c>
      <c r="BY629" s="2030"/>
      <c r="BZ629" s="2030"/>
      <c r="CA629" s="2030"/>
      <c r="CB629" s="2030"/>
      <c r="CC629" s="2030">
        <f t="shared" si="7"/>
        <v>0</v>
      </c>
      <c r="CD629" s="2030"/>
      <c r="CE629" s="2030"/>
      <c r="CF629" s="2030"/>
      <c r="CG629" s="2030"/>
      <c r="CH629" s="2030">
        <f t="shared" si="8"/>
        <v>0</v>
      </c>
      <c r="CI629" s="2030"/>
      <c r="CJ629" s="2030"/>
      <c r="CK629" s="2030"/>
      <c r="CL629" s="2030"/>
      <c r="CM629" s="2030">
        <f t="shared" si="9"/>
        <v>0</v>
      </c>
      <c r="CN629" s="2030"/>
      <c r="CO629" s="2030"/>
      <c r="CP629" s="2030"/>
      <c r="CQ629" s="2030"/>
      <c r="CR629" s="265"/>
      <c r="CS629" s="2049">
        <f t="shared" si="10"/>
        <v>0</v>
      </c>
      <c r="CT629" s="2049"/>
      <c r="CU629" s="2049"/>
      <c r="CV629" s="2049"/>
      <c r="CW629" s="2049"/>
      <c r="CX629" s="2049">
        <f t="shared" si="11"/>
        <v>0</v>
      </c>
      <c r="CY629" s="2049"/>
      <c r="CZ629" s="2049"/>
      <c r="DA629" s="2049"/>
      <c r="DB629" s="2049"/>
      <c r="DC629" s="2049">
        <f t="shared" si="12"/>
        <v>0</v>
      </c>
      <c r="DD629" s="2049"/>
      <c r="DE629" s="2049"/>
      <c r="DF629" s="2049"/>
      <c r="DG629" s="2049"/>
      <c r="DH629" s="2049">
        <f t="shared" si="13"/>
        <v>0</v>
      </c>
      <c r="DI629" s="2049"/>
      <c r="DJ629" s="2049"/>
      <c r="DK629" s="2049"/>
      <c r="DL629" s="2049"/>
      <c r="DM629" s="2049">
        <f t="shared" si="14"/>
        <v>0</v>
      </c>
      <c r="DN629" s="2049"/>
      <c r="DO629" s="2049"/>
      <c r="DP629" s="2049"/>
      <c r="DQ629" s="2049"/>
      <c r="DR629" s="2049">
        <f t="shared" si="15"/>
        <v>0</v>
      </c>
      <c r="DS629" s="2049"/>
      <c r="DT629" s="2049"/>
      <c r="DU629" s="2049"/>
      <c r="DV629" s="2049"/>
      <c r="DX629" s="2050" t="str">
        <f t="shared" si="16"/>
        <v xml:space="preserve"> </v>
      </c>
      <c r="DY629" s="2051"/>
      <c r="DZ629" s="2051"/>
      <c r="EA629" s="2051"/>
      <c r="EB629" s="2052"/>
      <c r="EC629" s="2050" t="str">
        <f t="shared" si="17"/>
        <v xml:space="preserve"> </v>
      </c>
      <c r="ED629" s="2051"/>
      <c r="EE629" s="2051"/>
      <c r="EF629" s="2051"/>
      <c r="EG629" s="2052"/>
      <c r="EH629" s="2050" t="str">
        <f t="shared" si="18"/>
        <v xml:space="preserve"> </v>
      </c>
      <c r="EI629" s="2051"/>
      <c r="EJ629" s="2051"/>
      <c r="EK629" s="2051"/>
      <c r="EL629" s="2052"/>
      <c r="EM629" s="2050" t="str">
        <f t="shared" si="19"/>
        <v xml:space="preserve"> </v>
      </c>
      <c r="EN629" s="2051"/>
      <c r="EO629" s="2051"/>
      <c r="EP629" s="2051"/>
      <c r="EQ629" s="2052"/>
      <c r="ER629" s="2050" t="str">
        <f t="shared" si="20"/>
        <v xml:space="preserve"> </v>
      </c>
      <c r="ES629" s="2051"/>
      <c r="ET629" s="2051"/>
      <c r="EU629" s="2051"/>
      <c r="EV629" s="2052"/>
      <c r="EW629" s="2050" t="str">
        <f t="shared" si="21"/>
        <v xml:space="preserve"> </v>
      </c>
      <c r="EX629" s="2051"/>
      <c r="EY629" s="2051"/>
      <c r="EZ629" s="2051"/>
      <c r="FA629" s="2052"/>
    </row>
    <row r="630" spans="1:157" ht="13">
      <c r="A630" s="50" t="s">
        <v>328</v>
      </c>
      <c r="B630" s="50"/>
      <c r="C630" s="50" t="s">
        <v>21</v>
      </c>
      <c r="AZ630" s="58"/>
      <c r="BA630" s="58"/>
      <c r="BB630" s="58"/>
      <c r="BC630" s="58"/>
      <c r="BD630" s="58"/>
      <c r="BE630" s="2050">
        <f t="shared" si="0"/>
        <v>0</v>
      </c>
      <c r="BF630" s="2052"/>
      <c r="BG630" s="2031">
        <f t="shared" si="1"/>
        <v>0</v>
      </c>
      <c r="BH630" s="2033"/>
      <c r="BI630" s="2050">
        <f t="shared" si="2"/>
        <v>0</v>
      </c>
      <c r="BJ630" s="2052"/>
      <c r="BK630" s="2031">
        <f t="shared" si="3"/>
        <v>0</v>
      </c>
      <c r="BL630" s="2033"/>
      <c r="BM630" s="58"/>
      <c r="BN630" s="2024">
        <f t="shared" si="4"/>
        <v>0</v>
      </c>
      <c r="BO630" s="2025"/>
      <c r="BP630" s="2025"/>
      <c r="BQ630" s="2025"/>
      <c r="BR630" s="2026"/>
      <c r="BS630" s="2030">
        <f t="shared" si="5"/>
        <v>0</v>
      </c>
      <c r="BT630" s="2030"/>
      <c r="BU630" s="2030"/>
      <c r="BV630" s="2030"/>
      <c r="BW630" s="2030"/>
      <c r="BX630" s="2030">
        <f t="shared" si="6"/>
        <v>0</v>
      </c>
      <c r="BY630" s="2030"/>
      <c r="BZ630" s="2030"/>
      <c r="CA630" s="2030"/>
      <c r="CB630" s="2030"/>
      <c r="CC630" s="2030">
        <f t="shared" si="7"/>
        <v>0</v>
      </c>
      <c r="CD630" s="2030"/>
      <c r="CE630" s="2030"/>
      <c r="CF630" s="2030"/>
      <c r="CG630" s="2030"/>
      <c r="CH630" s="2030">
        <f t="shared" si="8"/>
        <v>0</v>
      </c>
      <c r="CI630" s="2030"/>
      <c r="CJ630" s="2030"/>
      <c r="CK630" s="2030"/>
      <c r="CL630" s="2030"/>
      <c r="CM630" s="2030">
        <f t="shared" si="9"/>
        <v>0</v>
      </c>
      <c r="CN630" s="2030"/>
      <c r="CO630" s="2030"/>
      <c r="CP630" s="2030"/>
      <c r="CQ630" s="2030"/>
      <c r="CR630" s="265"/>
      <c r="CS630" s="2049">
        <f t="shared" si="10"/>
        <v>0</v>
      </c>
      <c r="CT630" s="2049"/>
      <c r="CU630" s="2049"/>
      <c r="CV630" s="2049"/>
      <c r="CW630" s="2049"/>
      <c r="CX630" s="2049">
        <f t="shared" si="11"/>
        <v>0</v>
      </c>
      <c r="CY630" s="2049"/>
      <c r="CZ630" s="2049"/>
      <c r="DA630" s="2049"/>
      <c r="DB630" s="2049"/>
      <c r="DC630" s="2049">
        <f t="shared" si="12"/>
        <v>0</v>
      </c>
      <c r="DD630" s="2049"/>
      <c r="DE630" s="2049"/>
      <c r="DF630" s="2049"/>
      <c r="DG630" s="2049"/>
      <c r="DH630" s="2049">
        <f t="shared" si="13"/>
        <v>0</v>
      </c>
      <c r="DI630" s="2049"/>
      <c r="DJ630" s="2049"/>
      <c r="DK630" s="2049"/>
      <c r="DL630" s="2049"/>
      <c r="DM630" s="2049">
        <f t="shared" si="14"/>
        <v>0</v>
      </c>
      <c r="DN630" s="2049"/>
      <c r="DO630" s="2049"/>
      <c r="DP630" s="2049"/>
      <c r="DQ630" s="2049"/>
      <c r="DR630" s="2049">
        <f t="shared" si="15"/>
        <v>0</v>
      </c>
      <c r="DS630" s="2049"/>
      <c r="DT630" s="2049"/>
      <c r="DU630" s="2049"/>
      <c r="DV630" s="2049"/>
      <c r="DX630" s="2050" t="str">
        <f t="shared" si="16"/>
        <v xml:space="preserve"> </v>
      </c>
      <c r="DY630" s="2051"/>
      <c r="DZ630" s="2051"/>
      <c r="EA630" s="2051"/>
      <c r="EB630" s="2052"/>
      <c r="EC630" s="2050" t="str">
        <f t="shared" si="17"/>
        <v xml:space="preserve"> </v>
      </c>
      <c r="ED630" s="2051"/>
      <c r="EE630" s="2051"/>
      <c r="EF630" s="2051"/>
      <c r="EG630" s="2052"/>
      <c r="EH630" s="2050" t="str">
        <f t="shared" si="18"/>
        <v xml:space="preserve"> </v>
      </c>
      <c r="EI630" s="2051"/>
      <c r="EJ630" s="2051"/>
      <c r="EK630" s="2051"/>
      <c r="EL630" s="2052"/>
      <c r="EM630" s="2050" t="str">
        <f t="shared" si="19"/>
        <v xml:space="preserve"> </v>
      </c>
      <c r="EN630" s="2051"/>
      <c r="EO630" s="2051"/>
      <c r="EP630" s="2051"/>
      <c r="EQ630" s="2052"/>
      <c r="ER630" s="2050" t="str">
        <f t="shared" si="20"/>
        <v xml:space="preserve"> </v>
      </c>
      <c r="ES630" s="2051"/>
      <c r="ET630" s="2051"/>
      <c r="EU630" s="2051"/>
      <c r="EV630" s="2052"/>
      <c r="EW630" s="2050" t="str">
        <f t="shared" si="21"/>
        <v xml:space="preserve"> </v>
      </c>
      <c r="EX630" s="2051"/>
      <c r="EY630" s="2051"/>
      <c r="EZ630" s="2051"/>
      <c r="FA630" s="2052"/>
    </row>
    <row r="631" spans="1:157" ht="13">
      <c r="A631" s="50"/>
      <c r="B631" s="50"/>
      <c r="C631" s="50"/>
      <c r="AZ631" s="58"/>
      <c r="BA631" s="58"/>
      <c r="BB631" s="58"/>
      <c r="BC631" s="58"/>
      <c r="BD631" s="58"/>
      <c r="BE631" s="2050">
        <f t="shared" si="0"/>
        <v>0</v>
      </c>
      <c r="BF631" s="2052"/>
      <c r="BG631" s="2031">
        <f t="shared" si="1"/>
        <v>0</v>
      </c>
      <c r="BH631" s="2033"/>
      <c r="BI631" s="2050">
        <f t="shared" si="2"/>
        <v>0</v>
      </c>
      <c r="BJ631" s="2052"/>
      <c r="BK631" s="2031">
        <f t="shared" si="3"/>
        <v>0</v>
      </c>
      <c r="BL631" s="2033"/>
      <c r="BM631" s="58"/>
      <c r="BN631" s="2024">
        <f t="shared" si="4"/>
        <v>0</v>
      </c>
      <c r="BO631" s="2025"/>
      <c r="BP631" s="2025"/>
      <c r="BQ631" s="2025"/>
      <c r="BR631" s="2026"/>
      <c r="BS631" s="2030">
        <f t="shared" si="5"/>
        <v>0</v>
      </c>
      <c r="BT631" s="2030"/>
      <c r="BU631" s="2030"/>
      <c r="BV631" s="2030"/>
      <c r="BW631" s="2030"/>
      <c r="BX631" s="2030">
        <f t="shared" si="6"/>
        <v>0</v>
      </c>
      <c r="BY631" s="2030"/>
      <c r="BZ631" s="2030"/>
      <c r="CA631" s="2030"/>
      <c r="CB631" s="2030"/>
      <c r="CC631" s="2030">
        <f t="shared" si="7"/>
        <v>0</v>
      </c>
      <c r="CD631" s="2030"/>
      <c r="CE631" s="2030"/>
      <c r="CF631" s="2030"/>
      <c r="CG631" s="2030"/>
      <c r="CH631" s="2030">
        <f t="shared" si="8"/>
        <v>0</v>
      </c>
      <c r="CI631" s="2030"/>
      <c r="CJ631" s="2030"/>
      <c r="CK631" s="2030"/>
      <c r="CL631" s="2030"/>
      <c r="CM631" s="2030">
        <f t="shared" si="9"/>
        <v>0</v>
      </c>
      <c r="CN631" s="2030"/>
      <c r="CO631" s="2030"/>
      <c r="CP631" s="2030"/>
      <c r="CQ631" s="2030"/>
      <c r="CR631" s="265"/>
      <c r="CS631" s="2049">
        <f t="shared" si="10"/>
        <v>0</v>
      </c>
      <c r="CT631" s="2049"/>
      <c r="CU631" s="2049"/>
      <c r="CV631" s="2049"/>
      <c r="CW631" s="2049"/>
      <c r="CX631" s="2049">
        <f t="shared" si="11"/>
        <v>0</v>
      </c>
      <c r="CY631" s="2049"/>
      <c r="CZ631" s="2049"/>
      <c r="DA631" s="2049"/>
      <c r="DB631" s="2049"/>
      <c r="DC631" s="2049">
        <f t="shared" si="12"/>
        <v>0</v>
      </c>
      <c r="DD631" s="2049"/>
      <c r="DE631" s="2049"/>
      <c r="DF631" s="2049"/>
      <c r="DG631" s="2049"/>
      <c r="DH631" s="2049">
        <f t="shared" si="13"/>
        <v>0</v>
      </c>
      <c r="DI631" s="2049"/>
      <c r="DJ631" s="2049"/>
      <c r="DK631" s="2049"/>
      <c r="DL631" s="2049"/>
      <c r="DM631" s="2049">
        <f t="shared" si="14"/>
        <v>0</v>
      </c>
      <c r="DN631" s="2049"/>
      <c r="DO631" s="2049"/>
      <c r="DP631" s="2049"/>
      <c r="DQ631" s="2049"/>
      <c r="DR631" s="2049">
        <f t="shared" si="15"/>
        <v>0</v>
      </c>
      <c r="DS631" s="2049"/>
      <c r="DT631" s="2049"/>
      <c r="DU631" s="2049"/>
      <c r="DV631" s="2049"/>
      <c r="DX631" s="2050" t="str">
        <f t="shared" si="16"/>
        <v xml:space="preserve"> </v>
      </c>
      <c r="DY631" s="2051"/>
      <c r="DZ631" s="2051"/>
      <c r="EA631" s="2051"/>
      <c r="EB631" s="2052"/>
      <c r="EC631" s="2050" t="str">
        <f t="shared" si="17"/>
        <v xml:space="preserve"> </v>
      </c>
      <c r="ED631" s="2051"/>
      <c r="EE631" s="2051"/>
      <c r="EF631" s="2051"/>
      <c r="EG631" s="2052"/>
      <c r="EH631" s="2050" t="str">
        <f t="shared" si="18"/>
        <v xml:space="preserve"> </v>
      </c>
      <c r="EI631" s="2051"/>
      <c r="EJ631" s="2051"/>
      <c r="EK631" s="2051"/>
      <c r="EL631" s="2052"/>
      <c r="EM631" s="2050" t="str">
        <f t="shared" si="19"/>
        <v xml:space="preserve"> </v>
      </c>
      <c r="EN631" s="2051"/>
      <c r="EO631" s="2051"/>
      <c r="EP631" s="2051"/>
      <c r="EQ631" s="2052"/>
      <c r="ER631" s="2050" t="str">
        <f t="shared" si="20"/>
        <v xml:space="preserve"> </v>
      </c>
      <c r="ES631" s="2051"/>
      <c r="ET631" s="2051"/>
      <c r="EU631" s="2051"/>
      <c r="EV631" s="2052"/>
      <c r="EW631" s="2050" t="str">
        <f t="shared" si="21"/>
        <v xml:space="preserve"> </v>
      </c>
      <c r="EX631" s="2051"/>
      <c r="EY631" s="2051"/>
      <c r="EZ631" s="2051"/>
      <c r="FA631" s="2052"/>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0">
        <f t="shared" si="0"/>
        <v>0</v>
      </c>
      <c r="BF632" s="2052"/>
      <c r="BG632" s="2031">
        <f t="shared" si="1"/>
        <v>0</v>
      </c>
      <c r="BH632" s="2033"/>
      <c r="BI632" s="2050">
        <f t="shared" si="2"/>
        <v>0</v>
      </c>
      <c r="BJ632" s="2052"/>
      <c r="BK632" s="2031">
        <f t="shared" si="3"/>
        <v>0</v>
      </c>
      <c r="BL632" s="2033"/>
      <c r="BM632" s="58"/>
      <c r="BN632" s="2024">
        <f t="shared" si="4"/>
        <v>0</v>
      </c>
      <c r="BO632" s="2025"/>
      <c r="BP632" s="2025"/>
      <c r="BQ632" s="2025"/>
      <c r="BR632" s="2026"/>
      <c r="BS632" s="2030">
        <f t="shared" si="5"/>
        <v>0</v>
      </c>
      <c r="BT632" s="2030"/>
      <c r="BU632" s="2030"/>
      <c r="BV632" s="2030"/>
      <c r="BW632" s="2030"/>
      <c r="BX632" s="2030">
        <f t="shared" si="6"/>
        <v>0</v>
      </c>
      <c r="BY632" s="2030"/>
      <c r="BZ632" s="2030"/>
      <c r="CA632" s="2030"/>
      <c r="CB632" s="2030"/>
      <c r="CC632" s="2030">
        <f t="shared" si="7"/>
        <v>0</v>
      </c>
      <c r="CD632" s="2030"/>
      <c r="CE632" s="2030"/>
      <c r="CF632" s="2030"/>
      <c r="CG632" s="2030"/>
      <c r="CH632" s="2030">
        <f t="shared" si="8"/>
        <v>0</v>
      </c>
      <c r="CI632" s="2030"/>
      <c r="CJ632" s="2030"/>
      <c r="CK632" s="2030"/>
      <c r="CL632" s="2030"/>
      <c r="CM632" s="2030">
        <f t="shared" si="9"/>
        <v>0</v>
      </c>
      <c r="CN632" s="2030"/>
      <c r="CO632" s="2030"/>
      <c r="CP632" s="2030"/>
      <c r="CQ632" s="2030"/>
      <c r="CR632" s="265"/>
      <c r="CS632" s="2049">
        <f t="shared" si="10"/>
        <v>0</v>
      </c>
      <c r="CT632" s="2049"/>
      <c r="CU632" s="2049"/>
      <c r="CV632" s="2049"/>
      <c r="CW632" s="2049"/>
      <c r="CX632" s="2049">
        <f t="shared" si="11"/>
        <v>0</v>
      </c>
      <c r="CY632" s="2049"/>
      <c r="CZ632" s="2049"/>
      <c r="DA632" s="2049"/>
      <c r="DB632" s="2049"/>
      <c r="DC632" s="2049">
        <f t="shared" si="12"/>
        <v>0</v>
      </c>
      <c r="DD632" s="2049"/>
      <c r="DE632" s="2049"/>
      <c r="DF632" s="2049"/>
      <c r="DG632" s="2049"/>
      <c r="DH632" s="2049">
        <f t="shared" si="13"/>
        <v>0</v>
      </c>
      <c r="DI632" s="2049"/>
      <c r="DJ632" s="2049"/>
      <c r="DK632" s="2049"/>
      <c r="DL632" s="2049"/>
      <c r="DM632" s="2049">
        <f t="shared" si="14"/>
        <v>0</v>
      </c>
      <c r="DN632" s="2049"/>
      <c r="DO632" s="2049"/>
      <c r="DP632" s="2049"/>
      <c r="DQ632" s="2049"/>
      <c r="DR632" s="2049">
        <f t="shared" si="15"/>
        <v>0</v>
      </c>
      <c r="DS632" s="2049"/>
      <c r="DT632" s="2049"/>
      <c r="DU632" s="2049"/>
      <c r="DV632" s="2049"/>
      <c r="DX632" s="2050" t="str">
        <f t="shared" si="16"/>
        <v xml:space="preserve"> </v>
      </c>
      <c r="DY632" s="2051"/>
      <c r="DZ632" s="2051"/>
      <c r="EA632" s="2051"/>
      <c r="EB632" s="2052"/>
      <c r="EC632" s="2050" t="str">
        <f t="shared" si="17"/>
        <v xml:space="preserve"> </v>
      </c>
      <c r="ED632" s="2051"/>
      <c r="EE632" s="2051"/>
      <c r="EF632" s="2051"/>
      <c r="EG632" s="2052"/>
      <c r="EH632" s="2050" t="str">
        <f t="shared" si="18"/>
        <v xml:space="preserve"> </v>
      </c>
      <c r="EI632" s="2051"/>
      <c r="EJ632" s="2051"/>
      <c r="EK632" s="2051"/>
      <c r="EL632" s="2052"/>
      <c r="EM632" s="2050" t="str">
        <f t="shared" si="19"/>
        <v xml:space="preserve"> </v>
      </c>
      <c r="EN632" s="2051"/>
      <c r="EO632" s="2051"/>
      <c r="EP632" s="2051"/>
      <c r="EQ632" s="2052"/>
      <c r="ER632" s="2050" t="str">
        <f t="shared" si="20"/>
        <v xml:space="preserve"> </v>
      </c>
      <c r="ES632" s="2051"/>
      <c r="ET632" s="2051"/>
      <c r="EU632" s="2051"/>
      <c r="EV632" s="2052"/>
      <c r="EW632" s="2050" t="str">
        <f t="shared" si="21"/>
        <v xml:space="preserve"> </v>
      </c>
      <c r="EX632" s="2051"/>
      <c r="EY632" s="2051"/>
      <c r="EZ632" s="2051"/>
      <c r="FA632" s="2052"/>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0">
        <f t="shared" si="0"/>
        <v>0</v>
      </c>
      <c r="BF633" s="2052"/>
      <c r="BG633" s="2031">
        <f t="shared" si="1"/>
        <v>0</v>
      </c>
      <c r="BH633" s="2033"/>
      <c r="BI633" s="2050">
        <f t="shared" si="2"/>
        <v>0</v>
      </c>
      <c r="BJ633" s="2052"/>
      <c r="BK633" s="2031">
        <f t="shared" si="3"/>
        <v>0</v>
      </c>
      <c r="BL633" s="2033"/>
      <c r="BM633" s="58"/>
      <c r="BN633" s="2024">
        <f t="shared" si="4"/>
        <v>0</v>
      </c>
      <c r="BO633" s="2025"/>
      <c r="BP633" s="2025"/>
      <c r="BQ633" s="2025"/>
      <c r="BR633" s="2026"/>
      <c r="BS633" s="2030">
        <f t="shared" si="5"/>
        <v>0</v>
      </c>
      <c r="BT633" s="2030"/>
      <c r="BU633" s="2030"/>
      <c r="BV633" s="2030"/>
      <c r="BW633" s="2030"/>
      <c r="BX633" s="2030">
        <f t="shared" si="6"/>
        <v>0</v>
      </c>
      <c r="BY633" s="2030"/>
      <c r="BZ633" s="2030"/>
      <c r="CA633" s="2030"/>
      <c r="CB633" s="2030"/>
      <c r="CC633" s="2030">
        <f t="shared" si="7"/>
        <v>0</v>
      </c>
      <c r="CD633" s="2030"/>
      <c r="CE633" s="2030"/>
      <c r="CF633" s="2030"/>
      <c r="CG633" s="2030"/>
      <c r="CH633" s="2030">
        <f t="shared" si="8"/>
        <v>0</v>
      </c>
      <c r="CI633" s="2030"/>
      <c r="CJ633" s="2030"/>
      <c r="CK633" s="2030"/>
      <c r="CL633" s="2030"/>
      <c r="CM633" s="2030">
        <f t="shared" si="9"/>
        <v>0</v>
      </c>
      <c r="CN633" s="2030"/>
      <c r="CO633" s="2030"/>
      <c r="CP633" s="2030"/>
      <c r="CQ633" s="2030"/>
      <c r="CR633" s="265"/>
      <c r="CS633" s="2049">
        <f t="shared" si="10"/>
        <v>0</v>
      </c>
      <c r="CT633" s="2049"/>
      <c r="CU633" s="2049"/>
      <c r="CV633" s="2049"/>
      <c r="CW633" s="2049"/>
      <c r="CX633" s="2049">
        <f t="shared" si="11"/>
        <v>0</v>
      </c>
      <c r="CY633" s="2049"/>
      <c r="CZ633" s="2049"/>
      <c r="DA633" s="2049"/>
      <c r="DB633" s="2049"/>
      <c r="DC633" s="2049">
        <f t="shared" si="12"/>
        <v>0</v>
      </c>
      <c r="DD633" s="2049"/>
      <c r="DE633" s="2049"/>
      <c r="DF633" s="2049"/>
      <c r="DG633" s="2049"/>
      <c r="DH633" s="2049">
        <f t="shared" si="13"/>
        <v>0</v>
      </c>
      <c r="DI633" s="2049"/>
      <c r="DJ633" s="2049"/>
      <c r="DK633" s="2049"/>
      <c r="DL633" s="2049"/>
      <c r="DM633" s="2049">
        <f t="shared" si="14"/>
        <v>0</v>
      </c>
      <c r="DN633" s="2049"/>
      <c r="DO633" s="2049"/>
      <c r="DP633" s="2049"/>
      <c r="DQ633" s="2049"/>
      <c r="DR633" s="2049">
        <f t="shared" si="15"/>
        <v>0</v>
      </c>
      <c r="DS633" s="2049"/>
      <c r="DT633" s="2049"/>
      <c r="DU633" s="2049"/>
      <c r="DV633" s="2049"/>
      <c r="DX633" s="2050" t="str">
        <f t="shared" si="16"/>
        <v xml:space="preserve"> </v>
      </c>
      <c r="DY633" s="2051"/>
      <c r="DZ633" s="2051"/>
      <c r="EA633" s="2051"/>
      <c r="EB633" s="2052"/>
      <c r="EC633" s="2050" t="str">
        <f t="shared" si="17"/>
        <v xml:space="preserve"> </v>
      </c>
      <c r="ED633" s="2051"/>
      <c r="EE633" s="2051"/>
      <c r="EF633" s="2051"/>
      <c r="EG633" s="2052"/>
      <c r="EH633" s="2050" t="str">
        <f t="shared" si="18"/>
        <v xml:space="preserve"> </v>
      </c>
      <c r="EI633" s="2051"/>
      <c r="EJ633" s="2051"/>
      <c r="EK633" s="2051"/>
      <c r="EL633" s="2052"/>
      <c r="EM633" s="2050" t="str">
        <f t="shared" si="19"/>
        <v xml:space="preserve"> </v>
      </c>
      <c r="EN633" s="2051"/>
      <c r="EO633" s="2051"/>
      <c r="EP633" s="2051"/>
      <c r="EQ633" s="2052"/>
      <c r="ER633" s="2050" t="str">
        <f t="shared" si="20"/>
        <v xml:space="preserve"> </v>
      </c>
      <c r="ES633" s="2051"/>
      <c r="ET633" s="2051"/>
      <c r="EU633" s="2051"/>
      <c r="EV633" s="2052"/>
      <c r="EW633" s="2050" t="str">
        <f t="shared" si="21"/>
        <v xml:space="preserve"> </v>
      </c>
      <c r="EX633" s="2051"/>
      <c r="EY633" s="2051"/>
      <c r="EZ633" s="2051"/>
      <c r="FA633" s="2052"/>
    </row>
    <row r="634" spans="1:157" s="1821" customFormat="1" ht="12.75" customHeight="1">
      <c r="B634" s="2113" t="s">
        <v>484</v>
      </c>
      <c r="C634" s="2114"/>
      <c r="D634" s="2114"/>
      <c r="E634" s="2114"/>
      <c r="F634" s="2114"/>
      <c r="G634" s="2114"/>
      <c r="H634" s="2114"/>
      <c r="I634" s="2114"/>
      <c r="J634" s="2114"/>
      <c r="K634" s="2114"/>
      <c r="L634" s="2114"/>
      <c r="M634" s="2114"/>
      <c r="N634" s="2115"/>
      <c r="O634" s="2104" t="s">
        <v>2378</v>
      </c>
      <c r="P634" s="2105"/>
      <c r="Q634" s="2106"/>
      <c r="R634" s="2104" t="s">
        <v>2376</v>
      </c>
      <c r="S634" s="2105"/>
      <c r="T634" s="2106"/>
      <c r="U634" s="2065" t="s">
        <v>485</v>
      </c>
      <c r="V634" s="2065"/>
      <c r="W634" s="2066"/>
      <c r="X634" s="2104" t="s">
        <v>2152</v>
      </c>
      <c r="Y634" s="2105"/>
      <c r="Z634" s="2105"/>
      <c r="AA634" s="2105"/>
      <c r="AB634" s="2106"/>
      <c r="AC634" s="2334" t="s">
        <v>2150</v>
      </c>
      <c r="AD634" s="2335"/>
      <c r="AE634" s="2336"/>
      <c r="AF634" s="2104" t="s">
        <v>2153</v>
      </c>
      <c r="AG634" s="2105"/>
      <c r="AH634" s="2105"/>
      <c r="AI634" s="2105"/>
      <c r="AJ634" s="2106"/>
      <c r="AK634" s="2324" t="s">
        <v>2154</v>
      </c>
      <c r="AL634" s="2325"/>
      <c r="AM634" s="2325"/>
      <c r="AN634" s="2326"/>
      <c r="AO634" s="2438" t="s">
        <v>486</v>
      </c>
      <c r="AP634" s="2438"/>
      <c r="AQ634" s="2438"/>
      <c r="AR634" s="2438"/>
      <c r="AS634" s="2438"/>
      <c r="AT634" s="1822"/>
      <c r="AU634" s="1822"/>
      <c r="AV634" s="1822"/>
      <c r="AW634" s="1822"/>
      <c r="AX634" s="1822"/>
      <c r="AY634" s="1822"/>
      <c r="AZ634" s="181"/>
      <c r="BA634" s="181"/>
      <c r="BB634" s="181"/>
      <c r="BC634" s="181"/>
      <c r="BD634" s="181"/>
      <c r="BE634" s="2050">
        <f t="shared" si="0"/>
        <v>0</v>
      </c>
      <c r="BF634" s="2052"/>
      <c r="BG634" s="2031">
        <f t="shared" si="1"/>
        <v>0</v>
      </c>
      <c r="BH634" s="2033"/>
      <c r="BI634" s="2050">
        <f t="shared" si="2"/>
        <v>0</v>
      </c>
      <c r="BJ634" s="2052"/>
      <c r="BK634" s="2031">
        <f t="shared" si="3"/>
        <v>0</v>
      </c>
      <c r="BL634" s="2033"/>
      <c r="BM634" s="181"/>
      <c r="BN634" s="2024">
        <f t="shared" si="4"/>
        <v>0</v>
      </c>
      <c r="BO634" s="2025"/>
      <c r="BP634" s="2025"/>
      <c r="BQ634" s="2025"/>
      <c r="BR634" s="2026"/>
      <c r="BS634" s="2030">
        <f t="shared" si="5"/>
        <v>0</v>
      </c>
      <c r="BT634" s="2030"/>
      <c r="BU634" s="2030"/>
      <c r="BV634" s="2030"/>
      <c r="BW634" s="2030"/>
      <c r="BX634" s="2030">
        <f t="shared" si="6"/>
        <v>0</v>
      </c>
      <c r="BY634" s="2030"/>
      <c r="BZ634" s="2030"/>
      <c r="CA634" s="2030"/>
      <c r="CB634" s="2030"/>
      <c r="CC634" s="2030">
        <f t="shared" si="7"/>
        <v>0</v>
      </c>
      <c r="CD634" s="2030"/>
      <c r="CE634" s="2030"/>
      <c r="CF634" s="2030"/>
      <c r="CG634" s="2030"/>
      <c r="CH634" s="2030">
        <f t="shared" si="8"/>
        <v>0</v>
      </c>
      <c r="CI634" s="2030"/>
      <c r="CJ634" s="2030"/>
      <c r="CK634" s="2030"/>
      <c r="CL634" s="2030"/>
      <c r="CM634" s="2030">
        <f t="shared" si="9"/>
        <v>0</v>
      </c>
      <c r="CN634" s="2030"/>
      <c r="CO634" s="2030"/>
      <c r="CP634" s="2030"/>
      <c r="CQ634" s="2030"/>
      <c r="CR634" s="265"/>
      <c r="CS634" s="2049">
        <f t="shared" si="10"/>
        <v>0</v>
      </c>
      <c r="CT634" s="2049"/>
      <c r="CU634" s="2049"/>
      <c r="CV634" s="2049"/>
      <c r="CW634" s="2049"/>
      <c r="CX634" s="2049">
        <f t="shared" si="11"/>
        <v>0</v>
      </c>
      <c r="CY634" s="2049"/>
      <c r="CZ634" s="2049"/>
      <c r="DA634" s="2049"/>
      <c r="DB634" s="2049"/>
      <c r="DC634" s="2049">
        <f t="shared" si="12"/>
        <v>0</v>
      </c>
      <c r="DD634" s="2049"/>
      <c r="DE634" s="2049"/>
      <c r="DF634" s="2049"/>
      <c r="DG634" s="2049"/>
      <c r="DH634" s="2049">
        <f t="shared" si="13"/>
        <v>0</v>
      </c>
      <c r="DI634" s="2049"/>
      <c r="DJ634" s="2049"/>
      <c r="DK634" s="2049"/>
      <c r="DL634" s="2049"/>
      <c r="DM634" s="2049">
        <f t="shared" si="14"/>
        <v>0</v>
      </c>
      <c r="DN634" s="2049"/>
      <c r="DO634" s="2049"/>
      <c r="DP634" s="2049"/>
      <c r="DQ634" s="2049"/>
      <c r="DR634" s="2049">
        <f t="shared" si="15"/>
        <v>0</v>
      </c>
      <c r="DS634" s="2049"/>
      <c r="DT634" s="2049"/>
      <c r="DU634" s="2049"/>
      <c r="DV634" s="2049"/>
      <c r="DX634" s="2050" t="str">
        <f t="shared" si="16"/>
        <v xml:space="preserve"> </v>
      </c>
      <c r="DY634" s="2051"/>
      <c r="DZ634" s="2051"/>
      <c r="EA634" s="2051"/>
      <c r="EB634" s="2052"/>
      <c r="EC634" s="2050" t="str">
        <f t="shared" si="17"/>
        <v xml:space="preserve"> </v>
      </c>
      <c r="ED634" s="2051"/>
      <c r="EE634" s="2051"/>
      <c r="EF634" s="2051"/>
      <c r="EG634" s="2052"/>
      <c r="EH634" s="2050" t="str">
        <f t="shared" si="18"/>
        <v xml:space="preserve"> </v>
      </c>
      <c r="EI634" s="2051"/>
      <c r="EJ634" s="2051"/>
      <c r="EK634" s="2051"/>
      <c r="EL634" s="2052"/>
      <c r="EM634" s="2050" t="str">
        <f t="shared" si="19"/>
        <v xml:space="preserve"> </v>
      </c>
      <c r="EN634" s="2051"/>
      <c r="EO634" s="2051"/>
      <c r="EP634" s="2051"/>
      <c r="EQ634" s="2052"/>
      <c r="ER634" s="2050" t="str">
        <f t="shared" si="20"/>
        <v xml:space="preserve"> </v>
      </c>
      <c r="ES634" s="2051"/>
      <c r="ET634" s="2051"/>
      <c r="EU634" s="2051"/>
      <c r="EV634" s="2052"/>
      <c r="EW634" s="2050" t="str">
        <f t="shared" si="21"/>
        <v xml:space="preserve"> </v>
      </c>
      <c r="EX634" s="2051"/>
      <c r="EY634" s="2051"/>
      <c r="EZ634" s="2051"/>
      <c r="FA634" s="2052"/>
    </row>
    <row r="635" spans="1:157" s="1821" customFormat="1" ht="12.5">
      <c r="B635" s="2116"/>
      <c r="C635" s="2117"/>
      <c r="D635" s="2117"/>
      <c r="E635" s="2117"/>
      <c r="F635" s="2117"/>
      <c r="G635" s="2117"/>
      <c r="H635" s="2117"/>
      <c r="I635" s="2117"/>
      <c r="J635" s="2117"/>
      <c r="K635" s="2117"/>
      <c r="L635" s="2117"/>
      <c r="M635" s="2117"/>
      <c r="N635" s="2118"/>
      <c r="O635" s="2107"/>
      <c r="P635" s="2108"/>
      <c r="Q635" s="2109"/>
      <c r="R635" s="2107"/>
      <c r="S635" s="2108"/>
      <c r="T635" s="2109"/>
      <c r="U635" s="2067"/>
      <c r="V635" s="2067"/>
      <c r="W635" s="2068"/>
      <c r="X635" s="2107"/>
      <c r="Y635" s="2108"/>
      <c r="Z635" s="2108"/>
      <c r="AA635" s="2108"/>
      <c r="AB635" s="2109"/>
      <c r="AC635" s="2337"/>
      <c r="AD635" s="2338"/>
      <c r="AE635" s="2339"/>
      <c r="AF635" s="2107"/>
      <c r="AG635" s="2108"/>
      <c r="AH635" s="2108"/>
      <c r="AI635" s="2108"/>
      <c r="AJ635" s="2109"/>
      <c r="AK635" s="2327"/>
      <c r="AL635" s="2328"/>
      <c r="AM635" s="2328"/>
      <c r="AN635" s="2329"/>
      <c r="AO635" s="2438"/>
      <c r="AP635" s="2438"/>
      <c r="AQ635" s="2438"/>
      <c r="AR635" s="2438"/>
      <c r="AS635" s="2438"/>
      <c r="AT635" s="1822"/>
      <c r="AU635" s="1822"/>
      <c r="AV635" s="1822"/>
      <c r="AW635" s="1822"/>
      <c r="AX635" s="1822"/>
      <c r="AY635" s="1822"/>
      <c r="AZ635" s="181"/>
      <c r="BA635" s="181"/>
      <c r="BB635" s="181"/>
      <c r="BC635" s="181"/>
      <c r="BD635" s="181"/>
      <c r="BE635" s="181"/>
      <c r="BF635" s="181"/>
      <c r="BG635" s="2050">
        <f>SUM(BG610:BH634)</f>
        <v>7</v>
      </c>
      <c r="BH635" s="2052"/>
      <c r="BI635" s="181"/>
      <c r="BJ635" s="181"/>
      <c r="BK635" s="2050">
        <f>SUM(BK610:BL634)</f>
        <v>9</v>
      </c>
      <c r="BL635" s="2052"/>
      <c r="BM635" s="181"/>
      <c r="BN635" s="2050">
        <f>SUM(BN610:BR634)</f>
        <v>0</v>
      </c>
      <c r="BO635" s="2051"/>
      <c r="BP635" s="2051"/>
      <c r="BQ635" s="2051"/>
      <c r="BR635" s="2052"/>
      <c r="BS635" s="2053">
        <f>SUM(BS610:BW634)</f>
        <v>52</v>
      </c>
      <c r="BT635" s="2053"/>
      <c r="BU635" s="2053"/>
      <c r="BV635" s="2053"/>
      <c r="BW635" s="2053"/>
      <c r="BX635" s="2053">
        <f>SUM(BX610:CB634)</f>
        <v>12</v>
      </c>
      <c r="BY635" s="2053"/>
      <c r="BZ635" s="2053"/>
      <c r="CA635" s="2053"/>
      <c r="CB635" s="2053"/>
      <c r="CC635" s="2053">
        <f>SUM(CC610:CG634)</f>
        <v>0</v>
      </c>
      <c r="CD635" s="2053"/>
      <c r="CE635" s="2053"/>
      <c r="CF635" s="2053"/>
      <c r="CG635" s="2053"/>
      <c r="CH635" s="2053">
        <f>SUM(CH610:CL634)</f>
        <v>0</v>
      </c>
      <c r="CI635" s="2053"/>
      <c r="CJ635" s="2053"/>
      <c r="CK635" s="2053"/>
      <c r="CL635" s="2053"/>
      <c r="CM635" s="2053">
        <f>SUM(CM610:CQ634)</f>
        <v>0</v>
      </c>
      <c r="CN635" s="2053"/>
      <c r="CO635" s="2053"/>
      <c r="CP635" s="2053"/>
      <c r="CQ635" s="2053"/>
      <c r="CR635" s="697"/>
      <c r="CS635" s="2053">
        <f>SUM(CS610:CW634)</f>
        <v>0</v>
      </c>
      <c r="CT635" s="2053"/>
      <c r="CU635" s="2053"/>
      <c r="CV635" s="2053"/>
      <c r="CW635" s="2053"/>
      <c r="CX635" s="2053">
        <f>SUM(CX610:DB634)</f>
        <v>7</v>
      </c>
      <c r="CY635" s="2053"/>
      <c r="CZ635" s="2053"/>
      <c r="DA635" s="2053"/>
      <c r="DB635" s="2053"/>
      <c r="DC635" s="2053">
        <f>SUM(DC610:DG634)</f>
        <v>2</v>
      </c>
      <c r="DD635" s="2053"/>
      <c r="DE635" s="2053"/>
      <c r="DF635" s="2053"/>
      <c r="DG635" s="2053"/>
      <c r="DH635" s="2053">
        <f>SUM(DH610:DL634)</f>
        <v>0</v>
      </c>
      <c r="DI635" s="2053"/>
      <c r="DJ635" s="2053"/>
      <c r="DK635" s="2053"/>
      <c r="DL635" s="2053"/>
      <c r="DM635" s="2053">
        <f>SUM(DM610:DQ634)</f>
        <v>0</v>
      </c>
      <c r="DN635" s="2053"/>
      <c r="DO635" s="2053"/>
      <c r="DP635" s="2053"/>
      <c r="DQ635" s="2053"/>
      <c r="DR635" s="2053">
        <f>SUM(DR610:DV634)</f>
        <v>0</v>
      </c>
      <c r="DS635" s="2053"/>
      <c r="DT635" s="2053"/>
      <c r="DU635" s="2053"/>
      <c r="DV635" s="2053"/>
      <c r="DX635" s="2053">
        <f>SUM(DX610:EB634)</f>
        <v>0</v>
      </c>
      <c r="DY635" s="2053"/>
      <c r="DZ635" s="2053"/>
      <c r="EA635" s="2053"/>
      <c r="EB635" s="2053"/>
      <c r="EC635" s="2053">
        <f>SUM(EC610:EG634)</f>
        <v>2838</v>
      </c>
      <c r="ED635" s="2053"/>
      <c r="EE635" s="2053"/>
      <c r="EF635" s="2053"/>
      <c r="EG635" s="2053"/>
      <c r="EH635" s="2053">
        <f>SUM(EH610:EL634)</f>
        <v>3928</v>
      </c>
      <c r="EI635" s="2053"/>
      <c r="EJ635" s="2053"/>
      <c r="EK635" s="2053"/>
      <c r="EL635" s="2053"/>
      <c r="EM635" s="2053">
        <f>SUM(EM610:EQ634)</f>
        <v>0</v>
      </c>
      <c r="EN635" s="2053"/>
      <c r="EO635" s="2053"/>
      <c r="EP635" s="2053"/>
      <c r="EQ635" s="2053"/>
      <c r="ER635" s="2053">
        <f>SUM(ER610:EV634)</f>
        <v>0</v>
      </c>
      <c r="ES635" s="2053"/>
      <c r="ET635" s="2053"/>
      <c r="EU635" s="2053"/>
      <c r="EV635" s="2053"/>
      <c r="EW635" s="2053">
        <f>SUM(EW610:FA634)</f>
        <v>0</v>
      </c>
      <c r="EX635" s="2053"/>
      <c r="EY635" s="2053"/>
      <c r="EZ635" s="2053"/>
      <c r="FA635" s="2053"/>
    </row>
    <row r="636" spans="1:157" s="1821" customFormat="1" ht="13">
      <c r="B636" s="2119"/>
      <c r="C636" s="2117"/>
      <c r="D636" s="2117"/>
      <c r="E636" s="2117"/>
      <c r="F636" s="2117"/>
      <c r="G636" s="2117"/>
      <c r="H636" s="2117"/>
      <c r="I636" s="2117"/>
      <c r="J636" s="2117"/>
      <c r="K636" s="2117"/>
      <c r="L636" s="2117"/>
      <c r="M636" s="2117"/>
      <c r="N636" s="2118"/>
      <c r="O636" s="2110"/>
      <c r="P636" s="2111"/>
      <c r="Q636" s="2112"/>
      <c r="R636" s="2110"/>
      <c r="S636" s="2111"/>
      <c r="T636" s="2112"/>
      <c r="U636" s="2069"/>
      <c r="V636" s="2069"/>
      <c r="W636" s="2070"/>
      <c r="X636" s="2110"/>
      <c r="Y636" s="2111"/>
      <c r="Z636" s="2111"/>
      <c r="AA636" s="2111"/>
      <c r="AB636" s="2112"/>
      <c r="AC636" s="2340"/>
      <c r="AD636" s="2341"/>
      <c r="AE636" s="2342"/>
      <c r="AF636" s="2110"/>
      <c r="AG636" s="2111"/>
      <c r="AH636" s="2111"/>
      <c r="AI636" s="2111"/>
      <c r="AJ636" s="2112"/>
      <c r="AK636" s="2330"/>
      <c r="AL636" s="2331"/>
      <c r="AM636" s="2331"/>
      <c r="AN636" s="2332"/>
      <c r="AO636" s="2438"/>
      <c r="AP636" s="2438"/>
      <c r="AQ636" s="2438"/>
      <c r="AR636" s="2438"/>
      <c r="AS636" s="243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50">
        <f>BN635+BS635+BX635+CC635+CH635+CM635</f>
        <v>64</v>
      </c>
      <c r="CN636" s="2051"/>
      <c r="CO636" s="2051"/>
      <c r="CP636" s="2051"/>
      <c r="CQ636" s="2052"/>
      <c r="CR636" s="697"/>
      <c r="CS636" s="181"/>
      <c r="CT636" s="181"/>
      <c r="CU636" s="181"/>
      <c r="CV636" s="181"/>
      <c r="CW636" s="181"/>
      <c r="CX636" s="181"/>
      <c r="CY636" s="181"/>
      <c r="CZ636" s="181"/>
      <c r="DA636" s="181"/>
      <c r="DB636" s="181"/>
      <c r="DC636" s="181"/>
      <c r="DD636" s="181"/>
      <c r="DE636" s="181"/>
      <c r="DF636" s="181"/>
    </row>
    <row r="637" spans="1:157" ht="13">
      <c r="B637" s="83" t="s">
        <v>117</v>
      </c>
      <c r="C637" s="2102" t="s">
        <v>2590</v>
      </c>
      <c r="D637" s="2047"/>
      <c r="E637" s="2047"/>
      <c r="F637" s="2047"/>
      <c r="G637" s="2047"/>
      <c r="H637" s="2047"/>
      <c r="I637" s="2047"/>
      <c r="J637" s="2047"/>
      <c r="K637" s="2047"/>
      <c r="L637" s="2047"/>
      <c r="M637" s="2047"/>
      <c r="N637" s="2120"/>
      <c r="O637" s="2079">
        <v>204</v>
      </c>
      <c r="P637" s="2080"/>
      <c r="Q637" s="2081"/>
      <c r="R637" s="2062">
        <v>480</v>
      </c>
      <c r="S637" s="2063"/>
      <c r="T637" s="2064"/>
      <c r="U637" s="2072">
        <v>4.1700000000000001E-2</v>
      </c>
      <c r="V637" s="2073"/>
      <c r="W637" s="2074"/>
      <c r="X637" s="2059" t="s">
        <v>2151</v>
      </c>
      <c r="Y637" s="2060"/>
      <c r="Z637" s="2060"/>
      <c r="AA637" s="2060"/>
      <c r="AB637" s="2061"/>
      <c r="AC637" s="2055">
        <v>1</v>
      </c>
      <c r="AD637" s="2056"/>
      <c r="AE637" s="2057"/>
      <c r="AF637" s="2075">
        <v>481933</v>
      </c>
      <c r="AG637" s="2076"/>
      <c r="AH637" s="2076"/>
      <c r="AI637" s="2076"/>
      <c r="AJ637" s="2077"/>
      <c r="AK637" s="2082"/>
      <c r="AL637" s="2083"/>
      <c r="AM637" s="2083"/>
      <c r="AN637" s="2084"/>
      <c r="AO637" s="2058">
        <v>9370870</v>
      </c>
      <c r="AP637" s="2058"/>
      <c r="AQ637" s="2058"/>
      <c r="AR637" s="2058"/>
      <c r="AS637" s="2058"/>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52</v>
      </c>
      <c r="BX637" s="58"/>
      <c r="BY637" s="58"/>
      <c r="BZ637" s="58"/>
      <c r="CA637" s="58"/>
      <c r="CB637" s="1470">
        <f>BX635*2</f>
        <v>24</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76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02" t="s">
        <v>2611</v>
      </c>
      <c r="D638" s="2047"/>
      <c r="E638" s="2047"/>
      <c r="F638" s="2047"/>
      <c r="G638" s="2047"/>
      <c r="H638" s="2047"/>
      <c r="I638" s="2047"/>
      <c r="J638" s="2047"/>
      <c r="K638" s="2047"/>
      <c r="L638" s="2047"/>
      <c r="M638" s="2047"/>
      <c r="N638" s="2120"/>
      <c r="O638" s="2079">
        <v>660</v>
      </c>
      <c r="P638" s="2080"/>
      <c r="Q638" s="2081"/>
      <c r="R638" s="2062">
        <v>660</v>
      </c>
      <c r="S638" s="2063"/>
      <c r="T638" s="2064"/>
      <c r="U638" s="2072">
        <v>0.03</v>
      </c>
      <c r="V638" s="2073"/>
      <c r="W638" s="2074"/>
      <c r="X638" s="2059" t="s">
        <v>490</v>
      </c>
      <c r="Y638" s="2060"/>
      <c r="Z638" s="2060"/>
      <c r="AA638" s="2060"/>
      <c r="AB638" s="2061"/>
      <c r="AC638" s="2055">
        <v>2</v>
      </c>
      <c r="AD638" s="2056"/>
      <c r="AE638" s="2057"/>
      <c r="AF638" s="2075"/>
      <c r="AG638" s="2076"/>
      <c r="AH638" s="2076"/>
      <c r="AI638" s="2076"/>
      <c r="AJ638" s="2077"/>
      <c r="AK638" s="2082"/>
      <c r="AL638" s="2083"/>
      <c r="AM638" s="2083"/>
      <c r="AN638" s="2084"/>
      <c r="AO638" s="2058">
        <v>1192320</v>
      </c>
      <c r="AP638" s="2058"/>
      <c r="AQ638" s="2058"/>
      <c r="AR638" s="2058"/>
      <c r="AS638" s="205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4" t="e">
        <f t="shared" ref="DX638:DX662" si="22">DX610*(BN610/$BN$635)</f>
        <v>#VALUE!</v>
      </c>
      <c r="DY638" s="2034"/>
      <c r="DZ638" s="2034"/>
      <c r="EA638" s="2034"/>
      <c r="EB638" s="2034"/>
      <c r="EC638" s="2034">
        <f t="shared" ref="EC638:EC662" si="23">EC610*(BS610/$BS$635)</f>
        <v>28.538461538461537</v>
      </c>
      <c r="ED638" s="2034"/>
      <c r="EE638" s="2034"/>
      <c r="EF638" s="2034"/>
      <c r="EG638" s="2034"/>
      <c r="EH638" s="2034" t="e">
        <f t="shared" ref="EH638:EH662" si="24">EH610*(BX610/$BX$635)</f>
        <v>#VALUE!</v>
      </c>
      <c r="EI638" s="2034"/>
      <c r="EJ638" s="2034"/>
      <c r="EK638" s="2034"/>
      <c r="EL638" s="2034"/>
      <c r="EM638" s="2034" t="e">
        <f t="shared" ref="EM638:EM662" si="25">EM610*(CC610/$CC$635)</f>
        <v>#VALUE!</v>
      </c>
      <c r="EN638" s="2034"/>
      <c r="EO638" s="2034"/>
      <c r="EP638" s="2034"/>
      <c r="EQ638" s="2034"/>
      <c r="ER638" s="2034" t="e">
        <f t="shared" ref="ER638:ER662" si="26">ER610*(CH610/$CH$635)</f>
        <v>#VALUE!</v>
      </c>
      <c r="ES638" s="2034"/>
      <c r="ET638" s="2034"/>
      <c r="EU638" s="2034"/>
      <c r="EV638" s="2034"/>
      <c r="EW638" s="2034" t="e">
        <f t="shared" ref="EW638:EW662" si="27">EW610*(CM610/$CM$635)</f>
        <v>#VALUE!</v>
      </c>
      <c r="EX638" s="2034"/>
      <c r="EY638" s="2034"/>
      <c r="EZ638" s="2034"/>
      <c r="FA638" s="2034"/>
    </row>
    <row r="639" spans="1:157" ht="12.75" customHeight="1">
      <c r="B639" s="84" t="s">
        <v>124</v>
      </c>
      <c r="C639" s="2102" t="s">
        <v>2126</v>
      </c>
      <c r="D639" s="2047"/>
      <c r="E639" s="2047"/>
      <c r="F639" s="2047"/>
      <c r="G639" s="2047"/>
      <c r="H639" s="2047"/>
      <c r="I639" s="2047"/>
      <c r="J639" s="2047"/>
      <c r="K639" s="2047"/>
      <c r="L639" s="2047"/>
      <c r="M639" s="2047"/>
      <c r="N639" s="2120"/>
      <c r="O639" s="2079"/>
      <c r="P639" s="2080"/>
      <c r="Q639" s="2081"/>
      <c r="R639" s="2062"/>
      <c r="S639" s="2063"/>
      <c r="T639" s="2064"/>
      <c r="U639" s="2072"/>
      <c r="V639" s="2073"/>
      <c r="W639" s="2074"/>
      <c r="X639" s="2059" t="s">
        <v>491</v>
      </c>
      <c r="Y639" s="2060"/>
      <c r="Z639" s="2060"/>
      <c r="AA639" s="2060"/>
      <c r="AB639" s="2061"/>
      <c r="AC639" s="2055"/>
      <c r="AD639" s="2056"/>
      <c r="AE639" s="2057"/>
      <c r="AF639" s="2075"/>
      <c r="AG639" s="2076"/>
      <c r="AH639" s="2076"/>
      <c r="AI639" s="2076"/>
      <c r="AJ639" s="2077"/>
      <c r="AK639" s="2082"/>
      <c r="AL639" s="2083"/>
      <c r="AM639" s="2083"/>
      <c r="AN639" s="2084"/>
      <c r="AO639" s="2058">
        <v>2128000</v>
      </c>
      <c r="AP639" s="2058"/>
      <c r="AQ639" s="2058"/>
      <c r="AR639" s="2058"/>
      <c r="AS639" s="205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4" t="e">
        <f t="shared" si="22"/>
        <v>#VALUE!</v>
      </c>
      <c r="DY639" s="2034"/>
      <c r="DZ639" s="2034"/>
      <c r="EA639" s="2034"/>
      <c r="EB639" s="2034"/>
      <c r="EC639" s="2034" t="e">
        <f t="shared" si="23"/>
        <v>#VALUE!</v>
      </c>
      <c r="ED639" s="2034"/>
      <c r="EE639" s="2034"/>
      <c r="EF639" s="2034"/>
      <c r="EG639" s="2034"/>
      <c r="EH639" s="2034">
        <f t="shared" si="24"/>
        <v>134.16666666666666</v>
      </c>
      <c r="EI639" s="2034"/>
      <c r="EJ639" s="2034"/>
      <c r="EK639" s="2034"/>
      <c r="EL639" s="2034"/>
      <c r="EM639" s="2034" t="e">
        <f t="shared" si="25"/>
        <v>#VALUE!</v>
      </c>
      <c r="EN639" s="2034"/>
      <c r="EO639" s="2034"/>
      <c r="EP639" s="2034"/>
      <c r="EQ639" s="2034"/>
      <c r="ER639" s="2034" t="e">
        <f t="shared" si="26"/>
        <v>#VALUE!</v>
      </c>
      <c r="ES639" s="2034"/>
      <c r="ET639" s="2034"/>
      <c r="EU639" s="2034"/>
      <c r="EV639" s="2034"/>
      <c r="EW639" s="2034" t="e">
        <f t="shared" si="27"/>
        <v>#VALUE!</v>
      </c>
      <c r="EX639" s="2034"/>
      <c r="EY639" s="2034"/>
      <c r="EZ639" s="2034"/>
      <c r="FA639" s="2034"/>
    </row>
    <row r="640" spans="1:157" ht="12.5">
      <c r="B640" s="84" t="s">
        <v>616</v>
      </c>
      <c r="C640" s="2102" t="s">
        <v>2616</v>
      </c>
      <c r="D640" s="2047"/>
      <c r="E640" s="2047"/>
      <c r="F640" s="2047"/>
      <c r="G640" s="2047"/>
      <c r="H640" s="2047"/>
      <c r="I640" s="2047"/>
      <c r="J640" s="2047"/>
      <c r="K640" s="2047"/>
      <c r="L640" s="2047"/>
      <c r="M640" s="2047"/>
      <c r="N640" s="2120"/>
      <c r="O640" s="2079"/>
      <c r="P640" s="2080"/>
      <c r="Q640" s="2081"/>
      <c r="R640" s="2062"/>
      <c r="S640" s="2063"/>
      <c r="T640" s="2064"/>
      <c r="U640" s="2072"/>
      <c r="V640" s="2073"/>
      <c r="W640" s="2074"/>
      <c r="X640" s="2059" t="s">
        <v>308</v>
      </c>
      <c r="Y640" s="2060"/>
      <c r="Z640" s="2060"/>
      <c r="AA640" s="2060"/>
      <c r="AB640" s="2061"/>
      <c r="AC640" s="2055"/>
      <c r="AD640" s="2056"/>
      <c r="AE640" s="2057"/>
      <c r="AF640" s="2075"/>
      <c r="AG640" s="2076"/>
      <c r="AH640" s="2076"/>
      <c r="AI640" s="2076"/>
      <c r="AJ640" s="2077"/>
      <c r="AK640" s="2082"/>
      <c r="AL640" s="2083"/>
      <c r="AM640" s="2083"/>
      <c r="AN640" s="2084"/>
      <c r="AO640" s="2058">
        <v>2760000</v>
      </c>
      <c r="AP640" s="2058"/>
      <c r="AQ640" s="2058"/>
      <c r="AR640" s="2058"/>
      <c r="AS640" s="2058"/>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24">
        <f>IF(J772="SRO/Studio",O772,0)</f>
        <v>0</v>
      </c>
      <c r="BO640" s="2025"/>
      <c r="BP640" s="2025"/>
      <c r="BQ640" s="2025"/>
      <c r="BR640" s="2026"/>
      <c r="BS640" s="2030">
        <f>IF(J772="1 Bedroom",O772,0)</f>
        <v>0</v>
      </c>
      <c r="BT640" s="2030"/>
      <c r="BU640" s="2030"/>
      <c r="BV640" s="2030"/>
      <c r="BW640" s="2030"/>
      <c r="BX640" s="2030">
        <f>IF(J772="2 Bedrooms",O772,0)</f>
        <v>1</v>
      </c>
      <c r="BY640" s="2030"/>
      <c r="BZ640" s="2030"/>
      <c r="CA640" s="2030"/>
      <c r="CB640" s="2030"/>
      <c r="CC640" s="2030">
        <f>IF(J772="3 Bedrooms",O772,0)</f>
        <v>0</v>
      </c>
      <c r="CD640" s="2030"/>
      <c r="CE640" s="2030"/>
      <c r="CF640" s="2030"/>
      <c r="CG640" s="2030"/>
      <c r="CH640" s="2030">
        <f>IF(J772="4 Bedrooms",O772,0)</f>
        <v>0</v>
      </c>
      <c r="CI640" s="2030"/>
      <c r="CJ640" s="2030"/>
      <c r="CK640" s="2030"/>
      <c r="CL640" s="2030"/>
      <c r="CM640" s="2030">
        <f>IF(J772="5 Bedrooms",O772,0)</f>
        <v>0</v>
      </c>
      <c r="CN640" s="2030"/>
      <c r="CO640" s="2030"/>
      <c r="CP640" s="2030"/>
      <c r="CQ640" s="2030"/>
      <c r="CR640" s="265"/>
      <c r="CS640" s="58"/>
      <c r="CT640" s="58"/>
      <c r="CU640" s="58"/>
      <c r="CV640" s="58"/>
      <c r="CW640" s="58"/>
      <c r="CX640" s="58"/>
      <c r="CY640" s="58"/>
      <c r="CZ640" s="58"/>
      <c r="DA640" s="58"/>
      <c r="DB640" s="58"/>
      <c r="DC640" s="58"/>
      <c r="DD640" s="58"/>
      <c r="DE640" s="58"/>
      <c r="DF640" s="58"/>
      <c r="DX640" s="2034" t="e">
        <f t="shared" si="22"/>
        <v>#VALUE!</v>
      </c>
      <c r="DY640" s="2034"/>
      <c r="DZ640" s="2034"/>
      <c r="EA640" s="2034"/>
      <c r="EB640" s="2034"/>
      <c r="EC640" s="2034">
        <f t="shared" si="23"/>
        <v>114.13461538461539</v>
      </c>
      <c r="ED640" s="2034"/>
      <c r="EE640" s="2034"/>
      <c r="EF640" s="2034"/>
      <c r="EG640" s="2034"/>
      <c r="EH640" s="2034" t="e">
        <f t="shared" si="24"/>
        <v>#VALUE!</v>
      </c>
      <c r="EI640" s="2034"/>
      <c r="EJ640" s="2034"/>
      <c r="EK640" s="2034"/>
      <c r="EL640" s="2034"/>
      <c r="EM640" s="2034" t="e">
        <f t="shared" si="25"/>
        <v>#VALUE!</v>
      </c>
      <c r="EN640" s="2034"/>
      <c r="EO640" s="2034"/>
      <c r="EP640" s="2034"/>
      <c r="EQ640" s="2034"/>
      <c r="ER640" s="2034" t="e">
        <f t="shared" si="26"/>
        <v>#VALUE!</v>
      </c>
      <c r="ES640" s="2034"/>
      <c r="ET640" s="2034"/>
      <c r="EU640" s="2034"/>
      <c r="EV640" s="2034"/>
      <c r="EW640" s="2034" t="e">
        <f t="shared" si="27"/>
        <v>#VALUE!</v>
      </c>
      <c r="EX640" s="2034"/>
      <c r="EY640" s="2034"/>
      <c r="EZ640" s="2034"/>
      <c r="FA640" s="2034"/>
    </row>
    <row r="641" spans="1:157" ht="12.5">
      <c r="B641" s="84" t="s">
        <v>821</v>
      </c>
      <c r="C641" s="2102" t="s">
        <v>2582</v>
      </c>
      <c r="D641" s="2047"/>
      <c r="E641" s="2047"/>
      <c r="F641" s="2047"/>
      <c r="G641" s="2047"/>
      <c r="H641" s="2047"/>
      <c r="I641" s="2047"/>
      <c r="J641" s="2047"/>
      <c r="K641" s="2047"/>
      <c r="L641" s="2047"/>
      <c r="M641" s="2047"/>
      <c r="N641" s="2120"/>
      <c r="O641" s="2079"/>
      <c r="P641" s="2080"/>
      <c r="Q641" s="2081"/>
      <c r="R641" s="2062"/>
      <c r="S641" s="2063"/>
      <c r="T641" s="2064"/>
      <c r="U641" s="2072"/>
      <c r="V641" s="2073"/>
      <c r="W641" s="2074"/>
      <c r="X641" s="2059" t="s">
        <v>1383</v>
      </c>
      <c r="Y641" s="2060"/>
      <c r="Z641" s="2060"/>
      <c r="AA641" s="2060"/>
      <c r="AB641" s="2061"/>
      <c r="AC641" s="2055"/>
      <c r="AD641" s="2056"/>
      <c r="AE641" s="2057"/>
      <c r="AF641" s="2075"/>
      <c r="AG641" s="2076"/>
      <c r="AH641" s="2076"/>
      <c r="AI641" s="2076"/>
      <c r="AJ641" s="2077"/>
      <c r="AK641" s="2082"/>
      <c r="AL641" s="2083"/>
      <c r="AM641" s="2083"/>
      <c r="AN641" s="2084"/>
      <c r="AO641" s="2058">
        <v>100</v>
      </c>
      <c r="AP641" s="2058"/>
      <c r="AQ641" s="2058"/>
      <c r="AR641" s="2058"/>
      <c r="AS641" s="205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4">
        <f>IF(J773="SRO/Studio",O773,0)</f>
        <v>0</v>
      </c>
      <c r="BO641" s="2025"/>
      <c r="BP641" s="2025"/>
      <c r="BQ641" s="2025"/>
      <c r="BR641" s="2026"/>
      <c r="BS641" s="2030">
        <f>IF(J773="1 Bedroom",O773,0)</f>
        <v>0</v>
      </c>
      <c r="BT641" s="2030"/>
      <c r="BU641" s="2030"/>
      <c r="BV641" s="2030"/>
      <c r="BW641" s="2030"/>
      <c r="BX641" s="2030">
        <f>IF(J773="2 Bedrooms",O773,0)</f>
        <v>0</v>
      </c>
      <c r="BY641" s="2030"/>
      <c r="BZ641" s="2030"/>
      <c r="CA641" s="2030"/>
      <c r="CB641" s="2030"/>
      <c r="CC641" s="2030">
        <f>IF(J773="3 Bedrooms",O773,0)</f>
        <v>0</v>
      </c>
      <c r="CD641" s="2030"/>
      <c r="CE641" s="2030"/>
      <c r="CF641" s="2030"/>
      <c r="CG641" s="2030"/>
      <c r="CH641" s="2030">
        <f>IF(J773="4 Bedrooms",O773,0)</f>
        <v>0</v>
      </c>
      <c r="CI641" s="2030"/>
      <c r="CJ641" s="2030"/>
      <c r="CK641" s="2030"/>
      <c r="CL641" s="2030"/>
      <c r="CM641" s="2030">
        <f>IF(J773="5 Bedrooms",O773,0)</f>
        <v>0</v>
      </c>
      <c r="CN641" s="2030"/>
      <c r="CO641" s="2030"/>
      <c r="CP641" s="2030"/>
      <c r="CQ641" s="2030"/>
      <c r="CR641" s="265"/>
      <c r="CS641" s="58"/>
      <c r="CT641" s="58"/>
      <c r="CU641" s="58"/>
      <c r="CV641" s="58"/>
      <c r="CW641" s="58"/>
      <c r="CX641" s="58"/>
      <c r="CY641" s="58"/>
      <c r="CZ641" s="58"/>
      <c r="DA641" s="58"/>
      <c r="DB641" s="58"/>
      <c r="DC641" s="58"/>
      <c r="DD641" s="58"/>
      <c r="DE641" s="58"/>
      <c r="DF641" s="58"/>
      <c r="DX641" s="2034" t="e">
        <f t="shared" si="22"/>
        <v>#VALUE!</v>
      </c>
      <c r="DY641" s="2034"/>
      <c r="DZ641" s="2034"/>
      <c r="EA641" s="2034"/>
      <c r="EB641" s="2034"/>
      <c r="EC641" s="2034" t="e">
        <f t="shared" si="23"/>
        <v>#VALUE!</v>
      </c>
      <c r="ED641" s="2034"/>
      <c r="EE641" s="2034"/>
      <c r="EF641" s="2034"/>
      <c r="EG641" s="2034"/>
      <c r="EH641" s="2034">
        <f t="shared" si="24"/>
        <v>235</v>
      </c>
      <c r="EI641" s="2034"/>
      <c r="EJ641" s="2034"/>
      <c r="EK641" s="2034"/>
      <c r="EL641" s="2034"/>
      <c r="EM641" s="2034" t="e">
        <f t="shared" si="25"/>
        <v>#VALUE!</v>
      </c>
      <c r="EN641" s="2034"/>
      <c r="EO641" s="2034"/>
      <c r="EP641" s="2034"/>
      <c r="EQ641" s="2034"/>
      <c r="ER641" s="2034" t="e">
        <f t="shared" si="26"/>
        <v>#VALUE!</v>
      </c>
      <c r="ES641" s="2034"/>
      <c r="ET641" s="2034"/>
      <c r="EU641" s="2034"/>
      <c r="EV641" s="2034"/>
      <c r="EW641" s="2034" t="e">
        <f t="shared" si="27"/>
        <v>#VALUE!</v>
      </c>
      <c r="EX641" s="2034"/>
      <c r="EY641" s="2034"/>
      <c r="EZ641" s="2034"/>
      <c r="FA641" s="2034"/>
    </row>
    <row r="642" spans="1:157" ht="12.5">
      <c r="B642" s="84" t="s">
        <v>619</v>
      </c>
      <c r="C642" s="2047"/>
      <c r="D642" s="2047"/>
      <c r="E642" s="2047"/>
      <c r="F642" s="2047"/>
      <c r="G642" s="2047"/>
      <c r="H642" s="2047"/>
      <c r="I642" s="2047"/>
      <c r="J642" s="2047"/>
      <c r="K642" s="2047"/>
      <c r="L642" s="2047"/>
      <c r="M642" s="2047"/>
      <c r="N642" s="2120"/>
      <c r="O642" s="2079"/>
      <c r="P642" s="2080"/>
      <c r="Q642" s="2081"/>
      <c r="R642" s="2062"/>
      <c r="S642" s="2063"/>
      <c r="T642" s="2064"/>
      <c r="U642" s="2072"/>
      <c r="V642" s="2073"/>
      <c r="W642" s="2074"/>
      <c r="X642" s="2059" t="s">
        <v>1383</v>
      </c>
      <c r="Y642" s="2060"/>
      <c r="Z642" s="2060"/>
      <c r="AA642" s="2060"/>
      <c r="AB642" s="2061"/>
      <c r="AC642" s="2055"/>
      <c r="AD642" s="2056"/>
      <c r="AE642" s="2057"/>
      <c r="AF642" s="2075"/>
      <c r="AG642" s="2076"/>
      <c r="AH642" s="2076"/>
      <c r="AI642" s="2076"/>
      <c r="AJ642" s="2077"/>
      <c r="AK642" s="2082"/>
      <c r="AL642" s="2083"/>
      <c r="AM642" s="2083"/>
      <c r="AN642" s="2084"/>
      <c r="AO642" s="2058"/>
      <c r="AP642" s="2058"/>
      <c r="AQ642" s="2058"/>
      <c r="AR642" s="2058"/>
      <c r="AS642" s="205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4">
        <f>IF(J774="SRO/Studio",O774,0)</f>
        <v>0</v>
      </c>
      <c r="BO642" s="2025"/>
      <c r="BP642" s="2025"/>
      <c r="BQ642" s="2025"/>
      <c r="BR642" s="2026"/>
      <c r="BS642" s="2030">
        <f>IF(J774="1 Bedroom",O774,0)</f>
        <v>0</v>
      </c>
      <c r="BT642" s="2030"/>
      <c r="BU642" s="2030"/>
      <c r="BV642" s="2030"/>
      <c r="BW642" s="2030"/>
      <c r="BX642" s="2030">
        <f>IF(J774="2 Bedrooms",O774,0)</f>
        <v>0</v>
      </c>
      <c r="BY642" s="2030"/>
      <c r="BZ642" s="2030"/>
      <c r="CA642" s="2030"/>
      <c r="CB642" s="2030"/>
      <c r="CC642" s="2030">
        <f>IF(J774="3 Bedrooms",O774,0)</f>
        <v>0</v>
      </c>
      <c r="CD642" s="2030"/>
      <c r="CE642" s="2030"/>
      <c r="CF642" s="2030"/>
      <c r="CG642" s="2030"/>
      <c r="CH642" s="2030">
        <f>IF(J774="4 Bedrooms",O774,0)</f>
        <v>0</v>
      </c>
      <c r="CI642" s="2030"/>
      <c r="CJ642" s="2030"/>
      <c r="CK642" s="2030"/>
      <c r="CL642" s="2030"/>
      <c r="CM642" s="2030">
        <f>IF(J774="5 Bedrooms",O774,0)</f>
        <v>0</v>
      </c>
      <c r="CN642" s="2030"/>
      <c r="CO642" s="2030"/>
      <c r="CP642" s="2030"/>
      <c r="CQ642" s="2030"/>
      <c r="CR642" s="1805"/>
      <c r="CV642" s="58"/>
      <c r="CW642" s="58"/>
      <c r="CX642" s="58"/>
      <c r="CY642" s="58"/>
      <c r="CZ642" s="58"/>
      <c r="DA642" s="58"/>
      <c r="DB642" s="58"/>
      <c r="DC642" s="58"/>
      <c r="DD642" s="58"/>
      <c r="DE642" s="58"/>
      <c r="DF642" s="58"/>
      <c r="DX642" s="2034" t="e">
        <f t="shared" si="22"/>
        <v>#VALUE!</v>
      </c>
      <c r="DY642" s="2034"/>
      <c r="DZ642" s="2034"/>
      <c r="EA642" s="2034"/>
      <c r="EB642" s="2034"/>
      <c r="EC642" s="2034">
        <f t="shared" si="23"/>
        <v>1106.9230769230769</v>
      </c>
      <c r="ED642" s="2034"/>
      <c r="EE642" s="2034"/>
      <c r="EF642" s="2034"/>
      <c r="EG642" s="2034"/>
      <c r="EH642" s="2034" t="e">
        <f t="shared" si="24"/>
        <v>#VALUE!</v>
      </c>
      <c r="EI642" s="2034"/>
      <c r="EJ642" s="2034"/>
      <c r="EK642" s="2034"/>
      <c r="EL642" s="2034"/>
      <c r="EM642" s="2034" t="e">
        <f t="shared" si="25"/>
        <v>#VALUE!</v>
      </c>
      <c r="EN642" s="2034"/>
      <c r="EO642" s="2034"/>
      <c r="EP642" s="2034"/>
      <c r="EQ642" s="2034"/>
      <c r="ER642" s="2034" t="e">
        <f t="shared" si="26"/>
        <v>#VALUE!</v>
      </c>
      <c r="ES642" s="2034"/>
      <c r="ET642" s="2034"/>
      <c r="EU642" s="2034"/>
      <c r="EV642" s="2034"/>
      <c r="EW642" s="2034" t="e">
        <f t="shared" si="27"/>
        <v>#VALUE!</v>
      </c>
      <c r="EX642" s="2034"/>
      <c r="EY642" s="2034"/>
      <c r="EZ642" s="2034"/>
      <c r="FA642" s="2034"/>
    </row>
    <row r="643" spans="1:157" ht="12.5">
      <c r="B643" s="84" t="s">
        <v>487</v>
      </c>
      <c r="C643" s="2047"/>
      <c r="D643" s="2047"/>
      <c r="E643" s="2047"/>
      <c r="F643" s="2047"/>
      <c r="G643" s="2047"/>
      <c r="H643" s="2047"/>
      <c r="I643" s="2047"/>
      <c r="J643" s="2047"/>
      <c r="K643" s="2047"/>
      <c r="L643" s="2047"/>
      <c r="M643" s="2047"/>
      <c r="N643" s="2120"/>
      <c r="O643" s="2079"/>
      <c r="P643" s="2080"/>
      <c r="Q643" s="2081"/>
      <c r="R643" s="2062"/>
      <c r="S643" s="2063"/>
      <c r="T643" s="2064"/>
      <c r="U643" s="2072"/>
      <c r="V643" s="2073"/>
      <c r="W643" s="2074"/>
      <c r="X643" s="2059" t="s">
        <v>1383</v>
      </c>
      <c r="Y643" s="2060"/>
      <c r="Z643" s="2060"/>
      <c r="AA643" s="2060"/>
      <c r="AB643" s="2061"/>
      <c r="AC643" s="2055"/>
      <c r="AD643" s="2056"/>
      <c r="AE643" s="2057"/>
      <c r="AF643" s="2075"/>
      <c r="AG643" s="2076"/>
      <c r="AH643" s="2076"/>
      <c r="AI643" s="2076"/>
      <c r="AJ643" s="2077"/>
      <c r="AK643" s="2082"/>
      <c r="AL643" s="2083"/>
      <c r="AM643" s="2083"/>
      <c r="AN643" s="2084"/>
      <c r="AO643" s="2058"/>
      <c r="AP643" s="2058"/>
      <c r="AQ643" s="2058"/>
      <c r="AR643" s="2058"/>
      <c r="AS643" s="205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4">
        <f>IF(J775="SRO/Studio",O775,0)</f>
        <v>0</v>
      </c>
      <c r="BO643" s="2025"/>
      <c r="BP643" s="2025"/>
      <c r="BQ643" s="2025"/>
      <c r="BR643" s="2026"/>
      <c r="BS643" s="2030">
        <f>IF(J775="1 Bedroom",O775,0)</f>
        <v>0</v>
      </c>
      <c r="BT643" s="2030"/>
      <c r="BU643" s="2030"/>
      <c r="BV643" s="2030"/>
      <c r="BW643" s="2030"/>
      <c r="BX643" s="2030">
        <f>IF(J775="2 Bedrooms",O775,0)</f>
        <v>0</v>
      </c>
      <c r="BY643" s="2030"/>
      <c r="BZ643" s="2030"/>
      <c r="CA643" s="2030"/>
      <c r="CB643" s="2030"/>
      <c r="CC643" s="2030">
        <f>IF(J775="3 Bedrooms",O775,0)</f>
        <v>0</v>
      </c>
      <c r="CD643" s="2030"/>
      <c r="CE643" s="2030"/>
      <c r="CF643" s="2030"/>
      <c r="CG643" s="2030"/>
      <c r="CH643" s="2030">
        <f>IF(J775="4 Bedrooms",O775,0)</f>
        <v>0</v>
      </c>
      <c r="CI643" s="2030"/>
      <c r="CJ643" s="2030"/>
      <c r="CK643" s="2030"/>
      <c r="CL643" s="2030"/>
      <c r="CM643" s="2030">
        <f>IF(J775="5 Bedrooms",O775,0)</f>
        <v>0</v>
      </c>
      <c r="CN643" s="2030"/>
      <c r="CO643" s="2030"/>
      <c r="CP643" s="2030"/>
      <c r="CQ643" s="2030"/>
      <c r="CV643" s="58"/>
      <c r="CW643" s="58"/>
      <c r="CX643" s="58"/>
      <c r="CY643" s="58"/>
      <c r="CZ643" s="58"/>
      <c r="DA643" s="58"/>
      <c r="DB643" s="58"/>
      <c r="DC643" s="58"/>
      <c r="DD643" s="58"/>
      <c r="DE643" s="58"/>
      <c r="DF643" s="58"/>
      <c r="DX643" s="2034" t="e">
        <f t="shared" si="22"/>
        <v>#VALUE!</v>
      </c>
      <c r="DY643" s="2034"/>
      <c r="DZ643" s="2034"/>
      <c r="EA643" s="2034"/>
      <c r="EB643" s="2034"/>
      <c r="EC643" s="2034" t="e">
        <f t="shared" si="23"/>
        <v>#VALUE!</v>
      </c>
      <c r="ED643" s="2034"/>
      <c r="EE643" s="2034"/>
      <c r="EF643" s="2034"/>
      <c r="EG643" s="2034"/>
      <c r="EH643" s="2034">
        <f t="shared" si="24"/>
        <v>1142</v>
      </c>
      <c r="EI643" s="2034"/>
      <c r="EJ643" s="2034"/>
      <c r="EK643" s="2034"/>
      <c r="EL643" s="2034"/>
      <c r="EM643" s="2034" t="e">
        <f t="shared" si="25"/>
        <v>#VALUE!</v>
      </c>
      <c r="EN643" s="2034"/>
      <c r="EO643" s="2034"/>
      <c r="EP643" s="2034"/>
      <c r="EQ643" s="2034"/>
      <c r="ER643" s="2034" t="e">
        <f t="shared" si="26"/>
        <v>#VALUE!</v>
      </c>
      <c r="ES643" s="2034"/>
      <c r="ET643" s="2034"/>
      <c r="EU643" s="2034"/>
      <c r="EV643" s="2034"/>
      <c r="EW643" s="2034" t="e">
        <f t="shared" si="27"/>
        <v>#VALUE!</v>
      </c>
      <c r="EX643" s="2034"/>
      <c r="EY643" s="2034"/>
      <c r="EZ643" s="2034"/>
      <c r="FA643" s="2034"/>
    </row>
    <row r="644" spans="1:157" ht="13">
      <c r="B644" s="84" t="s">
        <v>488</v>
      </c>
      <c r="C644" s="2047"/>
      <c r="D644" s="2047"/>
      <c r="E644" s="2047"/>
      <c r="F644" s="2047"/>
      <c r="G644" s="2047"/>
      <c r="H644" s="2047"/>
      <c r="I644" s="2047"/>
      <c r="J644" s="2047"/>
      <c r="K644" s="2047"/>
      <c r="L644" s="2047"/>
      <c r="M644" s="2047"/>
      <c r="N644" s="2120"/>
      <c r="O644" s="2079"/>
      <c r="P644" s="2080"/>
      <c r="Q644" s="2081"/>
      <c r="R644" s="2062"/>
      <c r="S644" s="2063"/>
      <c r="T644" s="2064"/>
      <c r="U644" s="2072"/>
      <c r="V644" s="2073"/>
      <c r="W644" s="2074"/>
      <c r="X644" s="2059" t="s">
        <v>1383</v>
      </c>
      <c r="Y644" s="2060"/>
      <c r="Z644" s="2060"/>
      <c r="AA644" s="2060"/>
      <c r="AB644" s="2061"/>
      <c r="AC644" s="2055"/>
      <c r="AD644" s="2056"/>
      <c r="AE644" s="2057"/>
      <c r="AF644" s="2075"/>
      <c r="AG644" s="2076"/>
      <c r="AH644" s="2076"/>
      <c r="AI644" s="2076"/>
      <c r="AJ644" s="2077"/>
      <c r="AK644" s="2082"/>
      <c r="AL644" s="2083"/>
      <c r="AM644" s="2083"/>
      <c r="AN644" s="2084"/>
      <c r="AO644" s="2058"/>
      <c r="AP644" s="2058"/>
      <c r="AQ644" s="2058"/>
      <c r="AR644" s="2058"/>
      <c r="AS644" s="205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31">
        <f>SUM(BN640:BR643)</f>
        <v>0</v>
      </c>
      <c r="BO644" s="2032"/>
      <c r="BP644" s="2032"/>
      <c r="BQ644" s="2032"/>
      <c r="BR644" s="2033"/>
      <c r="BS644" s="2027">
        <f>SUM(BS640:BW643)</f>
        <v>0</v>
      </c>
      <c r="BT644" s="2028"/>
      <c r="BU644" s="2028"/>
      <c r="BV644" s="2028"/>
      <c r="BW644" s="2029"/>
      <c r="BX644" s="2027">
        <f>SUM(BX640:CB643)</f>
        <v>1</v>
      </c>
      <c r="BY644" s="2028"/>
      <c r="BZ644" s="2028"/>
      <c r="CA644" s="2028"/>
      <c r="CB644" s="2029"/>
      <c r="CC644" s="2027">
        <f>SUM(CC640:CG643)</f>
        <v>0</v>
      </c>
      <c r="CD644" s="2028"/>
      <c r="CE644" s="2028"/>
      <c r="CF644" s="2028"/>
      <c r="CG644" s="2029"/>
      <c r="CH644" s="2027">
        <f>SUM(CH640:CL643)</f>
        <v>0</v>
      </c>
      <c r="CI644" s="2028"/>
      <c r="CJ644" s="2028"/>
      <c r="CK644" s="2028"/>
      <c r="CL644" s="2029"/>
      <c r="CM644" s="2027">
        <f>SUM(CM640:CQ643)</f>
        <v>0</v>
      </c>
      <c r="CN644" s="2028"/>
      <c r="CO644" s="2028"/>
      <c r="CP644" s="2028"/>
      <c r="CQ644" s="2029"/>
      <c r="CS644" s="1470">
        <f>BN644+BS644+BX644+CC644+CH644+CM644</f>
        <v>1</v>
      </c>
      <c r="CT644" s="134" t="s">
        <v>2387</v>
      </c>
      <c r="CU644" s="58"/>
      <c r="CV644" s="58"/>
      <c r="CW644" s="58"/>
      <c r="CX644" s="58"/>
      <c r="CY644" s="58"/>
      <c r="CZ644" s="58"/>
      <c r="DA644" s="58"/>
      <c r="DB644" s="58"/>
      <c r="DC644" s="58"/>
      <c r="DD644" s="58"/>
      <c r="DE644" s="58"/>
      <c r="DF644" s="58"/>
      <c r="DX644" s="2034" t="e">
        <f t="shared" si="22"/>
        <v>#VALUE!</v>
      </c>
      <c r="DY644" s="2034"/>
      <c r="DZ644" s="2034"/>
      <c r="EA644" s="2034"/>
      <c r="EB644" s="2034"/>
      <c r="EC644" s="2034" t="e">
        <f t="shared" si="23"/>
        <v>#VALUE!</v>
      </c>
      <c r="ED644" s="2034"/>
      <c r="EE644" s="2034"/>
      <c r="EF644" s="2034"/>
      <c r="EG644" s="2034"/>
      <c r="EH644" s="2034" t="e">
        <f t="shared" si="24"/>
        <v>#VALUE!</v>
      </c>
      <c r="EI644" s="2034"/>
      <c r="EJ644" s="2034"/>
      <c r="EK644" s="2034"/>
      <c r="EL644" s="2034"/>
      <c r="EM644" s="2034" t="e">
        <f t="shared" si="25"/>
        <v>#VALUE!</v>
      </c>
      <c r="EN644" s="2034"/>
      <c r="EO644" s="2034"/>
      <c r="EP644" s="2034"/>
      <c r="EQ644" s="2034"/>
      <c r="ER644" s="2034" t="e">
        <f t="shared" si="26"/>
        <v>#VALUE!</v>
      </c>
      <c r="ES644" s="2034"/>
      <c r="ET644" s="2034"/>
      <c r="EU644" s="2034"/>
      <c r="EV644" s="2034"/>
      <c r="EW644" s="2034" t="e">
        <f t="shared" si="27"/>
        <v>#VALUE!</v>
      </c>
      <c r="EX644" s="2034"/>
      <c r="EY644" s="2034"/>
      <c r="EZ644" s="2034"/>
      <c r="FA644" s="2034"/>
    </row>
    <row r="645" spans="1:157" ht="13">
      <c r="B645" s="84" t="s">
        <v>494</v>
      </c>
      <c r="C645" s="2047"/>
      <c r="D645" s="2047"/>
      <c r="E645" s="2047"/>
      <c r="F645" s="2047"/>
      <c r="G645" s="2047"/>
      <c r="H645" s="2047"/>
      <c r="I645" s="2047"/>
      <c r="J645" s="2047"/>
      <c r="K645" s="2047"/>
      <c r="L645" s="2047"/>
      <c r="M645" s="2047"/>
      <c r="N645" s="2120"/>
      <c r="O645" s="2079"/>
      <c r="P645" s="2080"/>
      <c r="Q645" s="2081"/>
      <c r="R645" s="2062"/>
      <c r="S645" s="2063"/>
      <c r="T645" s="2064"/>
      <c r="U645" s="2072"/>
      <c r="V645" s="2073"/>
      <c r="W645" s="2074"/>
      <c r="X645" s="2059" t="s">
        <v>1383</v>
      </c>
      <c r="Y645" s="2060"/>
      <c r="Z645" s="2060"/>
      <c r="AA645" s="2060"/>
      <c r="AB645" s="2061"/>
      <c r="AC645" s="2055"/>
      <c r="AD645" s="2056"/>
      <c r="AE645" s="2057"/>
      <c r="AF645" s="2075"/>
      <c r="AG645" s="2076"/>
      <c r="AH645" s="2076"/>
      <c r="AI645" s="2076"/>
      <c r="AJ645" s="2077"/>
      <c r="AK645" s="2082"/>
      <c r="AL645" s="2083"/>
      <c r="AM645" s="2083"/>
      <c r="AN645" s="2084"/>
      <c r="AO645" s="2058"/>
      <c r="AP645" s="2058"/>
      <c r="AQ645" s="2058"/>
      <c r="AR645" s="2058"/>
      <c r="AS645" s="205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34" t="e">
        <f t="shared" si="22"/>
        <v>#VALUE!</v>
      </c>
      <c r="DY645" s="2034"/>
      <c r="DZ645" s="2034"/>
      <c r="EA645" s="2034"/>
      <c r="EB645" s="2034"/>
      <c r="EC645" s="2034" t="e">
        <f t="shared" si="23"/>
        <v>#VALUE!</v>
      </c>
      <c r="ED645" s="2034"/>
      <c r="EE645" s="2034"/>
      <c r="EF645" s="2034"/>
      <c r="EG645" s="2034"/>
      <c r="EH645" s="2034" t="e">
        <f t="shared" si="24"/>
        <v>#VALUE!</v>
      </c>
      <c r="EI645" s="2034"/>
      <c r="EJ645" s="2034"/>
      <c r="EK645" s="2034"/>
      <c r="EL645" s="2034"/>
      <c r="EM645" s="2034" t="e">
        <f t="shared" si="25"/>
        <v>#VALUE!</v>
      </c>
      <c r="EN645" s="2034"/>
      <c r="EO645" s="2034"/>
      <c r="EP645" s="2034"/>
      <c r="EQ645" s="2034"/>
      <c r="ER645" s="2034" t="e">
        <f t="shared" si="26"/>
        <v>#VALUE!</v>
      </c>
      <c r="ES645" s="2034"/>
      <c r="ET645" s="2034"/>
      <c r="EU645" s="2034"/>
      <c r="EV645" s="2034"/>
      <c r="EW645" s="2034" t="e">
        <f t="shared" si="27"/>
        <v>#VALUE!</v>
      </c>
      <c r="EX645" s="2034"/>
      <c r="EY645" s="2034"/>
      <c r="EZ645" s="2034"/>
      <c r="FA645" s="2034"/>
    </row>
    <row r="646" spans="1:157" ht="12.5">
      <c r="B646" s="84" t="s">
        <v>681</v>
      </c>
      <c r="C646" s="2047"/>
      <c r="D646" s="2047"/>
      <c r="E646" s="2047"/>
      <c r="F646" s="2047"/>
      <c r="G646" s="2047"/>
      <c r="H646" s="2047"/>
      <c r="I646" s="2047"/>
      <c r="J646" s="2047"/>
      <c r="K646" s="2047"/>
      <c r="L646" s="2047"/>
      <c r="M646" s="2047"/>
      <c r="N646" s="2120"/>
      <c r="O646" s="2079"/>
      <c r="P646" s="2080"/>
      <c r="Q646" s="2081"/>
      <c r="R646" s="2062"/>
      <c r="S646" s="2063"/>
      <c r="T646" s="2064"/>
      <c r="U646" s="2072"/>
      <c r="V646" s="2073"/>
      <c r="W646" s="2074"/>
      <c r="X646" s="2059" t="s">
        <v>1383</v>
      </c>
      <c r="Y646" s="2060"/>
      <c r="Z646" s="2060"/>
      <c r="AA646" s="2060"/>
      <c r="AB646" s="2061"/>
      <c r="AC646" s="2055"/>
      <c r="AD646" s="2056"/>
      <c r="AE646" s="2057"/>
      <c r="AF646" s="2075"/>
      <c r="AG646" s="2076"/>
      <c r="AH646" s="2076"/>
      <c r="AI646" s="2076"/>
      <c r="AJ646" s="2077"/>
      <c r="AK646" s="2082"/>
      <c r="AL646" s="2083"/>
      <c r="AM646" s="2083"/>
      <c r="AN646" s="2084"/>
      <c r="AO646" s="2058"/>
      <c r="AP646" s="2058"/>
      <c r="AQ646" s="2058"/>
      <c r="AR646" s="2058"/>
      <c r="AS646" s="205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4" t="e">
        <f t="shared" si="22"/>
        <v>#VALUE!</v>
      </c>
      <c r="DY646" s="2034"/>
      <c r="DZ646" s="2034"/>
      <c r="EA646" s="2034"/>
      <c r="EB646" s="2034"/>
      <c r="EC646" s="2034" t="e">
        <f t="shared" si="23"/>
        <v>#VALUE!</v>
      </c>
      <c r="ED646" s="2034"/>
      <c r="EE646" s="2034"/>
      <c r="EF646" s="2034"/>
      <c r="EG646" s="2034"/>
      <c r="EH646" s="2034" t="e">
        <f t="shared" si="24"/>
        <v>#VALUE!</v>
      </c>
      <c r="EI646" s="2034"/>
      <c r="EJ646" s="2034"/>
      <c r="EK646" s="2034"/>
      <c r="EL646" s="2034"/>
      <c r="EM646" s="2034" t="e">
        <f t="shared" si="25"/>
        <v>#VALUE!</v>
      </c>
      <c r="EN646" s="2034"/>
      <c r="EO646" s="2034"/>
      <c r="EP646" s="2034"/>
      <c r="EQ646" s="2034"/>
      <c r="ER646" s="2034" t="e">
        <f t="shared" si="26"/>
        <v>#VALUE!</v>
      </c>
      <c r="ES646" s="2034"/>
      <c r="ET646" s="2034"/>
      <c r="EU646" s="2034"/>
      <c r="EV646" s="2034"/>
      <c r="EW646" s="2034" t="e">
        <f t="shared" si="27"/>
        <v>#VALUE!</v>
      </c>
      <c r="EX646" s="2034"/>
      <c r="EY646" s="2034"/>
      <c r="EZ646" s="2034"/>
      <c r="FA646" s="2034"/>
    </row>
    <row r="647" spans="1:157" ht="12.5">
      <c r="B647" s="84" t="s">
        <v>372</v>
      </c>
      <c r="C647" s="2047"/>
      <c r="D647" s="2047"/>
      <c r="E647" s="2047"/>
      <c r="F647" s="2047"/>
      <c r="G647" s="2047"/>
      <c r="H647" s="2047"/>
      <c r="I647" s="2047"/>
      <c r="J647" s="2047"/>
      <c r="K647" s="2047"/>
      <c r="L647" s="2047"/>
      <c r="M647" s="2047"/>
      <c r="N647" s="2120"/>
      <c r="O647" s="2079"/>
      <c r="P647" s="2080"/>
      <c r="Q647" s="2081"/>
      <c r="R647" s="2062"/>
      <c r="S647" s="2063"/>
      <c r="T647" s="2064"/>
      <c r="U647" s="2072"/>
      <c r="V647" s="2073"/>
      <c r="W647" s="2074"/>
      <c r="X647" s="2059" t="s">
        <v>1383</v>
      </c>
      <c r="Y647" s="2060"/>
      <c r="Z647" s="2060"/>
      <c r="AA647" s="2060"/>
      <c r="AB647" s="2061"/>
      <c r="AC647" s="2055"/>
      <c r="AD647" s="2056"/>
      <c r="AE647" s="2057"/>
      <c r="AF647" s="2075"/>
      <c r="AG647" s="2076"/>
      <c r="AH647" s="2076"/>
      <c r="AI647" s="2076"/>
      <c r="AJ647" s="2077"/>
      <c r="AK647" s="2082"/>
      <c r="AL647" s="2083"/>
      <c r="AM647" s="2083"/>
      <c r="AN647" s="2084"/>
      <c r="AO647" s="2058"/>
      <c r="AP647" s="2058"/>
      <c r="AQ647" s="2058"/>
      <c r="AR647" s="2058"/>
      <c r="AS647" s="205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4" t="e">
        <f t="shared" si="22"/>
        <v>#VALUE!</v>
      </c>
      <c r="DY647" s="2034"/>
      <c r="DZ647" s="2034"/>
      <c r="EA647" s="2034"/>
      <c r="EB647" s="2034"/>
      <c r="EC647" s="2034" t="e">
        <f t="shared" si="23"/>
        <v>#VALUE!</v>
      </c>
      <c r="ED647" s="2034"/>
      <c r="EE647" s="2034"/>
      <c r="EF647" s="2034"/>
      <c r="EG647" s="2034"/>
      <c r="EH647" s="2034" t="e">
        <f t="shared" si="24"/>
        <v>#VALUE!</v>
      </c>
      <c r="EI647" s="2034"/>
      <c r="EJ647" s="2034"/>
      <c r="EK647" s="2034"/>
      <c r="EL647" s="2034"/>
      <c r="EM647" s="2034" t="e">
        <f t="shared" si="25"/>
        <v>#VALUE!</v>
      </c>
      <c r="EN647" s="2034"/>
      <c r="EO647" s="2034"/>
      <c r="EP647" s="2034"/>
      <c r="EQ647" s="2034"/>
      <c r="ER647" s="2034" t="e">
        <f t="shared" si="26"/>
        <v>#VALUE!</v>
      </c>
      <c r="ES647" s="2034"/>
      <c r="ET647" s="2034"/>
      <c r="EU647" s="2034"/>
      <c r="EV647" s="2034"/>
      <c r="EW647" s="2034" t="e">
        <f t="shared" si="27"/>
        <v>#VALUE!</v>
      </c>
      <c r="EX647" s="2034"/>
      <c r="EY647" s="2034"/>
      <c r="EZ647" s="2034"/>
      <c r="FA647" s="2034"/>
    </row>
    <row r="648" spans="1:157" ht="12.5">
      <c r="B648" s="84" t="s">
        <v>373</v>
      </c>
      <c r="C648" s="2047"/>
      <c r="D648" s="2047"/>
      <c r="E648" s="2047"/>
      <c r="F648" s="2047"/>
      <c r="G648" s="2047"/>
      <c r="H648" s="2047"/>
      <c r="I648" s="2047"/>
      <c r="J648" s="2047"/>
      <c r="K648" s="2047"/>
      <c r="L648" s="2047"/>
      <c r="M648" s="2047"/>
      <c r="N648" s="2120"/>
      <c r="O648" s="2079"/>
      <c r="P648" s="2080"/>
      <c r="Q648" s="2081"/>
      <c r="R648" s="2062"/>
      <c r="S648" s="2063"/>
      <c r="T648" s="2064"/>
      <c r="U648" s="2072"/>
      <c r="V648" s="2073"/>
      <c r="W648" s="2074"/>
      <c r="X648" s="2059" t="s">
        <v>1383</v>
      </c>
      <c r="Y648" s="2060"/>
      <c r="Z648" s="2060"/>
      <c r="AA648" s="2060"/>
      <c r="AB648" s="2061"/>
      <c r="AC648" s="2055"/>
      <c r="AD648" s="2056"/>
      <c r="AE648" s="2057"/>
      <c r="AF648" s="2075"/>
      <c r="AG648" s="2076"/>
      <c r="AH648" s="2076"/>
      <c r="AI648" s="2076"/>
      <c r="AJ648" s="2077"/>
      <c r="AK648" s="2082"/>
      <c r="AL648" s="2083"/>
      <c r="AM648" s="2083"/>
      <c r="AN648" s="2084"/>
      <c r="AO648" s="2058"/>
      <c r="AP648" s="2058"/>
      <c r="AQ648" s="2058"/>
      <c r="AR648" s="2058"/>
      <c r="AS648" s="205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4">
        <f t="shared" ref="BN648:BN657" si="28">IF(J786="SRO/Studio",O786,0)</f>
        <v>0</v>
      </c>
      <c r="BO648" s="2025"/>
      <c r="BP648" s="2025"/>
      <c r="BQ648" s="2025"/>
      <c r="BR648" s="2026"/>
      <c r="BS648" s="2030">
        <f t="shared" ref="BS648:BS657" si="29">IF(J786="1 Bedroom",O786,0)</f>
        <v>0</v>
      </c>
      <c r="BT648" s="2030"/>
      <c r="BU648" s="2030"/>
      <c r="BV648" s="2030"/>
      <c r="BW648" s="2030"/>
      <c r="BX648" s="2030">
        <f t="shared" ref="BX648:BX657" si="30">IF(J786="2 Bedrooms",O786,0)</f>
        <v>0</v>
      </c>
      <c r="BY648" s="2030"/>
      <c r="BZ648" s="2030"/>
      <c r="CA648" s="2030"/>
      <c r="CB648" s="2030"/>
      <c r="CC648" s="2030">
        <f t="shared" ref="CC648:CC657" si="31">IF(J786="3 Bedrooms",O786,0)</f>
        <v>0</v>
      </c>
      <c r="CD648" s="2030"/>
      <c r="CE648" s="2030"/>
      <c r="CF648" s="2030"/>
      <c r="CG648" s="2030"/>
      <c r="CH648" s="2030">
        <f t="shared" ref="CH648:CH657" si="32">IF(J786="4 Bedrooms",O786,0)</f>
        <v>0</v>
      </c>
      <c r="CI648" s="2030"/>
      <c r="CJ648" s="2030"/>
      <c r="CK648" s="2030"/>
      <c r="CL648" s="2030"/>
      <c r="CM648" s="2030">
        <f t="shared" ref="CM648:CM657" si="33">IF(J786="5 Bedrooms",O786,0)</f>
        <v>0</v>
      </c>
      <c r="CN648" s="2030"/>
      <c r="CO648" s="2030"/>
      <c r="CP648" s="2030"/>
      <c r="CQ648" s="2030"/>
      <c r="CR648" s="265"/>
      <c r="CS648" s="2024">
        <f>IF(AND(BN648&gt;=1,AH786&gt;=0.1,AH786&lt;=1),O786,0)</f>
        <v>0</v>
      </c>
      <c r="CT648" s="2025"/>
      <c r="CU648" s="2025"/>
      <c r="CV648" s="2025"/>
      <c r="CW648" s="2026"/>
      <c r="CX648" s="2024">
        <f>IF(AND(BS648&gt;=1,AH786&gt;=0.1,AH786&lt;=1),O786,0)</f>
        <v>0</v>
      </c>
      <c r="CY648" s="2025"/>
      <c r="CZ648" s="2025"/>
      <c r="DA648" s="2025"/>
      <c r="DB648" s="2026"/>
      <c r="DC648" s="2024">
        <f>IF(AND(BX648&gt;=1,AH786&gt;=0.1,AH786&lt;=1),O786,0)</f>
        <v>0</v>
      </c>
      <c r="DD648" s="2025"/>
      <c r="DE648" s="2025"/>
      <c r="DF648" s="2025"/>
      <c r="DG648" s="2026"/>
      <c r="DH648" s="2024">
        <f>IF(AND(CC648&gt;=1,AH786&gt;=0.1,AH786&lt;=1),O786,0)</f>
        <v>0</v>
      </c>
      <c r="DI648" s="2025"/>
      <c r="DJ648" s="2025"/>
      <c r="DK648" s="2025"/>
      <c r="DL648" s="2026"/>
      <c r="DM648" s="2024">
        <f>IF(AND(CH648&gt;=1,AH786&gt;=0.1,AH786&lt;=1),O786,0)</f>
        <v>0</v>
      </c>
      <c r="DN648" s="2025"/>
      <c r="DO648" s="2025"/>
      <c r="DP648" s="2025"/>
      <c r="DQ648" s="2026"/>
      <c r="DR648" s="2024">
        <f>IF(AND(CM648&gt;=1,AH786&gt;=0.1,AH786&lt;=1),O786,0)</f>
        <v>0</v>
      </c>
      <c r="DS648" s="2025"/>
      <c r="DT648" s="2025"/>
      <c r="DU648" s="2025"/>
      <c r="DV648" s="2026"/>
      <c r="DX648" s="2034" t="e">
        <f t="shared" si="22"/>
        <v>#VALUE!</v>
      </c>
      <c r="DY648" s="2034"/>
      <c r="DZ648" s="2034"/>
      <c r="EA648" s="2034"/>
      <c r="EB648" s="2034"/>
      <c r="EC648" s="2034" t="e">
        <f t="shared" si="23"/>
        <v>#VALUE!</v>
      </c>
      <c r="ED648" s="2034"/>
      <c r="EE648" s="2034"/>
      <c r="EF648" s="2034"/>
      <c r="EG648" s="2034"/>
      <c r="EH648" s="2034" t="e">
        <f t="shared" si="24"/>
        <v>#VALUE!</v>
      </c>
      <c r="EI648" s="2034"/>
      <c r="EJ648" s="2034"/>
      <c r="EK648" s="2034"/>
      <c r="EL648" s="2034"/>
      <c r="EM648" s="2034" t="e">
        <f t="shared" si="25"/>
        <v>#VALUE!</v>
      </c>
      <c r="EN648" s="2034"/>
      <c r="EO648" s="2034"/>
      <c r="EP648" s="2034"/>
      <c r="EQ648" s="2034"/>
      <c r="ER648" s="2034" t="e">
        <f t="shared" si="26"/>
        <v>#VALUE!</v>
      </c>
      <c r="ES648" s="2034"/>
      <c r="ET648" s="2034"/>
      <c r="EU648" s="2034"/>
      <c r="EV648" s="2034"/>
      <c r="EW648" s="2034" t="e">
        <f t="shared" si="27"/>
        <v>#VALUE!</v>
      </c>
      <c r="EX648" s="2034"/>
      <c r="EY648" s="2034"/>
      <c r="EZ648" s="2034"/>
      <c r="FA648" s="2034"/>
    </row>
    <row r="649" spans="1:157" ht="13">
      <c r="B649" s="2297" t="s">
        <v>133</v>
      </c>
      <c r="C649" s="2298"/>
      <c r="D649" s="2298"/>
      <c r="E649" s="2298"/>
      <c r="F649" s="2298"/>
      <c r="G649" s="2298"/>
      <c r="H649" s="2298"/>
      <c r="I649" s="2298"/>
      <c r="J649" s="2298"/>
      <c r="K649" s="2298"/>
      <c r="L649" s="2298"/>
      <c r="M649" s="2298"/>
      <c r="N649" s="2298"/>
      <c r="O649" s="2298"/>
      <c r="P649" s="2298"/>
      <c r="Q649" s="2298"/>
      <c r="R649" s="2298"/>
      <c r="S649" s="2298"/>
      <c r="T649" s="2298"/>
      <c r="U649" s="2298"/>
      <c r="V649" s="2298"/>
      <c r="W649" s="2298"/>
      <c r="X649" s="2298"/>
      <c r="Y649" s="2298"/>
      <c r="Z649" s="2298"/>
      <c r="AA649" s="2298"/>
      <c r="AB649" s="2298"/>
      <c r="AC649" s="2298"/>
      <c r="AD649" s="2298"/>
      <c r="AE649" s="2298"/>
      <c r="AF649" s="2298"/>
      <c r="AG649" s="2298"/>
      <c r="AH649" s="2298"/>
      <c r="AI649" s="2298"/>
      <c r="AJ649" s="2298"/>
      <c r="AK649" s="2298"/>
      <c r="AL649" s="2298"/>
      <c r="AM649" s="2298"/>
      <c r="AN649" s="2299"/>
      <c r="AO649" s="2205">
        <f>SUM(AO637:AR648)</f>
        <v>15451290</v>
      </c>
      <c r="AP649" s="2206"/>
      <c r="AQ649" s="2206"/>
      <c r="AR649" s="2206"/>
      <c r="AS649" s="2207"/>
      <c r="AZ649" s="58"/>
      <c r="BA649" s="58"/>
      <c r="BB649" s="58"/>
      <c r="BC649" s="58"/>
      <c r="BD649" s="58"/>
      <c r="BE649" s="58"/>
      <c r="BF649" s="58"/>
      <c r="BG649" s="58"/>
      <c r="BH649" s="58"/>
      <c r="BI649" s="58"/>
      <c r="BJ649" s="58"/>
      <c r="BK649" s="58"/>
      <c r="BL649" s="58"/>
      <c r="BM649" s="58"/>
      <c r="BN649" s="2024">
        <f t="shared" si="28"/>
        <v>0</v>
      </c>
      <c r="BO649" s="2025"/>
      <c r="BP649" s="2025"/>
      <c r="BQ649" s="2025"/>
      <c r="BR649" s="2026"/>
      <c r="BS649" s="2030">
        <f t="shared" si="29"/>
        <v>0</v>
      </c>
      <c r="BT649" s="2030"/>
      <c r="BU649" s="2030"/>
      <c r="BV649" s="2030"/>
      <c r="BW649" s="2030"/>
      <c r="BX649" s="2030">
        <f t="shared" si="30"/>
        <v>0</v>
      </c>
      <c r="BY649" s="2030"/>
      <c r="BZ649" s="2030"/>
      <c r="CA649" s="2030"/>
      <c r="CB649" s="2030"/>
      <c r="CC649" s="2030">
        <f t="shared" si="31"/>
        <v>0</v>
      </c>
      <c r="CD649" s="2030"/>
      <c r="CE649" s="2030"/>
      <c r="CF649" s="2030"/>
      <c r="CG649" s="2030"/>
      <c r="CH649" s="2030">
        <f t="shared" si="32"/>
        <v>0</v>
      </c>
      <c r="CI649" s="2030"/>
      <c r="CJ649" s="2030"/>
      <c r="CK649" s="2030"/>
      <c r="CL649" s="2030"/>
      <c r="CM649" s="2030">
        <f t="shared" si="33"/>
        <v>0</v>
      </c>
      <c r="CN649" s="2030"/>
      <c r="CO649" s="2030"/>
      <c r="CP649" s="2030"/>
      <c r="CQ649" s="2030"/>
      <c r="CR649" s="265"/>
      <c r="CS649" s="2024">
        <f t="shared" ref="CS649:CS657" si="34">IF(AND(BN649&gt;=1,AH787&gt;=0.1,AH787&lt;=1),O787,0)</f>
        <v>0</v>
      </c>
      <c r="CT649" s="2025"/>
      <c r="CU649" s="2025"/>
      <c r="CV649" s="2025"/>
      <c r="CW649" s="2026"/>
      <c r="CX649" s="2024">
        <f t="shared" ref="CX649:CX657" si="35">IF(AND(BS649&gt;=1,AH787&gt;=0.1,AH787&lt;=1),O787,0)</f>
        <v>0</v>
      </c>
      <c r="CY649" s="2025"/>
      <c r="CZ649" s="2025"/>
      <c r="DA649" s="2025"/>
      <c r="DB649" s="2026"/>
      <c r="DC649" s="2024">
        <f t="shared" ref="DC649:DC657" si="36">IF(AND(BX649&gt;=1,AH787&gt;=0.1,AH787&lt;=1),O787,0)</f>
        <v>0</v>
      </c>
      <c r="DD649" s="2025"/>
      <c r="DE649" s="2025"/>
      <c r="DF649" s="2025"/>
      <c r="DG649" s="2026"/>
      <c r="DH649" s="2024">
        <f t="shared" ref="DH649:DH657" si="37">IF(AND(CC649&gt;=1,AH787&gt;=0.1,AH787&lt;=1),O787,0)</f>
        <v>0</v>
      </c>
      <c r="DI649" s="2025"/>
      <c r="DJ649" s="2025"/>
      <c r="DK649" s="2025"/>
      <c r="DL649" s="2026"/>
      <c r="DM649" s="2024">
        <f t="shared" ref="DM649:DM657" si="38">IF(AND(CH649&gt;=1,AH787&gt;=0.1,AH787&lt;=1),O787,0)</f>
        <v>0</v>
      </c>
      <c r="DN649" s="2025"/>
      <c r="DO649" s="2025"/>
      <c r="DP649" s="2025"/>
      <c r="DQ649" s="2026"/>
      <c r="DR649" s="2024">
        <f t="shared" ref="DR649:DR657" si="39">IF(AND(CM649&gt;=1,AH787&gt;=0.1,AH787&lt;=1),O787,0)</f>
        <v>0</v>
      </c>
      <c r="DS649" s="2025"/>
      <c r="DT649" s="2025"/>
      <c r="DU649" s="2025"/>
      <c r="DV649" s="2026"/>
      <c r="DX649" s="2034" t="e">
        <f t="shared" si="22"/>
        <v>#VALUE!</v>
      </c>
      <c r="DY649" s="2034"/>
      <c r="DZ649" s="2034"/>
      <c r="EA649" s="2034"/>
      <c r="EB649" s="2034"/>
      <c r="EC649" s="2034" t="e">
        <f t="shared" si="23"/>
        <v>#VALUE!</v>
      </c>
      <c r="ED649" s="2034"/>
      <c r="EE649" s="2034"/>
      <c r="EF649" s="2034"/>
      <c r="EG649" s="2034"/>
      <c r="EH649" s="2034" t="e">
        <f t="shared" si="24"/>
        <v>#VALUE!</v>
      </c>
      <c r="EI649" s="2034"/>
      <c r="EJ649" s="2034"/>
      <c r="EK649" s="2034"/>
      <c r="EL649" s="2034"/>
      <c r="EM649" s="2034" t="e">
        <f t="shared" si="25"/>
        <v>#VALUE!</v>
      </c>
      <c r="EN649" s="2034"/>
      <c r="EO649" s="2034"/>
      <c r="EP649" s="2034"/>
      <c r="EQ649" s="2034"/>
      <c r="ER649" s="2034" t="e">
        <f t="shared" si="26"/>
        <v>#VALUE!</v>
      </c>
      <c r="ES649" s="2034"/>
      <c r="ET649" s="2034"/>
      <c r="EU649" s="2034"/>
      <c r="EV649" s="2034"/>
      <c r="EW649" s="2034" t="e">
        <f t="shared" si="27"/>
        <v>#VALUE!</v>
      </c>
      <c r="EX649" s="2034"/>
      <c r="EY649" s="2034"/>
      <c r="EZ649" s="2034"/>
      <c r="FA649" s="2034"/>
    </row>
    <row r="650" spans="1:157" ht="12.75" customHeight="1">
      <c r="B650" s="2297" t="s">
        <v>273</v>
      </c>
      <c r="C650" s="2298"/>
      <c r="D650" s="2298"/>
      <c r="E650" s="2298"/>
      <c r="F650" s="2298"/>
      <c r="G650" s="2298"/>
      <c r="H650" s="2298"/>
      <c r="I650" s="2298"/>
      <c r="J650" s="2298"/>
      <c r="K650" s="2298"/>
      <c r="L650" s="2298"/>
      <c r="M650" s="2298"/>
      <c r="N650" s="2298"/>
      <c r="O650" s="2298"/>
      <c r="P650" s="2298"/>
      <c r="Q650" s="2298"/>
      <c r="R650" s="2298"/>
      <c r="S650" s="2298"/>
      <c r="T650" s="2298"/>
      <c r="U650" s="2298"/>
      <c r="V650" s="2298"/>
      <c r="W650" s="2298"/>
      <c r="X650" s="2298"/>
      <c r="Y650" s="2298"/>
      <c r="Z650" s="2298"/>
      <c r="AA650" s="2298"/>
      <c r="AB650" s="2298"/>
      <c r="AC650" s="2298"/>
      <c r="AD650" s="2298"/>
      <c r="AE650" s="2298"/>
      <c r="AF650" s="2298"/>
      <c r="AG650" s="2298"/>
      <c r="AH650" s="2298"/>
      <c r="AI650" s="2298"/>
      <c r="AJ650" s="2298"/>
      <c r="AK650" s="2298"/>
      <c r="AL650" s="2298"/>
      <c r="AM650" s="2298"/>
      <c r="AN650" s="2299"/>
      <c r="AO650" s="2037">
        <v>10375040</v>
      </c>
      <c r="AP650" s="2038"/>
      <c r="AQ650" s="2038"/>
      <c r="AR650" s="2038"/>
      <c r="AS650" s="2039"/>
      <c r="AZ650" s="61"/>
      <c r="BA650" s="61"/>
      <c r="BB650" s="61"/>
      <c r="BC650" s="61"/>
      <c r="BD650" s="61"/>
      <c r="BE650" s="61"/>
      <c r="BF650" s="61"/>
      <c r="BG650" s="61"/>
      <c r="BH650" s="61"/>
      <c r="BI650" s="61"/>
      <c r="BJ650" s="61"/>
      <c r="BK650" s="61"/>
      <c r="BL650" s="61"/>
      <c r="BM650" s="61"/>
      <c r="BN650" s="2024">
        <f t="shared" si="28"/>
        <v>0</v>
      </c>
      <c r="BO650" s="2025"/>
      <c r="BP650" s="2025"/>
      <c r="BQ650" s="2025"/>
      <c r="BR650" s="2026"/>
      <c r="BS650" s="2030">
        <f t="shared" si="29"/>
        <v>0</v>
      </c>
      <c r="BT650" s="2030"/>
      <c r="BU650" s="2030"/>
      <c r="BV650" s="2030"/>
      <c r="BW650" s="2030"/>
      <c r="BX650" s="2030">
        <f t="shared" si="30"/>
        <v>0</v>
      </c>
      <c r="BY650" s="2030"/>
      <c r="BZ650" s="2030"/>
      <c r="CA650" s="2030"/>
      <c r="CB650" s="2030"/>
      <c r="CC650" s="2030">
        <f t="shared" si="31"/>
        <v>0</v>
      </c>
      <c r="CD650" s="2030"/>
      <c r="CE650" s="2030"/>
      <c r="CF650" s="2030"/>
      <c r="CG650" s="2030"/>
      <c r="CH650" s="2030">
        <f t="shared" si="32"/>
        <v>0</v>
      </c>
      <c r="CI650" s="2030"/>
      <c r="CJ650" s="2030"/>
      <c r="CK650" s="2030"/>
      <c r="CL650" s="2030"/>
      <c r="CM650" s="2030">
        <f t="shared" si="33"/>
        <v>0</v>
      </c>
      <c r="CN650" s="2030"/>
      <c r="CO650" s="2030"/>
      <c r="CP650" s="2030"/>
      <c r="CQ650" s="2030"/>
      <c r="CR650" s="265"/>
      <c r="CS650" s="2024">
        <f t="shared" si="34"/>
        <v>0</v>
      </c>
      <c r="CT650" s="2025"/>
      <c r="CU650" s="2025"/>
      <c r="CV650" s="2025"/>
      <c r="CW650" s="2026"/>
      <c r="CX650" s="2024">
        <f t="shared" si="35"/>
        <v>0</v>
      </c>
      <c r="CY650" s="2025"/>
      <c r="CZ650" s="2025"/>
      <c r="DA650" s="2025"/>
      <c r="DB650" s="2026"/>
      <c r="DC650" s="2024">
        <f t="shared" si="36"/>
        <v>0</v>
      </c>
      <c r="DD650" s="2025"/>
      <c r="DE650" s="2025"/>
      <c r="DF650" s="2025"/>
      <c r="DG650" s="2026"/>
      <c r="DH650" s="2024">
        <f t="shared" si="37"/>
        <v>0</v>
      </c>
      <c r="DI650" s="2025"/>
      <c r="DJ650" s="2025"/>
      <c r="DK650" s="2025"/>
      <c r="DL650" s="2026"/>
      <c r="DM650" s="2024">
        <f t="shared" si="38"/>
        <v>0</v>
      </c>
      <c r="DN650" s="2025"/>
      <c r="DO650" s="2025"/>
      <c r="DP650" s="2025"/>
      <c r="DQ650" s="2026"/>
      <c r="DR650" s="2024">
        <f t="shared" si="39"/>
        <v>0</v>
      </c>
      <c r="DS650" s="2025"/>
      <c r="DT650" s="2025"/>
      <c r="DU650" s="2025"/>
      <c r="DV650" s="2026"/>
      <c r="DX650" s="2034" t="e">
        <f t="shared" si="22"/>
        <v>#VALUE!</v>
      </c>
      <c r="DY650" s="2034"/>
      <c r="DZ650" s="2034"/>
      <c r="EA650" s="2034"/>
      <c r="EB650" s="2034"/>
      <c r="EC650" s="2034" t="e">
        <f t="shared" si="23"/>
        <v>#VALUE!</v>
      </c>
      <c r="ED650" s="2034"/>
      <c r="EE650" s="2034"/>
      <c r="EF650" s="2034"/>
      <c r="EG650" s="2034"/>
      <c r="EH650" s="2034" t="e">
        <f t="shared" si="24"/>
        <v>#VALUE!</v>
      </c>
      <c r="EI650" s="2034"/>
      <c r="EJ650" s="2034"/>
      <c r="EK650" s="2034"/>
      <c r="EL650" s="2034"/>
      <c r="EM650" s="2034" t="e">
        <f t="shared" si="25"/>
        <v>#VALUE!</v>
      </c>
      <c r="EN650" s="2034"/>
      <c r="EO650" s="2034"/>
      <c r="EP650" s="2034"/>
      <c r="EQ650" s="2034"/>
      <c r="ER650" s="2034" t="e">
        <f t="shared" si="26"/>
        <v>#VALUE!</v>
      </c>
      <c r="ES650" s="2034"/>
      <c r="ET650" s="2034"/>
      <c r="EU650" s="2034"/>
      <c r="EV650" s="2034"/>
      <c r="EW650" s="2034" t="e">
        <f t="shared" si="27"/>
        <v>#VALUE!</v>
      </c>
      <c r="EX650" s="2034"/>
      <c r="EY650" s="2034"/>
      <c r="EZ650" s="2034"/>
      <c r="FA650" s="2034"/>
    </row>
    <row r="651" spans="1:157" ht="12.75" customHeight="1">
      <c r="B651" s="2422" t="s">
        <v>274</v>
      </c>
      <c r="C651" s="2423"/>
      <c r="D651" s="2423"/>
      <c r="E651" s="2423"/>
      <c r="F651" s="2423"/>
      <c r="G651" s="2423"/>
      <c r="H651" s="2423"/>
      <c r="I651" s="2423"/>
      <c r="J651" s="2423"/>
      <c r="K651" s="2423"/>
      <c r="L651" s="2423"/>
      <c r="M651" s="2423"/>
      <c r="N651" s="2423"/>
      <c r="O651" s="2423"/>
      <c r="P651" s="2423"/>
      <c r="Q651" s="2423"/>
      <c r="R651" s="2423"/>
      <c r="S651" s="2423"/>
      <c r="T651" s="2423"/>
      <c r="U651" s="2423"/>
      <c r="V651" s="2423"/>
      <c r="W651" s="2423"/>
      <c r="X651" s="2423"/>
      <c r="Y651" s="2423"/>
      <c r="Z651" s="2423"/>
      <c r="AA651" s="2423"/>
      <c r="AB651" s="2423"/>
      <c r="AC651" s="2423"/>
      <c r="AD651" s="2423"/>
      <c r="AE651" s="2423"/>
      <c r="AF651" s="2423"/>
      <c r="AG651" s="2423"/>
      <c r="AH651" s="2423"/>
      <c r="AI651" s="2423"/>
      <c r="AJ651" s="2423"/>
      <c r="AK651" s="2423"/>
      <c r="AL651" s="2423"/>
      <c r="AM651" s="2423"/>
      <c r="AN651" s="2424"/>
      <c r="AO651" s="2205">
        <f>AO649+AO650</f>
        <v>25826330</v>
      </c>
      <c r="AP651" s="2206"/>
      <c r="AQ651" s="2206"/>
      <c r="AR651" s="2206"/>
      <c r="AS651" s="2207"/>
      <c r="AZ651" s="61"/>
      <c r="BA651" s="61"/>
      <c r="BB651" s="61"/>
      <c r="BC651" s="61"/>
      <c r="BD651" s="61"/>
      <c r="BE651" s="61"/>
      <c r="BF651" s="61"/>
      <c r="BG651" s="61"/>
      <c r="BH651" s="61"/>
      <c r="BI651" s="61"/>
      <c r="BJ651" s="61"/>
      <c r="BK651" s="61"/>
      <c r="BL651" s="61"/>
      <c r="BM651" s="61"/>
      <c r="BN651" s="2024">
        <f t="shared" si="28"/>
        <v>0</v>
      </c>
      <c r="BO651" s="2025"/>
      <c r="BP651" s="2025"/>
      <c r="BQ651" s="2025"/>
      <c r="BR651" s="2026"/>
      <c r="BS651" s="2030">
        <f t="shared" si="29"/>
        <v>0</v>
      </c>
      <c r="BT651" s="2030"/>
      <c r="BU651" s="2030"/>
      <c r="BV651" s="2030"/>
      <c r="BW651" s="2030"/>
      <c r="BX651" s="2030">
        <f t="shared" si="30"/>
        <v>0</v>
      </c>
      <c r="BY651" s="2030"/>
      <c r="BZ651" s="2030"/>
      <c r="CA651" s="2030"/>
      <c r="CB651" s="2030"/>
      <c r="CC651" s="2030">
        <f t="shared" si="31"/>
        <v>0</v>
      </c>
      <c r="CD651" s="2030"/>
      <c r="CE651" s="2030"/>
      <c r="CF651" s="2030"/>
      <c r="CG651" s="2030"/>
      <c r="CH651" s="2030">
        <f t="shared" si="32"/>
        <v>0</v>
      </c>
      <c r="CI651" s="2030"/>
      <c r="CJ651" s="2030"/>
      <c r="CK651" s="2030"/>
      <c r="CL651" s="2030"/>
      <c r="CM651" s="2030">
        <f t="shared" si="33"/>
        <v>0</v>
      </c>
      <c r="CN651" s="2030"/>
      <c r="CO651" s="2030"/>
      <c r="CP651" s="2030"/>
      <c r="CQ651" s="2030"/>
      <c r="CR651" s="265"/>
      <c r="CS651" s="2024">
        <f t="shared" si="34"/>
        <v>0</v>
      </c>
      <c r="CT651" s="2025"/>
      <c r="CU651" s="2025"/>
      <c r="CV651" s="2025"/>
      <c r="CW651" s="2026"/>
      <c r="CX651" s="2024">
        <f t="shared" si="35"/>
        <v>0</v>
      </c>
      <c r="CY651" s="2025"/>
      <c r="CZ651" s="2025"/>
      <c r="DA651" s="2025"/>
      <c r="DB651" s="2026"/>
      <c r="DC651" s="2024">
        <f t="shared" si="36"/>
        <v>0</v>
      </c>
      <c r="DD651" s="2025"/>
      <c r="DE651" s="2025"/>
      <c r="DF651" s="2025"/>
      <c r="DG651" s="2026"/>
      <c r="DH651" s="2024">
        <f t="shared" si="37"/>
        <v>0</v>
      </c>
      <c r="DI651" s="2025"/>
      <c r="DJ651" s="2025"/>
      <c r="DK651" s="2025"/>
      <c r="DL651" s="2026"/>
      <c r="DM651" s="2024">
        <f t="shared" si="38"/>
        <v>0</v>
      </c>
      <c r="DN651" s="2025"/>
      <c r="DO651" s="2025"/>
      <c r="DP651" s="2025"/>
      <c r="DQ651" s="2026"/>
      <c r="DR651" s="2024">
        <f t="shared" si="39"/>
        <v>0</v>
      </c>
      <c r="DS651" s="2025"/>
      <c r="DT651" s="2025"/>
      <c r="DU651" s="2025"/>
      <c r="DV651" s="2026"/>
      <c r="DX651" s="2034" t="e">
        <f t="shared" si="22"/>
        <v>#VALUE!</v>
      </c>
      <c r="DY651" s="2034"/>
      <c r="DZ651" s="2034"/>
      <c r="EA651" s="2034"/>
      <c r="EB651" s="2034"/>
      <c r="EC651" s="2034" t="e">
        <f t="shared" si="23"/>
        <v>#VALUE!</v>
      </c>
      <c r="ED651" s="2034"/>
      <c r="EE651" s="2034"/>
      <c r="EF651" s="2034"/>
      <c r="EG651" s="2034"/>
      <c r="EH651" s="2034" t="e">
        <f t="shared" si="24"/>
        <v>#VALUE!</v>
      </c>
      <c r="EI651" s="2034"/>
      <c r="EJ651" s="2034"/>
      <c r="EK651" s="2034"/>
      <c r="EL651" s="2034"/>
      <c r="EM651" s="2034" t="e">
        <f t="shared" si="25"/>
        <v>#VALUE!</v>
      </c>
      <c r="EN651" s="2034"/>
      <c r="EO651" s="2034"/>
      <c r="EP651" s="2034"/>
      <c r="EQ651" s="2034"/>
      <c r="ER651" s="2034" t="e">
        <f t="shared" si="26"/>
        <v>#VALUE!</v>
      </c>
      <c r="ES651" s="2034"/>
      <c r="ET651" s="2034"/>
      <c r="EU651" s="2034"/>
      <c r="EV651" s="2034"/>
      <c r="EW651" s="2034" t="e">
        <f t="shared" si="27"/>
        <v>#VALUE!</v>
      </c>
      <c r="EX651" s="2034"/>
      <c r="EY651" s="2034"/>
      <c r="EZ651" s="2034"/>
      <c r="FA651" s="203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4">
        <f t="shared" si="28"/>
        <v>0</v>
      </c>
      <c r="BO652" s="2025"/>
      <c r="BP652" s="2025"/>
      <c r="BQ652" s="2025"/>
      <c r="BR652" s="2026"/>
      <c r="BS652" s="2030">
        <f t="shared" si="29"/>
        <v>0</v>
      </c>
      <c r="BT652" s="2030"/>
      <c r="BU652" s="2030"/>
      <c r="BV652" s="2030"/>
      <c r="BW652" s="2030"/>
      <c r="BX652" s="2030">
        <f t="shared" si="30"/>
        <v>0</v>
      </c>
      <c r="BY652" s="2030"/>
      <c r="BZ652" s="2030"/>
      <c r="CA652" s="2030"/>
      <c r="CB652" s="2030"/>
      <c r="CC652" s="2030">
        <f t="shared" si="31"/>
        <v>0</v>
      </c>
      <c r="CD652" s="2030"/>
      <c r="CE652" s="2030"/>
      <c r="CF652" s="2030"/>
      <c r="CG652" s="2030"/>
      <c r="CH652" s="2030">
        <f t="shared" si="32"/>
        <v>0</v>
      </c>
      <c r="CI652" s="2030"/>
      <c r="CJ652" s="2030"/>
      <c r="CK652" s="2030"/>
      <c r="CL652" s="2030"/>
      <c r="CM652" s="2030">
        <f t="shared" si="33"/>
        <v>0</v>
      </c>
      <c r="CN652" s="2030"/>
      <c r="CO652" s="2030"/>
      <c r="CP652" s="2030"/>
      <c r="CQ652" s="2030"/>
      <c r="CR652" s="265"/>
      <c r="CS652" s="2024">
        <f t="shared" si="34"/>
        <v>0</v>
      </c>
      <c r="CT652" s="2025"/>
      <c r="CU652" s="2025"/>
      <c r="CV652" s="2025"/>
      <c r="CW652" s="2026"/>
      <c r="CX652" s="2024">
        <f t="shared" si="35"/>
        <v>0</v>
      </c>
      <c r="CY652" s="2025"/>
      <c r="CZ652" s="2025"/>
      <c r="DA652" s="2025"/>
      <c r="DB652" s="2026"/>
      <c r="DC652" s="2024">
        <f t="shared" si="36"/>
        <v>0</v>
      </c>
      <c r="DD652" s="2025"/>
      <c r="DE652" s="2025"/>
      <c r="DF652" s="2025"/>
      <c r="DG652" s="2026"/>
      <c r="DH652" s="2024">
        <f t="shared" si="37"/>
        <v>0</v>
      </c>
      <c r="DI652" s="2025"/>
      <c r="DJ652" s="2025"/>
      <c r="DK652" s="2025"/>
      <c r="DL652" s="2026"/>
      <c r="DM652" s="2024">
        <f t="shared" si="38"/>
        <v>0</v>
      </c>
      <c r="DN652" s="2025"/>
      <c r="DO652" s="2025"/>
      <c r="DP652" s="2025"/>
      <c r="DQ652" s="2026"/>
      <c r="DR652" s="2024">
        <f t="shared" si="39"/>
        <v>0</v>
      </c>
      <c r="DS652" s="2025"/>
      <c r="DT652" s="2025"/>
      <c r="DU652" s="2025"/>
      <c r="DV652" s="2026"/>
      <c r="DX652" s="2034" t="e">
        <f t="shared" si="22"/>
        <v>#VALUE!</v>
      </c>
      <c r="DY652" s="2034"/>
      <c r="DZ652" s="2034"/>
      <c r="EA652" s="2034"/>
      <c r="EB652" s="2034"/>
      <c r="EC652" s="2034" t="e">
        <f t="shared" si="23"/>
        <v>#VALUE!</v>
      </c>
      <c r="ED652" s="2034"/>
      <c r="EE652" s="2034"/>
      <c r="EF652" s="2034"/>
      <c r="EG652" s="2034"/>
      <c r="EH652" s="2034" t="e">
        <f t="shared" si="24"/>
        <v>#VALUE!</v>
      </c>
      <c r="EI652" s="2034"/>
      <c r="EJ652" s="2034"/>
      <c r="EK652" s="2034"/>
      <c r="EL652" s="2034"/>
      <c r="EM652" s="2034" t="e">
        <f t="shared" si="25"/>
        <v>#VALUE!</v>
      </c>
      <c r="EN652" s="2034"/>
      <c r="EO652" s="2034"/>
      <c r="EP652" s="2034"/>
      <c r="EQ652" s="2034"/>
      <c r="ER652" s="2034" t="e">
        <f t="shared" si="26"/>
        <v>#VALUE!</v>
      </c>
      <c r="ES652" s="2034"/>
      <c r="ET652" s="2034"/>
      <c r="EU652" s="2034"/>
      <c r="EV652" s="2034"/>
      <c r="EW652" s="2034" t="e">
        <f t="shared" si="27"/>
        <v>#VALUE!</v>
      </c>
      <c r="EX652" s="2034"/>
      <c r="EY652" s="2034"/>
      <c r="EZ652" s="2034"/>
      <c r="FA652" s="2034"/>
    </row>
    <row r="653" spans="1:157" ht="12.5">
      <c r="A653" s="87" t="s">
        <v>117</v>
      </c>
      <c r="B653" s="12" t="s">
        <v>496</v>
      </c>
      <c r="G653" s="2036" t="str">
        <f>C637</f>
        <v>BofA Tax-Exempt Perm Loan</v>
      </c>
      <c r="H653" s="2036"/>
      <c r="I653" s="2036"/>
      <c r="J653" s="2036"/>
      <c r="K653" s="2036"/>
      <c r="L653" s="2036"/>
      <c r="M653" s="2036"/>
      <c r="N653" s="2036"/>
      <c r="O653" s="2036"/>
      <c r="P653" s="2036"/>
      <c r="Q653" s="2036"/>
      <c r="R653" s="2036"/>
      <c r="S653" s="14"/>
      <c r="T653" s="87" t="s">
        <v>118</v>
      </c>
      <c r="U653" s="12" t="s">
        <v>496</v>
      </c>
      <c r="Z653" s="2036" t="str">
        <f>C638</f>
        <v>Orange County Housing Finance Trust</v>
      </c>
      <c r="AA653" s="2036"/>
      <c r="AB653" s="2036"/>
      <c r="AC653" s="2036"/>
      <c r="AD653" s="2036"/>
      <c r="AE653" s="2036"/>
      <c r="AF653" s="2036"/>
      <c r="AG653" s="2036"/>
      <c r="AH653" s="2036"/>
      <c r="AI653" s="2036"/>
      <c r="AJ653" s="2036"/>
      <c r="AK653" s="2036"/>
      <c r="AZ653" s="61"/>
      <c r="BA653" s="61"/>
      <c r="BB653" s="61"/>
      <c r="BC653" s="61"/>
      <c r="BD653" s="61"/>
      <c r="BE653" s="61"/>
      <c r="BF653" s="61"/>
      <c r="BG653" s="61"/>
      <c r="BH653" s="61"/>
      <c r="BI653" s="61"/>
      <c r="BJ653" s="61"/>
      <c r="BK653" s="61"/>
      <c r="BL653" s="61"/>
      <c r="BM653" s="61"/>
      <c r="BN653" s="2024">
        <f t="shared" si="28"/>
        <v>0</v>
      </c>
      <c r="BO653" s="2025"/>
      <c r="BP653" s="2025"/>
      <c r="BQ653" s="2025"/>
      <c r="BR653" s="2026"/>
      <c r="BS653" s="2030">
        <f t="shared" si="29"/>
        <v>0</v>
      </c>
      <c r="BT653" s="2030"/>
      <c r="BU653" s="2030"/>
      <c r="BV653" s="2030"/>
      <c r="BW653" s="2030"/>
      <c r="BX653" s="2030">
        <f t="shared" si="30"/>
        <v>0</v>
      </c>
      <c r="BY653" s="2030"/>
      <c r="BZ653" s="2030"/>
      <c r="CA653" s="2030"/>
      <c r="CB653" s="2030"/>
      <c r="CC653" s="2030">
        <f t="shared" si="31"/>
        <v>0</v>
      </c>
      <c r="CD653" s="2030"/>
      <c r="CE653" s="2030"/>
      <c r="CF653" s="2030"/>
      <c r="CG653" s="2030"/>
      <c r="CH653" s="2030">
        <f t="shared" si="32"/>
        <v>0</v>
      </c>
      <c r="CI653" s="2030"/>
      <c r="CJ653" s="2030"/>
      <c r="CK653" s="2030"/>
      <c r="CL653" s="2030"/>
      <c r="CM653" s="2030">
        <f t="shared" si="33"/>
        <v>0</v>
      </c>
      <c r="CN653" s="2030"/>
      <c r="CO653" s="2030"/>
      <c r="CP653" s="2030"/>
      <c r="CQ653" s="2030"/>
      <c r="CR653" s="265"/>
      <c r="CS653" s="2024">
        <f t="shared" si="34"/>
        <v>0</v>
      </c>
      <c r="CT653" s="2025"/>
      <c r="CU653" s="2025"/>
      <c r="CV653" s="2025"/>
      <c r="CW653" s="2026"/>
      <c r="CX653" s="2024">
        <f t="shared" si="35"/>
        <v>0</v>
      </c>
      <c r="CY653" s="2025"/>
      <c r="CZ653" s="2025"/>
      <c r="DA653" s="2025"/>
      <c r="DB653" s="2026"/>
      <c r="DC653" s="2024">
        <f t="shared" si="36"/>
        <v>0</v>
      </c>
      <c r="DD653" s="2025"/>
      <c r="DE653" s="2025"/>
      <c r="DF653" s="2025"/>
      <c r="DG653" s="2026"/>
      <c r="DH653" s="2024">
        <f t="shared" si="37"/>
        <v>0</v>
      </c>
      <c r="DI653" s="2025"/>
      <c r="DJ653" s="2025"/>
      <c r="DK653" s="2025"/>
      <c r="DL653" s="2026"/>
      <c r="DM653" s="2024">
        <f t="shared" si="38"/>
        <v>0</v>
      </c>
      <c r="DN653" s="2025"/>
      <c r="DO653" s="2025"/>
      <c r="DP653" s="2025"/>
      <c r="DQ653" s="2026"/>
      <c r="DR653" s="2024">
        <f t="shared" si="39"/>
        <v>0</v>
      </c>
      <c r="DS653" s="2025"/>
      <c r="DT653" s="2025"/>
      <c r="DU653" s="2025"/>
      <c r="DV653" s="2026"/>
      <c r="DX653" s="2034" t="e">
        <f t="shared" si="22"/>
        <v>#VALUE!</v>
      </c>
      <c r="DY653" s="2034"/>
      <c r="DZ653" s="2034"/>
      <c r="EA653" s="2034"/>
      <c r="EB653" s="2034"/>
      <c r="EC653" s="2034" t="e">
        <f t="shared" si="23"/>
        <v>#VALUE!</v>
      </c>
      <c r="ED653" s="2034"/>
      <c r="EE653" s="2034"/>
      <c r="EF653" s="2034"/>
      <c r="EG653" s="2034"/>
      <c r="EH653" s="2034" t="e">
        <f t="shared" si="24"/>
        <v>#VALUE!</v>
      </c>
      <c r="EI653" s="2034"/>
      <c r="EJ653" s="2034"/>
      <c r="EK653" s="2034"/>
      <c r="EL653" s="2034"/>
      <c r="EM653" s="2034" t="e">
        <f t="shared" si="25"/>
        <v>#VALUE!</v>
      </c>
      <c r="EN653" s="2034"/>
      <c r="EO653" s="2034"/>
      <c r="EP653" s="2034"/>
      <c r="EQ653" s="2034"/>
      <c r="ER653" s="2034" t="e">
        <f t="shared" si="26"/>
        <v>#VALUE!</v>
      </c>
      <c r="ES653" s="2034"/>
      <c r="ET653" s="2034"/>
      <c r="EU653" s="2034"/>
      <c r="EV653" s="2034"/>
      <c r="EW653" s="2034" t="e">
        <f t="shared" si="27"/>
        <v>#VALUE!</v>
      </c>
      <c r="EX653" s="2034"/>
      <c r="EY653" s="2034"/>
      <c r="EZ653" s="2034"/>
      <c r="FA653" s="2034"/>
    </row>
    <row r="654" spans="1:157" ht="12.5">
      <c r="A654" s="35"/>
      <c r="B654" s="12" t="s">
        <v>90</v>
      </c>
      <c r="G654" s="2054" t="s">
        <v>2536</v>
      </c>
      <c r="H654" s="2054"/>
      <c r="I654" s="2054"/>
      <c r="J654" s="2054"/>
      <c r="K654" s="2054"/>
      <c r="L654" s="2054"/>
      <c r="M654" s="2054"/>
      <c r="N654" s="2054"/>
      <c r="O654" s="2054"/>
      <c r="P654" s="2054"/>
      <c r="Q654" s="2054"/>
      <c r="R654" s="2054"/>
      <c r="S654" s="14"/>
      <c r="T654" s="35"/>
      <c r="U654" s="12" t="s">
        <v>90</v>
      </c>
      <c r="Z654" s="2054" t="s">
        <v>2613</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24">
        <f t="shared" si="28"/>
        <v>0</v>
      </c>
      <c r="BO654" s="2025"/>
      <c r="BP654" s="2025"/>
      <c r="BQ654" s="2025"/>
      <c r="BR654" s="2026"/>
      <c r="BS654" s="2030">
        <f t="shared" si="29"/>
        <v>0</v>
      </c>
      <c r="BT654" s="2030"/>
      <c r="BU654" s="2030"/>
      <c r="BV654" s="2030"/>
      <c r="BW654" s="2030"/>
      <c r="BX654" s="2030">
        <f t="shared" si="30"/>
        <v>0</v>
      </c>
      <c r="BY654" s="2030"/>
      <c r="BZ654" s="2030"/>
      <c r="CA654" s="2030"/>
      <c r="CB654" s="2030"/>
      <c r="CC654" s="2030">
        <f t="shared" si="31"/>
        <v>0</v>
      </c>
      <c r="CD654" s="2030"/>
      <c r="CE654" s="2030"/>
      <c r="CF654" s="2030"/>
      <c r="CG654" s="2030"/>
      <c r="CH654" s="2030">
        <f t="shared" si="32"/>
        <v>0</v>
      </c>
      <c r="CI654" s="2030"/>
      <c r="CJ654" s="2030"/>
      <c r="CK654" s="2030"/>
      <c r="CL654" s="2030"/>
      <c r="CM654" s="2030">
        <f t="shared" si="33"/>
        <v>0</v>
      </c>
      <c r="CN654" s="2030"/>
      <c r="CO654" s="2030"/>
      <c r="CP654" s="2030"/>
      <c r="CQ654" s="2030"/>
      <c r="CR654" s="265"/>
      <c r="CS654" s="2024">
        <f t="shared" si="34"/>
        <v>0</v>
      </c>
      <c r="CT654" s="2025"/>
      <c r="CU654" s="2025"/>
      <c r="CV654" s="2025"/>
      <c r="CW654" s="2026"/>
      <c r="CX654" s="2024">
        <f t="shared" si="35"/>
        <v>0</v>
      </c>
      <c r="CY654" s="2025"/>
      <c r="CZ654" s="2025"/>
      <c r="DA654" s="2025"/>
      <c r="DB654" s="2026"/>
      <c r="DC654" s="2024">
        <f t="shared" si="36"/>
        <v>0</v>
      </c>
      <c r="DD654" s="2025"/>
      <c r="DE654" s="2025"/>
      <c r="DF654" s="2025"/>
      <c r="DG654" s="2026"/>
      <c r="DH654" s="2024">
        <f t="shared" si="37"/>
        <v>0</v>
      </c>
      <c r="DI654" s="2025"/>
      <c r="DJ654" s="2025"/>
      <c r="DK654" s="2025"/>
      <c r="DL654" s="2026"/>
      <c r="DM654" s="2024">
        <f t="shared" si="38"/>
        <v>0</v>
      </c>
      <c r="DN654" s="2025"/>
      <c r="DO654" s="2025"/>
      <c r="DP654" s="2025"/>
      <c r="DQ654" s="2026"/>
      <c r="DR654" s="2024">
        <f t="shared" si="39"/>
        <v>0</v>
      </c>
      <c r="DS654" s="2025"/>
      <c r="DT654" s="2025"/>
      <c r="DU654" s="2025"/>
      <c r="DV654" s="2026"/>
      <c r="DX654" s="2034" t="e">
        <f t="shared" si="22"/>
        <v>#VALUE!</v>
      </c>
      <c r="DY654" s="2034"/>
      <c r="DZ654" s="2034"/>
      <c r="EA654" s="2034"/>
      <c r="EB654" s="2034"/>
      <c r="EC654" s="2034" t="e">
        <f t="shared" si="23"/>
        <v>#VALUE!</v>
      </c>
      <c r="ED654" s="2034"/>
      <c r="EE654" s="2034"/>
      <c r="EF654" s="2034"/>
      <c r="EG654" s="2034"/>
      <c r="EH654" s="2034" t="e">
        <f t="shared" si="24"/>
        <v>#VALUE!</v>
      </c>
      <c r="EI654" s="2034"/>
      <c r="EJ654" s="2034"/>
      <c r="EK654" s="2034"/>
      <c r="EL654" s="2034"/>
      <c r="EM654" s="2034" t="e">
        <f t="shared" si="25"/>
        <v>#VALUE!</v>
      </c>
      <c r="EN654" s="2034"/>
      <c r="EO654" s="2034"/>
      <c r="EP654" s="2034"/>
      <c r="EQ654" s="2034"/>
      <c r="ER654" s="2034" t="e">
        <f t="shared" si="26"/>
        <v>#VALUE!</v>
      </c>
      <c r="ES654" s="2034"/>
      <c r="ET654" s="2034"/>
      <c r="EU654" s="2034"/>
      <c r="EV654" s="2034"/>
      <c r="EW654" s="2034" t="e">
        <f t="shared" si="27"/>
        <v>#VALUE!</v>
      </c>
      <c r="EX654" s="2034"/>
      <c r="EY654" s="2034"/>
      <c r="EZ654" s="2034"/>
      <c r="FA654" s="2034"/>
    </row>
    <row r="655" spans="1:157" ht="12.5">
      <c r="A655" s="35"/>
      <c r="B655" s="12" t="s">
        <v>615</v>
      </c>
      <c r="G655" s="2054" t="s">
        <v>527</v>
      </c>
      <c r="H655" s="2054"/>
      <c r="I655" s="2054"/>
      <c r="J655" s="2054"/>
      <c r="K655" s="2054"/>
      <c r="L655" s="2054"/>
      <c r="M655" s="2054"/>
      <c r="N655" s="2054"/>
      <c r="O655" s="2054"/>
      <c r="P655" s="2054"/>
      <c r="Q655" s="2054"/>
      <c r="R655" s="2054"/>
      <c r="S655" s="88"/>
      <c r="T655" s="35"/>
      <c r="U655" s="12" t="s">
        <v>615</v>
      </c>
      <c r="Z655" s="2048" t="s">
        <v>2614</v>
      </c>
      <c r="AA655" s="2048"/>
      <c r="AB655" s="2048"/>
      <c r="AC655" s="2048"/>
      <c r="AD655" s="2048"/>
      <c r="AE655" s="2048"/>
      <c r="AF655" s="2048"/>
      <c r="AG655" s="2048"/>
      <c r="AH655" s="2048"/>
      <c r="AI655" s="2048"/>
      <c r="AJ655" s="2048"/>
      <c r="AK655" s="2048"/>
      <c r="AZ655" s="61"/>
      <c r="BA655" s="61"/>
      <c r="BB655" s="61"/>
      <c r="BC655" s="61"/>
      <c r="BD655" s="61"/>
      <c r="BE655" s="61"/>
      <c r="BF655" s="61"/>
      <c r="BG655" s="61"/>
      <c r="BH655" s="61"/>
      <c r="BI655" s="61"/>
      <c r="BJ655" s="61"/>
      <c r="BK655" s="61"/>
      <c r="BL655" s="61"/>
      <c r="BM655" s="61"/>
      <c r="BN655" s="2024">
        <f t="shared" si="28"/>
        <v>0</v>
      </c>
      <c r="BO655" s="2025"/>
      <c r="BP655" s="2025"/>
      <c r="BQ655" s="2025"/>
      <c r="BR655" s="2026"/>
      <c r="BS655" s="2030">
        <f t="shared" si="29"/>
        <v>0</v>
      </c>
      <c r="BT655" s="2030"/>
      <c r="BU655" s="2030"/>
      <c r="BV655" s="2030"/>
      <c r="BW655" s="2030"/>
      <c r="BX655" s="2030">
        <f t="shared" si="30"/>
        <v>0</v>
      </c>
      <c r="BY655" s="2030"/>
      <c r="BZ655" s="2030"/>
      <c r="CA655" s="2030"/>
      <c r="CB655" s="2030"/>
      <c r="CC655" s="2030">
        <f t="shared" si="31"/>
        <v>0</v>
      </c>
      <c r="CD655" s="2030"/>
      <c r="CE655" s="2030"/>
      <c r="CF655" s="2030"/>
      <c r="CG655" s="2030"/>
      <c r="CH655" s="2030">
        <f t="shared" si="32"/>
        <v>0</v>
      </c>
      <c r="CI655" s="2030"/>
      <c r="CJ655" s="2030"/>
      <c r="CK655" s="2030"/>
      <c r="CL655" s="2030"/>
      <c r="CM655" s="2030">
        <f t="shared" si="33"/>
        <v>0</v>
      </c>
      <c r="CN655" s="2030"/>
      <c r="CO655" s="2030"/>
      <c r="CP655" s="2030"/>
      <c r="CQ655" s="2030"/>
      <c r="CR655" s="265"/>
      <c r="CS655" s="2024">
        <f t="shared" si="34"/>
        <v>0</v>
      </c>
      <c r="CT655" s="2025"/>
      <c r="CU655" s="2025"/>
      <c r="CV655" s="2025"/>
      <c r="CW655" s="2026"/>
      <c r="CX655" s="2024">
        <f t="shared" si="35"/>
        <v>0</v>
      </c>
      <c r="CY655" s="2025"/>
      <c r="CZ655" s="2025"/>
      <c r="DA655" s="2025"/>
      <c r="DB655" s="2026"/>
      <c r="DC655" s="2024">
        <f t="shared" si="36"/>
        <v>0</v>
      </c>
      <c r="DD655" s="2025"/>
      <c r="DE655" s="2025"/>
      <c r="DF655" s="2025"/>
      <c r="DG655" s="2026"/>
      <c r="DH655" s="2024">
        <f t="shared" si="37"/>
        <v>0</v>
      </c>
      <c r="DI655" s="2025"/>
      <c r="DJ655" s="2025"/>
      <c r="DK655" s="2025"/>
      <c r="DL655" s="2026"/>
      <c r="DM655" s="2024">
        <f t="shared" si="38"/>
        <v>0</v>
      </c>
      <c r="DN655" s="2025"/>
      <c r="DO655" s="2025"/>
      <c r="DP655" s="2025"/>
      <c r="DQ655" s="2026"/>
      <c r="DR655" s="2024">
        <f t="shared" si="39"/>
        <v>0</v>
      </c>
      <c r="DS655" s="2025"/>
      <c r="DT655" s="2025"/>
      <c r="DU655" s="2025"/>
      <c r="DV655" s="2026"/>
      <c r="DX655" s="2034" t="e">
        <f t="shared" si="22"/>
        <v>#VALUE!</v>
      </c>
      <c r="DY655" s="2034"/>
      <c r="DZ655" s="2034"/>
      <c r="EA655" s="2034"/>
      <c r="EB655" s="2034"/>
      <c r="EC655" s="2034" t="e">
        <f t="shared" si="23"/>
        <v>#VALUE!</v>
      </c>
      <c r="ED655" s="2034"/>
      <c r="EE655" s="2034"/>
      <c r="EF655" s="2034"/>
      <c r="EG655" s="2034"/>
      <c r="EH655" s="2034" t="e">
        <f t="shared" si="24"/>
        <v>#VALUE!</v>
      </c>
      <c r="EI655" s="2034"/>
      <c r="EJ655" s="2034"/>
      <c r="EK655" s="2034"/>
      <c r="EL655" s="2034"/>
      <c r="EM655" s="2034" t="e">
        <f t="shared" si="25"/>
        <v>#VALUE!</v>
      </c>
      <c r="EN655" s="2034"/>
      <c r="EO655" s="2034"/>
      <c r="EP655" s="2034"/>
      <c r="EQ655" s="2034"/>
      <c r="ER655" s="2034" t="e">
        <f t="shared" si="26"/>
        <v>#VALUE!</v>
      </c>
      <c r="ES655" s="2034"/>
      <c r="ET655" s="2034"/>
      <c r="EU655" s="2034"/>
      <c r="EV655" s="2034"/>
      <c r="EW655" s="2034" t="e">
        <f t="shared" si="27"/>
        <v>#VALUE!</v>
      </c>
      <c r="EX655" s="2034"/>
      <c r="EY655" s="2034"/>
      <c r="EZ655" s="2034"/>
      <c r="FA655" s="2034"/>
    </row>
    <row r="656" spans="1:157" ht="12.5">
      <c r="A656" s="35"/>
      <c r="B656" s="12" t="s">
        <v>17</v>
      </c>
      <c r="G656" s="2054" t="s">
        <v>2538</v>
      </c>
      <c r="H656" s="2054"/>
      <c r="I656" s="2054"/>
      <c r="J656" s="2054"/>
      <c r="K656" s="2054"/>
      <c r="L656" s="2054"/>
      <c r="M656" s="2054"/>
      <c r="N656" s="2054"/>
      <c r="O656" s="2054"/>
      <c r="P656" s="2054"/>
      <c r="Q656" s="2054"/>
      <c r="R656" s="2054"/>
      <c r="S656" s="14"/>
      <c r="T656" s="35"/>
      <c r="U656" s="12" t="s">
        <v>17</v>
      </c>
      <c r="Z656" s="2048" t="s">
        <v>2612</v>
      </c>
      <c r="AA656" s="2048"/>
      <c r="AB656" s="2048"/>
      <c r="AC656" s="2048"/>
      <c r="AD656" s="2048"/>
      <c r="AE656" s="2048"/>
      <c r="AF656" s="2048"/>
      <c r="AG656" s="2048"/>
      <c r="AH656" s="2048"/>
      <c r="AI656" s="2048"/>
      <c r="AJ656" s="2048"/>
      <c r="AK656" s="2048"/>
      <c r="AZ656" s="61"/>
      <c r="BA656" s="61"/>
      <c r="BB656" s="61"/>
      <c r="BC656" s="61"/>
      <c r="BD656" s="61"/>
      <c r="BE656" s="61"/>
      <c r="BF656" s="61"/>
      <c r="BG656" s="61"/>
      <c r="BH656" s="61"/>
      <c r="BI656" s="61"/>
      <c r="BJ656" s="61"/>
      <c r="BK656" s="61"/>
      <c r="BL656" s="61"/>
      <c r="BM656" s="61"/>
      <c r="BN656" s="2024">
        <f t="shared" si="28"/>
        <v>0</v>
      </c>
      <c r="BO656" s="2025"/>
      <c r="BP656" s="2025"/>
      <c r="BQ656" s="2025"/>
      <c r="BR656" s="2026"/>
      <c r="BS656" s="2030">
        <f t="shared" si="29"/>
        <v>0</v>
      </c>
      <c r="BT656" s="2030"/>
      <c r="BU656" s="2030"/>
      <c r="BV656" s="2030"/>
      <c r="BW656" s="2030"/>
      <c r="BX656" s="2030">
        <f t="shared" si="30"/>
        <v>0</v>
      </c>
      <c r="BY656" s="2030"/>
      <c r="BZ656" s="2030"/>
      <c r="CA656" s="2030"/>
      <c r="CB656" s="2030"/>
      <c r="CC656" s="2030">
        <f t="shared" si="31"/>
        <v>0</v>
      </c>
      <c r="CD656" s="2030"/>
      <c r="CE656" s="2030"/>
      <c r="CF656" s="2030"/>
      <c r="CG656" s="2030"/>
      <c r="CH656" s="2030">
        <f t="shared" si="32"/>
        <v>0</v>
      </c>
      <c r="CI656" s="2030"/>
      <c r="CJ656" s="2030"/>
      <c r="CK656" s="2030"/>
      <c r="CL656" s="2030"/>
      <c r="CM656" s="2030">
        <f t="shared" si="33"/>
        <v>0</v>
      </c>
      <c r="CN656" s="2030"/>
      <c r="CO656" s="2030"/>
      <c r="CP656" s="2030"/>
      <c r="CQ656" s="2030"/>
      <c r="CR656" s="265"/>
      <c r="CS656" s="2024">
        <f t="shared" si="34"/>
        <v>0</v>
      </c>
      <c r="CT656" s="2025"/>
      <c r="CU656" s="2025"/>
      <c r="CV656" s="2025"/>
      <c r="CW656" s="2026"/>
      <c r="CX656" s="2024">
        <f t="shared" si="35"/>
        <v>0</v>
      </c>
      <c r="CY656" s="2025"/>
      <c r="CZ656" s="2025"/>
      <c r="DA656" s="2025"/>
      <c r="DB656" s="2026"/>
      <c r="DC656" s="2024">
        <f t="shared" si="36"/>
        <v>0</v>
      </c>
      <c r="DD656" s="2025"/>
      <c r="DE656" s="2025"/>
      <c r="DF656" s="2025"/>
      <c r="DG656" s="2026"/>
      <c r="DH656" s="2024">
        <f t="shared" si="37"/>
        <v>0</v>
      </c>
      <c r="DI656" s="2025"/>
      <c r="DJ656" s="2025"/>
      <c r="DK656" s="2025"/>
      <c r="DL656" s="2026"/>
      <c r="DM656" s="2024">
        <f t="shared" si="38"/>
        <v>0</v>
      </c>
      <c r="DN656" s="2025"/>
      <c r="DO656" s="2025"/>
      <c r="DP656" s="2025"/>
      <c r="DQ656" s="2026"/>
      <c r="DR656" s="2024">
        <f t="shared" si="39"/>
        <v>0</v>
      </c>
      <c r="DS656" s="2025"/>
      <c r="DT656" s="2025"/>
      <c r="DU656" s="2025"/>
      <c r="DV656" s="2026"/>
      <c r="DX656" s="2034" t="e">
        <f t="shared" si="22"/>
        <v>#VALUE!</v>
      </c>
      <c r="DY656" s="2034"/>
      <c r="DZ656" s="2034"/>
      <c r="EA656" s="2034"/>
      <c r="EB656" s="2034"/>
      <c r="EC656" s="2034" t="e">
        <f t="shared" si="23"/>
        <v>#VALUE!</v>
      </c>
      <c r="ED656" s="2034"/>
      <c r="EE656" s="2034"/>
      <c r="EF656" s="2034"/>
      <c r="EG656" s="2034"/>
      <c r="EH656" s="2034" t="e">
        <f t="shared" si="24"/>
        <v>#VALUE!</v>
      </c>
      <c r="EI656" s="2034"/>
      <c r="EJ656" s="2034"/>
      <c r="EK656" s="2034"/>
      <c r="EL656" s="2034"/>
      <c r="EM656" s="2034" t="e">
        <f t="shared" si="25"/>
        <v>#VALUE!</v>
      </c>
      <c r="EN656" s="2034"/>
      <c r="EO656" s="2034"/>
      <c r="EP656" s="2034"/>
      <c r="EQ656" s="2034"/>
      <c r="ER656" s="2034" t="e">
        <f t="shared" si="26"/>
        <v>#VALUE!</v>
      </c>
      <c r="ES656" s="2034"/>
      <c r="ET656" s="2034"/>
      <c r="EU656" s="2034"/>
      <c r="EV656" s="2034"/>
      <c r="EW656" s="2034" t="e">
        <f t="shared" si="27"/>
        <v>#VALUE!</v>
      </c>
      <c r="EX656" s="2034"/>
      <c r="EY656" s="2034"/>
      <c r="EZ656" s="2034"/>
      <c r="FA656" s="2034"/>
    </row>
    <row r="657" spans="1:157" ht="12.5">
      <c r="A657" s="35"/>
      <c r="B657" s="12" t="s">
        <v>325</v>
      </c>
      <c r="G657" s="2078">
        <v>2136217590</v>
      </c>
      <c r="H657" s="2078"/>
      <c r="I657" s="2078"/>
      <c r="J657" s="2078"/>
      <c r="K657" s="2078"/>
      <c r="L657" s="2078"/>
      <c r="O657" s="137" t="s">
        <v>212</v>
      </c>
      <c r="P657" s="2047"/>
      <c r="Q657" s="2047"/>
      <c r="R657" s="2047"/>
      <c r="S657" s="16"/>
      <c r="T657" s="35"/>
      <c r="U657" s="12" t="s">
        <v>325</v>
      </c>
      <c r="Z657" s="2078">
        <v>9097067193</v>
      </c>
      <c r="AA657" s="2078"/>
      <c r="AB657" s="2078"/>
      <c r="AC657" s="2078"/>
      <c r="AD657" s="2078"/>
      <c r="AE657" s="2078"/>
      <c r="AH657" s="137" t="s">
        <v>212</v>
      </c>
      <c r="AI657" s="2047"/>
      <c r="AJ657" s="2047"/>
      <c r="AK657" s="2047"/>
      <c r="AZ657" s="61"/>
      <c r="BA657" s="61"/>
      <c r="BB657" s="61"/>
      <c r="BC657" s="61"/>
      <c r="BD657" s="61"/>
      <c r="BE657" s="61"/>
      <c r="BF657" s="61"/>
      <c r="BG657" s="61"/>
      <c r="BH657" s="61"/>
      <c r="BI657" s="61"/>
      <c r="BJ657" s="61"/>
      <c r="BK657" s="61"/>
      <c r="BL657" s="61"/>
      <c r="BM657" s="61"/>
      <c r="BN657" s="2024">
        <f t="shared" si="28"/>
        <v>0</v>
      </c>
      <c r="BO657" s="2025"/>
      <c r="BP657" s="2025"/>
      <c r="BQ657" s="2025"/>
      <c r="BR657" s="2026"/>
      <c r="BS657" s="2030">
        <f t="shared" si="29"/>
        <v>0</v>
      </c>
      <c r="BT657" s="2030"/>
      <c r="BU657" s="2030"/>
      <c r="BV657" s="2030"/>
      <c r="BW657" s="2030"/>
      <c r="BX657" s="2030">
        <f t="shared" si="30"/>
        <v>0</v>
      </c>
      <c r="BY657" s="2030"/>
      <c r="BZ657" s="2030"/>
      <c r="CA657" s="2030"/>
      <c r="CB657" s="2030"/>
      <c r="CC657" s="2030">
        <f t="shared" si="31"/>
        <v>0</v>
      </c>
      <c r="CD657" s="2030"/>
      <c r="CE657" s="2030"/>
      <c r="CF657" s="2030"/>
      <c r="CG657" s="2030"/>
      <c r="CH657" s="2030">
        <f t="shared" si="32"/>
        <v>0</v>
      </c>
      <c r="CI657" s="2030"/>
      <c r="CJ657" s="2030"/>
      <c r="CK657" s="2030"/>
      <c r="CL657" s="2030"/>
      <c r="CM657" s="2030">
        <f t="shared" si="33"/>
        <v>0</v>
      </c>
      <c r="CN657" s="2030"/>
      <c r="CO657" s="2030"/>
      <c r="CP657" s="2030"/>
      <c r="CQ657" s="2030"/>
      <c r="CR657" s="265"/>
      <c r="CS657" s="2024">
        <f t="shared" si="34"/>
        <v>0</v>
      </c>
      <c r="CT657" s="2025"/>
      <c r="CU657" s="2025"/>
      <c r="CV657" s="2025"/>
      <c r="CW657" s="2026"/>
      <c r="CX657" s="2024">
        <f t="shared" si="35"/>
        <v>0</v>
      </c>
      <c r="CY657" s="2025"/>
      <c r="CZ657" s="2025"/>
      <c r="DA657" s="2025"/>
      <c r="DB657" s="2026"/>
      <c r="DC657" s="2024">
        <f t="shared" si="36"/>
        <v>0</v>
      </c>
      <c r="DD657" s="2025"/>
      <c r="DE657" s="2025"/>
      <c r="DF657" s="2025"/>
      <c r="DG657" s="2026"/>
      <c r="DH657" s="2024">
        <f t="shared" si="37"/>
        <v>0</v>
      </c>
      <c r="DI657" s="2025"/>
      <c r="DJ657" s="2025"/>
      <c r="DK657" s="2025"/>
      <c r="DL657" s="2026"/>
      <c r="DM657" s="2024">
        <f t="shared" si="38"/>
        <v>0</v>
      </c>
      <c r="DN657" s="2025"/>
      <c r="DO657" s="2025"/>
      <c r="DP657" s="2025"/>
      <c r="DQ657" s="2026"/>
      <c r="DR657" s="2024">
        <f t="shared" si="39"/>
        <v>0</v>
      </c>
      <c r="DS657" s="2025"/>
      <c r="DT657" s="2025"/>
      <c r="DU657" s="2025"/>
      <c r="DV657" s="2026"/>
      <c r="DX657" s="2034" t="e">
        <f t="shared" si="22"/>
        <v>#VALUE!</v>
      </c>
      <c r="DY657" s="2034"/>
      <c r="DZ657" s="2034"/>
      <c r="EA657" s="2034"/>
      <c r="EB657" s="2034"/>
      <c r="EC657" s="2034" t="e">
        <f t="shared" si="23"/>
        <v>#VALUE!</v>
      </c>
      <c r="ED657" s="2034"/>
      <c r="EE657" s="2034"/>
      <c r="EF657" s="2034"/>
      <c r="EG657" s="2034"/>
      <c r="EH657" s="2034" t="e">
        <f t="shared" si="24"/>
        <v>#VALUE!</v>
      </c>
      <c r="EI657" s="2034"/>
      <c r="EJ657" s="2034"/>
      <c r="EK657" s="2034"/>
      <c r="EL657" s="2034"/>
      <c r="EM657" s="2034" t="e">
        <f t="shared" si="25"/>
        <v>#VALUE!</v>
      </c>
      <c r="EN657" s="2034"/>
      <c r="EO657" s="2034"/>
      <c r="EP657" s="2034"/>
      <c r="EQ657" s="2034"/>
      <c r="ER657" s="2034" t="e">
        <f t="shared" si="26"/>
        <v>#VALUE!</v>
      </c>
      <c r="ES657" s="2034"/>
      <c r="ET657" s="2034"/>
      <c r="EU657" s="2034"/>
      <c r="EV657" s="2034"/>
      <c r="EW657" s="2034" t="e">
        <f t="shared" si="27"/>
        <v>#VALUE!</v>
      </c>
      <c r="EX657" s="2034"/>
      <c r="EY657" s="2034"/>
      <c r="EZ657" s="2034"/>
      <c r="FA657" s="2034"/>
    </row>
    <row r="658" spans="1:157" ht="12.5">
      <c r="A658" s="35"/>
      <c r="B658" s="12" t="s">
        <v>18</v>
      </c>
      <c r="H658" s="2054" t="s">
        <v>2591</v>
      </c>
      <c r="I658" s="2054"/>
      <c r="J658" s="2054"/>
      <c r="K658" s="2054"/>
      <c r="L658" s="2054"/>
      <c r="M658" s="2054"/>
      <c r="N658" s="2054"/>
      <c r="O658" s="2054"/>
      <c r="P658" s="2054"/>
      <c r="Q658" s="2054"/>
      <c r="R658" s="2054"/>
      <c r="S658" s="14"/>
      <c r="T658" s="35"/>
      <c r="U658" s="12" t="s">
        <v>18</v>
      </c>
      <c r="AA658" s="2054" t="s">
        <v>2592</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31">
        <f>SUM(BN648:BR657)</f>
        <v>0</v>
      </c>
      <c r="BO658" s="2032"/>
      <c r="BP658" s="2032"/>
      <c r="BQ658" s="2032"/>
      <c r="BR658" s="2033"/>
      <c r="BS658" s="2027">
        <f>SUM(BS648:BW657)</f>
        <v>0</v>
      </c>
      <c r="BT658" s="2028"/>
      <c r="BU658" s="2028"/>
      <c r="BV658" s="2028"/>
      <c r="BW658" s="2029"/>
      <c r="BX658" s="2027">
        <f>SUM(BX648:CB657)</f>
        <v>0</v>
      </c>
      <c r="BY658" s="2028"/>
      <c r="BZ658" s="2028"/>
      <c r="CA658" s="2028"/>
      <c r="CB658" s="2029"/>
      <c r="CC658" s="2027">
        <f>SUM(CC648:CG657)</f>
        <v>0</v>
      </c>
      <c r="CD658" s="2028"/>
      <c r="CE658" s="2028"/>
      <c r="CF658" s="2028"/>
      <c r="CG658" s="2029"/>
      <c r="CH658" s="2027">
        <f>SUM(CH648:CL657)</f>
        <v>0</v>
      </c>
      <c r="CI658" s="2028"/>
      <c r="CJ658" s="2028"/>
      <c r="CK658" s="2028"/>
      <c r="CL658" s="2029"/>
      <c r="CM658" s="2027">
        <f>SUM(CM648:CQ657)</f>
        <v>0</v>
      </c>
      <c r="CN658" s="2028"/>
      <c r="CO658" s="2028"/>
      <c r="CP658" s="2028"/>
      <c r="CQ658" s="2029"/>
      <c r="CR658" s="1805"/>
      <c r="CS658" s="2035">
        <f>SUM(CS648:CW657)</f>
        <v>0</v>
      </c>
      <c r="CT658" s="2035"/>
      <c r="CU658" s="2035"/>
      <c r="CV658" s="2035"/>
      <c r="CW658" s="2035"/>
      <c r="CX658" s="2035">
        <f>SUM(CX648:DB657)</f>
        <v>0</v>
      </c>
      <c r="CY658" s="2035"/>
      <c r="CZ658" s="2035"/>
      <c r="DA658" s="2035"/>
      <c r="DB658" s="2035"/>
      <c r="DC658" s="2035">
        <f>SUM(DC648:DG657)</f>
        <v>0</v>
      </c>
      <c r="DD658" s="2035"/>
      <c r="DE658" s="2035"/>
      <c r="DF658" s="2035"/>
      <c r="DG658" s="2035"/>
      <c r="DH658" s="2035">
        <f>SUM(DH648:DL657)</f>
        <v>0</v>
      </c>
      <c r="DI658" s="2035"/>
      <c r="DJ658" s="2035"/>
      <c r="DK658" s="2035"/>
      <c r="DL658" s="2035"/>
      <c r="DM658" s="2035">
        <f>SUM(DM648:DQ657)</f>
        <v>0</v>
      </c>
      <c r="DN658" s="2035"/>
      <c r="DO658" s="2035"/>
      <c r="DP658" s="2035"/>
      <c r="DQ658" s="2035"/>
      <c r="DR658" s="2035">
        <f>SUM(DR648:DV657)</f>
        <v>0</v>
      </c>
      <c r="DS658" s="2035"/>
      <c r="DT658" s="2035"/>
      <c r="DU658" s="2035"/>
      <c r="DV658" s="2035"/>
      <c r="DX658" s="2034" t="e">
        <f t="shared" si="22"/>
        <v>#VALUE!</v>
      </c>
      <c r="DY658" s="2034"/>
      <c r="DZ658" s="2034"/>
      <c r="EA658" s="2034"/>
      <c r="EB658" s="2034"/>
      <c r="EC658" s="2034" t="e">
        <f t="shared" si="23"/>
        <v>#VALUE!</v>
      </c>
      <c r="ED658" s="2034"/>
      <c r="EE658" s="2034"/>
      <c r="EF658" s="2034"/>
      <c r="EG658" s="2034"/>
      <c r="EH658" s="2034" t="e">
        <f t="shared" si="24"/>
        <v>#VALUE!</v>
      </c>
      <c r="EI658" s="2034"/>
      <c r="EJ658" s="2034"/>
      <c r="EK658" s="2034"/>
      <c r="EL658" s="2034"/>
      <c r="EM658" s="2034" t="e">
        <f t="shared" si="25"/>
        <v>#VALUE!</v>
      </c>
      <c r="EN658" s="2034"/>
      <c r="EO658" s="2034"/>
      <c r="EP658" s="2034"/>
      <c r="EQ658" s="2034"/>
      <c r="ER658" s="2034" t="e">
        <f t="shared" si="26"/>
        <v>#VALUE!</v>
      </c>
      <c r="ES658" s="2034"/>
      <c r="ET658" s="2034"/>
      <c r="EU658" s="2034"/>
      <c r="EV658" s="2034"/>
      <c r="EW658" s="2034" t="e">
        <f t="shared" si="27"/>
        <v>#VALUE!</v>
      </c>
      <c r="EX658" s="2034"/>
      <c r="EY658" s="2034"/>
      <c r="EZ658" s="2034"/>
      <c r="FA658" s="2034"/>
    </row>
    <row r="659" spans="1:157" ht="12.5">
      <c r="A659" s="35"/>
      <c r="B659" s="12" t="s">
        <v>20</v>
      </c>
      <c r="N659" s="2046" t="s">
        <v>578</v>
      </c>
      <c r="O659" s="2046"/>
      <c r="T659" s="35"/>
      <c r="U659" s="12" t="s">
        <v>20</v>
      </c>
      <c r="AG659" s="2046" t="s">
        <v>706</v>
      </c>
      <c r="AH659" s="204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4" t="e">
        <f t="shared" si="22"/>
        <v>#VALUE!</v>
      </c>
      <c r="DY659" s="2034"/>
      <c r="DZ659" s="2034"/>
      <c r="EA659" s="2034"/>
      <c r="EB659" s="2034"/>
      <c r="EC659" s="2034" t="e">
        <f t="shared" si="23"/>
        <v>#VALUE!</v>
      </c>
      <c r="ED659" s="2034"/>
      <c r="EE659" s="2034"/>
      <c r="EF659" s="2034"/>
      <c r="EG659" s="2034"/>
      <c r="EH659" s="2034" t="e">
        <f t="shared" si="24"/>
        <v>#VALUE!</v>
      </c>
      <c r="EI659" s="2034"/>
      <c r="EJ659" s="2034"/>
      <c r="EK659" s="2034"/>
      <c r="EL659" s="2034"/>
      <c r="EM659" s="2034" t="e">
        <f t="shared" si="25"/>
        <v>#VALUE!</v>
      </c>
      <c r="EN659" s="2034"/>
      <c r="EO659" s="2034"/>
      <c r="EP659" s="2034"/>
      <c r="EQ659" s="2034"/>
      <c r="ER659" s="2034" t="e">
        <f t="shared" si="26"/>
        <v>#VALUE!</v>
      </c>
      <c r="ES659" s="2034"/>
      <c r="ET659" s="2034"/>
      <c r="EU659" s="2034"/>
      <c r="EV659" s="2034"/>
      <c r="EW659" s="2034" t="e">
        <f t="shared" si="27"/>
        <v>#VALUE!</v>
      </c>
      <c r="EX659" s="2034"/>
      <c r="EY659" s="2034"/>
      <c r="EZ659" s="2034"/>
      <c r="FA659" s="203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34">
        <f>SUM(CS658:DV658)</f>
        <v>0</v>
      </c>
      <c r="DS660" s="2034"/>
      <c r="DT660" s="2034"/>
      <c r="DU660" s="2034"/>
      <c r="DV660" s="2034"/>
      <c r="DX660" s="2034" t="e">
        <f t="shared" si="22"/>
        <v>#VALUE!</v>
      </c>
      <c r="DY660" s="2034"/>
      <c r="DZ660" s="2034"/>
      <c r="EA660" s="2034"/>
      <c r="EB660" s="2034"/>
      <c r="EC660" s="2034" t="e">
        <f t="shared" si="23"/>
        <v>#VALUE!</v>
      </c>
      <c r="ED660" s="2034"/>
      <c r="EE660" s="2034"/>
      <c r="EF660" s="2034"/>
      <c r="EG660" s="2034"/>
      <c r="EH660" s="2034" t="e">
        <f t="shared" si="24"/>
        <v>#VALUE!</v>
      </c>
      <c r="EI660" s="2034"/>
      <c r="EJ660" s="2034"/>
      <c r="EK660" s="2034"/>
      <c r="EL660" s="2034"/>
      <c r="EM660" s="2034" t="e">
        <f t="shared" si="25"/>
        <v>#VALUE!</v>
      </c>
      <c r="EN660" s="2034"/>
      <c r="EO660" s="2034"/>
      <c r="EP660" s="2034"/>
      <c r="EQ660" s="2034"/>
      <c r="ER660" s="2034" t="e">
        <f t="shared" si="26"/>
        <v>#VALUE!</v>
      </c>
      <c r="ES660" s="2034"/>
      <c r="ET660" s="2034"/>
      <c r="EU660" s="2034"/>
      <c r="EV660" s="2034"/>
      <c r="EW660" s="2034" t="e">
        <f t="shared" si="27"/>
        <v>#VALUE!</v>
      </c>
      <c r="EX660" s="2034"/>
      <c r="EY660" s="2034"/>
      <c r="EZ660" s="2034"/>
      <c r="FA660" s="2034"/>
    </row>
    <row r="661" spans="1:157" ht="13">
      <c r="A661" s="87" t="s">
        <v>124</v>
      </c>
      <c r="B661" s="12" t="s">
        <v>496</v>
      </c>
      <c r="G661" s="2036" t="str">
        <f>C639</f>
        <v>Deferred Developer Fee</v>
      </c>
      <c r="H661" s="2036"/>
      <c r="I661" s="2036"/>
      <c r="J661" s="2036"/>
      <c r="K661" s="2036"/>
      <c r="L661" s="2036"/>
      <c r="M661" s="2036"/>
      <c r="N661" s="2036"/>
      <c r="O661" s="2036"/>
      <c r="P661" s="2036"/>
      <c r="Q661" s="2036"/>
      <c r="R661" s="2036"/>
      <c r="T661" s="87" t="s">
        <v>616</v>
      </c>
      <c r="U661" s="12" t="s">
        <v>496</v>
      </c>
      <c r="Z661" s="2036" t="str">
        <f>C640</f>
        <v>Master Developer Contribution</v>
      </c>
      <c r="AA661" s="2036"/>
      <c r="AB661" s="2036"/>
      <c r="AC661" s="2036"/>
      <c r="AD661" s="2036"/>
      <c r="AE661" s="2036"/>
      <c r="AF661" s="2036"/>
      <c r="AG661" s="2036"/>
      <c r="AH661" s="2036"/>
      <c r="AI661" s="2036"/>
      <c r="AJ661" s="2036"/>
      <c r="AK661" s="2036"/>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34" t="e">
        <f t="shared" si="22"/>
        <v>#VALUE!</v>
      </c>
      <c r="DY661" s="2034"/>
      <c r="DZ661" s="2034"/>
      <c r="EA661" s="2034"/>
      <c r="EB661" s="2034"/>
      <c r="EC661" s="2034" t="e">
        <f t="shared" si="23"/>
        <v>#VALUE!</v>
      </c>
      <c r="ED661" s="2034"/>
      <c r="EE661" s="2034"/>
      <c r="EF661" s="2034"/>
      <c r="EG661" s="2034"/>
      <c r="EH661" s="2034" t="e">
        <f t="shared" si="24"/>
        <v>#VALUE!</v>
      </c>
      <c r="EI661" s="2034"/>
      <c r="EJ661" s="2034"/>
      <c r="EK661" s="2034"/>
      <c r="EL661" s="2034"/>
      <c r="EM661" s="2034" t="e">
        <f t="shared" si="25"/>
        <v>#VALUE!</v>
      </c>
      <c r="EN661" s="2034"/>
      <c r="EO661" s="2034"/>
      <c r="EP661" s="2034"/>
      <c r="EQ661" s="2034"/>
      <c r="ER661" s="2034" t="e">
        <f t="shared" si="26"/>
        <v>#VALUE!</v>
      </c>
      <c r="ES661" s="2034"/>
      <c r="ET661" s="2034"/>
      <c r="EU661" s="2034"/>
      <c r="EV661" s="2034"/>
      <c r="EW661" s="2034" t="e">
        <f t="shared" si="27"/>
        <v>#VALUE!</v>
      </c>
      <c r="EX661" s="2034"/>
      <c r="EY661" s="2034"/>
      <c r="EZ661" s="2034"/>
      <c r="FA661" s="2034"/>
    </row>
    <row r="662" spans="1:157" ht="12.5">
      <c r="A662" s="35"/>
      <c r="B662" s="12" t="s">
        <v>90</v>
      </c>
      <c r="G662" s="2054" t="s">
        <v>2528</v>
      </c>
      <c r="H662" s="2054"/>
      <c r="I662" s="2054"/>
      <c r="J662" s="2054"/>
      <c r="K662" s="2054"/>
      <c r="L662" s="2054"/>
      <c r="M662" s="2054"/>
      <c r="N662" s="2054"/>
      <c r="O662" s="2054"/>
      <c r="P662" s="2054"/>
      <c r="Q662" s="2054"/>
      <c r="R662" s="2054"/>
      <c r="T662" s="35"/>
      <c r="U662" s="12" t="s">
        <v>90</v>
      </c>
      <c r="Z662" s="2054" t="s">
        <v>2585</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4" t="e">
        <f t="shared" si="22"/>
        <v>#VALUE!</v>
      </c>
      <c r="DY662" s="2034"/>
      <c r="DZ662" s="2034"/>
      <c r="EA662" s="2034"/>
      <c r="EB662" s="2034"/>
      <c r="EC662" s="2034" t="e">
        <f t="shared" si="23"/>
        <v>#VALUE!</v>
      </c>
      <c r="ED662" s="2034"/>
      <c r="EE662" s="2034"/>
      <c r="EF662" s="2034"/>
      <c r="EG662" s="2034"/>
      <c r="EH662" s="2034" t="e">
        <f t="shared" si="24"/>
        <v>#VALUE!</v>
      </c>
      <c r="EI662" s="2034"/>
      <c r="EJ662" s="2034"/>
      <c r="EK662" s="2034"/>
      <c r="EL662" s="2034"/>
      <c r="EM662" s="2034" t="e">
        <f t="shared" si="25"/>
        <v>#VALUE!</v>
      </c>
      <c r="EN662" s="2034"/>
      <c r="EO662" s="2034"/>
      <c r="EP662" s="2034"/>
      <c r="EQ662" s="2034"/>
      <c r="ER662" s="2034" t="e">
        <f t="shared" si="26"/>
        <v>#VALUE!</v>
      </c>
      <c r="ES662" s="2034"/>
      <c r="ET662" s="2034"/>
      <c r="EU662" s="2034"/>
      <c r="EV662" s="2034"/>
      <c r="EW662" s="2034" t="e">
        <f t="shared" si="27"/>
        <v>#VALUE!</v>
      </c>
      <c r="EX662" s="2034"/>
      <c r="EY662" s="2034"/>
      <c r="EZ662" s="2034"/>
      <c r="FA662" s="2034"/>
    </row>
    <row r="663" spans="1:157" ht="13">
      <c r="A663" s="35"/>
      <c r="B663" s="12" t="s">
        <v>615</v>
      </c>
      <c r="G663" s="2048" t="s">
        <v>2529</v>
      </c>
      <c r="H663" s="2048"/>
      <c r="I663" s="2048"/>
      <c r="J663" s="2048"/>
      <c r="K663" s="2048"/>
      <c r="L663" s="2048"/>
      <c r="M663" s="2048"/>
      <c r="N663" s="2048"/>
      <c r="O663" s="2048"/>
      <c r="P663" s="2048"/>
      <c r="Q663" s="2048"/>
      <c r="R663" s="2048"/>
      <c r="T663" s="35"/>
      <c r="U663" s="12" t="s">
        <v>615</v>
      </c>
      <c r="Z663" s="2048" t="s">
        <v>67</v>
      </c>
      <c r="AA663" s="2048"/>
      <c r="AB663" s="2048"/>
      <c r="AC663" s="2048"/>
      <c r="AD663" s="2048"/>
      <c r="AE663" s="2048"/>
      <c r="AF663" s="2048"/>
      <c r="AG663" s="2048"/>
      <c r="AH663" s="2048"/>
      <c r="AI663" s="2048"/>
      <c r="AJ663" s="2048"/>
      <c r="AK663" s="2048"/>
      <c r="AZ663" s="61"/>
      <c r="BA663" s="61"/>
      <c r="BB663" s="61"/>
      <c r="BC663" s="61"/>
      <c r="BD663" s="61"/>
      <c r="BE663" s="61"/>
      <c r="BF663" s="61"/>
      <c r="BG663" s="61"/>
      <c r="BH663" s="61"/>
      <c r="BI663" s="61"/>
      <c r="BJ663" s="61"/>
      <c r="BK663" s="61"/>
      <c r="BL663" s="61"/>
      <c r="BM663" s="61"/>
      <c r="BN663" s="2027">
        <f>BN635+BN644+BN658</f>
        <v>0</v>
      </c>
      <c r="BO663" s="2028"/>
      <c r="BP663" s="2028"/>
      <c r="BQ663" s="2028"/>
      <c r="BR663" s="2029"/>
      <c r="BS663" s="2027">
        <f>BS635+BS644+BS658</f>
        <v>52</v>
      </c>
      <c r="BT663" s="2028"/>
      <c r="BU663" s="2028"/>
      <c r="BV663" s="2028"/>
      <c r="BW663" s="2029"/>
      <c r="BX663" s="2027">
        <f>BX635+BX644+BX658</f>
        <v>13</v>
      </c>
      <c r="BY663" s="2028"/>
      <c r="BZ663" s="2028"/>
      <c r="CA663" s="2028"/>
      <c r="CB663" s="2029"/>
      <c r="CC663" s="2027">
        <f>CC635+CC644+CC658</f>
        <v>0</v>
      </c>
      <c r="CD663" s="2028"/>
      <c r="CE663" s="2028"/>
      <c r="CF663" s="2028"/>
      <c r="CG663" s="2029"/>
      <c r="CH663" s="2027">
        <f>CH635+CH644+CH658</f>
        <v>0</v>
      </c>
      <c r="CI663" s="2028"/>
      <c r="CJ663" s="2028"/>
      <c r="CK663" s="2028"/>
      <c r="CL663" s="2029"/>
      <c r="CM663" s="2050">
        <f>CM658+CM644+CM635</f>
        <v>0</v>
      </c>
      <c r="CN663" s="2051"/>
      <c r="CO663" s="2051"/>
      <c r="CP663" s="2051"/>
      <c r="CQ663" s="2052"/>
      <c r="CR663" s="177"/>
      <c r="CS663" s="1470">
        <f>CS637+CS661</f>
        <v>76</v>
      </c>
      <c r="CT663" s="134" t="s">
        <v>2391</v>
      </c>
      <c r="CU663" s="58"/>
      <c r="CV663" s="58"/>
      <c r="CW663" s="58"/>
      <c r="CX663" s="58"/>
      <c r="CY663" s="58"/>
      <c r="CZ663" s="58"/>
      <c r="DA663" s="58"/>
      <c r="DB663" s="58"/>
      <c r="DC663" s="58"/>
      <c r="DD663" s="58"/>
      <c r="DE663" s="58"/>
      <c r="DF663" s="58"/>
      <c r="DX663" s="2034">
        <f>SUMIF(DX638:EB662,"&gt;0")</f>
        <v>0</v>
      </c>
      <c r="DY663" s="2034"/>
      <c r="DZ663" s="2034"/>
      <c r="EA663" s="2034"/>
      <c r="EB663" s="2034"/>
      <c r="EC663" s="2034">
        <f>SUMIF(EC638:EG662,"&gt;0")</f>
        <v>1249.5961538461538</v>
      </c>
      <c r="ED663" s="2034"/>
      <c r="EE663" s="2034"/>
      <c r="EF663" s="2034"/>
      <c r="EG663" s="2034"/>
      <c r="EH663" s="2034">
        <f>SUMIF(EH638:EL662,"&gt;0")</f>
        <v>1511.1666666666665</v>
      </c>
      <c r="EI663" s="2034"/>
      <c r="EJ663" s="2034"/>
      <c r="EK663" s="2034"/>
      <c r="EL663" s="2034"/>
      <c r="EM663" s="2034">
        <f>SUMIF(EM638:EQ662,"&gt;0")</f>
        <v>0</v>
      </c>
      <c r="EN663" s="2034"/>
      <c r="EO663" s="2034"/>
      <c r="EP663" s="2034"/>
      <c r="EQ663" s="2034"/>
      <c r="ER663" s="2034">
        <f>SUMIF(ER638:EV662,"&gt;0")</f>
        <v>0</v>
      </c>
      <c r="ES663" s="2034"/>
      <c r="ET663" s="2034"/>
      <c r="EU663" s="2034"/>
      <c r="EV663" s="2034"/>
      <c r="EW663" s="2034">
        <f>SUMIF(EW638:FA662,"&gt;0")</f>
        <v>0</v>
      </c>
      <c r="EX663" s="2034"/>
      <c r="EY663" s="2034"/>
      <c r="EZ663" s="2034"/>
      <c r="FA663" s="2034"/>
    </row>
    <row r="664" spans="1:157" ht="12.5">
      <c r="A664" s="35"/>
      <c r="B664" s="12" t="s">
        <v>17</v>
      </c>
      <c r="G664" s="2048" t="s">
        <v>2531</v>
      </c>
      <c r="H664" s="2048"/>
      <c r="I664" s="2048"/>
      <c r="J664" s="2048"/>
      <c r="K664" s="2048"/>
      <c r="L664" s="2048"/>
      <c r="M664" s="2048"/>
      <c r="N664" s="2048"/>
      <c r="O664" s="2048"/>
      <c r="P664" s="2048"/>
      <c r="Q664" s="2048"/>
      <c r="R664" s="2048"/>
      <c r="T664" s="35"/>
      <c r="U664" s="12" t="s">
        <v>17</v>
      </c>
      <c r="Z664" s="2048" t="s">
        <v>2586</v>
      </c>
      <c r="AA664" s="2048"/>
      <c r="AB664" s="2048"/>
      <c r="AC664" s="2048"/>
      <c r="AD664" s="2048"/>
      <c r="AE664" s="2048"/>
      <c r="AF664" s="2048"/>
      <c r="AG664" s="2048"/>
      <c r="AH664" s="2048"/>
      <c r="AI664" s="2048"/>
      <c r="AJ664" s="2048"/>
      <c r="AK664" s="204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78">
        <v>7142887600</v>
      </c>
      <c r="H665" s="2078"/>
      <c r="I665" s="2078"/>
      <c r="J665" s="2078"/>
      <c r="K665" s="2078"/>
      <c r="L665" s="2078"/>
      <c r="O665" s="137" t="s">
        <v>212</v>
      </c>
      <c r="P665" s="2047">
        <v>250</v>
      </c>
      <c r="Q665" s="2047"/>
      <c r="R665" s="2047"/>
      <c r="T665" s="35"/>
      <c r="U665" s="12" t="s">
        <v>325</v>
      </c>
      <c r="Z665" s="2078">
        <v>7143471313</v>
      </c>
      <c r="AA665" s="2078"/>
      <c r="AB665" s="2078"/>
      <c r="AC665" s="2078"/>
      <c r="AD665" s="2078"/>
      <c r="AE665" s="2078"/>
      <c r="AH665" s="137" t="s">
        <v>212</v>
      </c>
      <c r="AI665" s="2047"/>
      <c r="AJ665" s="2047"/>
      <c r="AK665" s="204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491</v>
      </c>
      <c r="I666" s="2054"/>
      <c r="J666" s="2054"/>
      <c r="K666" s="2054"/>
      <c r="L666" s="2054"/>
      <c r="M666" s="2054"/>
      <c r="N666" s="2054"/>
      <c r="O666" s="2054"/>
      <c r="P666" s="2054"/>
      <c r="Q666" s="2054"/>
      <c r="R666" s="2054"/>
      <c r="T666" s="35"/>
      <c r="U666" s="12" t="s">
        <v>18</v>
      </c>
      <c r="AA666" s="2054" t="s">
        <v>2587</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46" t="s">
        <v>578</v>
      </c>
      <c r="O667" s="2046"/>
      <c r="T667" s="35"/>
      <c r="U667" s="12" t="s">
        <v>20</v>
      </c>
      <c r="AG667" s="2046" t="s">
        <v>578</v>
      </c>
      <c r="AH667" s="204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6" t="str">
        <f>C641</f>
        <v>General Partner Equity</v>
      </c>
      <c r="H669" s="2036"/>
      <c r="I669" s="2036"/>
      <c r="J669" s="2036"/>
      <c r="K669" s="2036"/>
      <c r="L669" s="2036"/>
      <c r="M669" s="2036"/>
      <c r="N669" s="2036"/>
      <c r="O669" s="2036"/>
      <c r="P669" s="2036"/>
      <c r="Q669" s="2036"/>
      <c r="R669" s="2036"/>
      <c r="T669" s="87" t="s">
        <v>619</v>
      </c>
      <c r="U669" s="12" t="s">
        <v>496</v>
      </c>
      <c r="Z669" s="2036">
        <f>C642</f>
        <v>0</v>
      </c>
      <c r="AA669" s="2036"/>
      <c r="AB669" s="2036"/>
      <c r="AC669" s="2036"/>
      <c r="AD669" s="2036"/>
      <c r="AE669" s="2036"/>
      <c r="AF669" s="2036"/>
      <c r="AG669" s="2036"/>
      <c r="AH669" s="2036"/>
      <c r="AI669" s="2036"/>
      <c r="AJ669" s="2036"/>
      <c r="AK669" s="2036"/>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4" t="s">
        <v>2528</v>
      </c>
      <c r="H670" s="2054"/>
      <c r="I670" s="2054"/>
      <c r="J670" s="2054"/>
      <c r="K670" s="2054"/>
      <c r="L670" s="2054"/>
      <c r="M670" s="2054"/>
      <c r="N670" s="2054"/>
      <c r="O670" s="2054"/>
      <c r="P670" s="2054"/>
      <c r="Q670" s="2054"/>
      <c r="R670" s="2054"/>
      <c r="T670" s="35"/>
      <c r="U670" s="12" t="s">
        <v>90</v>
      </c>
      <c r="Z670" s="2054"/>
      <c r="AA670" s="2054"/>
      <c r="AB670" s="2054"/>
      <c r="AC670" s="2054"/>
      <c r="AD670" s="2054"/>
      <c r="AE670" s="2054"/>
      <c r="AF670" s="2054"/>
      <c r="AG670" s="2054"/>
      <c r="AH670" s="2054"/>
      <c r="AI670" s="2054"/>
      <c r="AJ670" s="2054"/>
      <c r="AK670" s="2054"/>
      <c r="AZ670" s="58"/>
      <c r="BA670" s="446">
        <f t="shared" ref="BA670:BA694" si="40">IF($G728=0,"N/A",VLOOKUP($T$189,TC_Rent,(MATCH($B728,bedrooms,FALSE))))</f>
        <v>2522</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54" t="s">
        <v>2529</v>
      </c>
      <c r="H671" s="2054"/>
      <c r="I671" s="2054"/>
      <c r="J671" s="2054"/>
      <c r="K671" s="2054"/>
      <c r="L671" s="2054"/>
      <c r="M671" s="2054"/>
      <c r="N671" s="2054"/>
      <c r="O671" s="2054"/>
      <c r="P671" s="2054"/>
      <c r="Q671" s="2054"/>
      <c r="R671" s="2054"/>
      <c r="T671" s="35"/>
      <c r="U671" s="12" t="s">
        <v>615</v>
      </c>
      <c r="Z671" s="2048"/>
      <c r="AA671" s="2048"/>
      <c r="AB671" s="2048"/>
      <c r="AC671" s="2048"/>
      <c r="AD671" s="2048"/>
      <c r="AE671" s="2048"/>
      <c r="AF671" s="2048"/>
      <c r="AG671" s="2048"/>
      <c r="AH671" s="2048"/>
      <c r="AI671" s="2048"/>
      <c r="AJ671" s="2048"/>
      <c r="AK671" s="2048"/>
      <c r="AZ671" s="58"/>
      <c r="BA671" s="446">
        <f t="shared" si="40"/>
        <v>3026</v>
      </c>
      <c r="BB671" s="58"/>
      <c r="BC671" s="58"/>
      <c r="BD671" s="58"/>
      <c r="BE671" s="58"/>
      <c r="BF671" s="382"/>
      <c r="BG671" s="456">
        <f t="shared" ref="BG671:BG695" si="41">G728</f>
        <v>7</v>
      </c>
      <c r="BH671" s="460">
        <f>BG671/$BG$696</f>
        <v>0.109375</v>
      </c>
      <c r="BI671" s="461">
        <f t="shared" ref="BI671:BI695" si="42">IF(BH671=0," ",BH671*AH728)</f>
        <v>3.2812500000000001E-2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4" t="s">
        <v>2531</v>
      </c>
      <c r="H672" s="2054"/>
      <c r="I672" s="2054"/>
      <c r="J672" s="2054"/>
      <c r="K672" s="2054"/>
      <c r="L672" s="2054"/>
      <c r="M672" s="2054"/>
      <c r="N672" s="2054"/>
      <c r="O672" s="2054"/>
      <c r="P672" s="2054"/>
      <c r="Q672" s="2054"/>
      <c r="R672" s="2054"/>
      <c r="T672" s="35"/>
      <c r="U672" s="12" t="s">
        <v>17</v>
      </c>
      <c r="Z672" s="2048"/>
      <c r="AA672" s="2048"/>
      <c r="AB672" s="2048"/>
      <c r="AC672" s="2048"/>
      <c r="AD672" s="2048"/>
      <c r="AE672" s="2048"/>
      <c r="AF672" s="2048"/>
      <c r="AG672" s="2048"/>
      <c r="AH672" s="2048"/>
      <c r="AI672" s="2048"/>
      <c r="AJ672" s="2048"/>
      <c r="AK672" s="2048"/>
      <c r="AZ672" s="58"/>
      <c r="BA672" s="446">
        <f t="shared" si="40"/>
        <v>2522</v>
      </c>
      <c r="BB672" s="58"/>
      <c r="BC672" s="58"/>
      <c r="BD672" s="58"/>
      <c r="BE672" s="58"/>
      <c r="BF672" s="382"/>
      <c r="BG672" s="457">
        <f t="shared" si="41"/>
        <v>2</v>
      </c>
      <c r="BH672" s="460">
        <f t="shared" ref="BH672:BH695" si="43">BG672/$BG$696</f>
        <v>3.125E-2</v>
      </c>
      <c r="BI672" s="461">
        <f t="shared" si="42"/>
        <v>9.3749999999999997E-3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78">
        <v>7142887600</v>
      </c>
      <c r="H673" s="2078"/>
      <c r="I673" s="2078"/>
      <c r="J673" s="2078"/>
      <c r="K673" s="2078"/>
      <c r="L673" s="2078"/>
      <c r="O673" s="137" t="s">
        <v>212</v>
      </c>
      <c r="P673" s="2047">
        <v>250</v>
      </c>
      <c r="Q673" s="2047"/>
      <c r="R673" s="2047"/>
      <c r="T673" s="35"/>
      <c r="U673" s="12" t="s">
        <v>325</v>
      </c>
      <c r="Z673" s="2078"/>
      <c r="AA673" s="2078"/>
      <c r="AB673" s="2078"/>
      <c r="AC673" s="2078"/>
      <c r="AD673" s="2078"/>
      <c r="AE673" s="2078"/>
      <c r="AH673" s="137" t="s">
        <v>212</v>
      </c>
      <c r="AI673" s="2047"/>
      <c r="AJ673" s="2047"/>
      <c r="AK673" s="2047"/>
      <c r="AZ673" s="58"/>
      <c r="BA673" s="446">
        <f t="shared" si="40"/>
        <v>3026</v>
      </c>
      <c r="BB673" s="58"/>
      <c r="BC673" s="58"/>
      <c r="BD673" s="58"/>
      <c r="BE673" s="58"/>
      <c r="BF673" s="382"/>
      <c r="BG673" s="457">
        <f t="shared" si="41"/>
        <v>5</v>
      </c>
      <c r="BH673" s="460">
        <f t="shared" si="43"/>
        <v>7.8125E-2</v>
      </c>
      <c r="BI673" s="461">
        <f t="shared" si="42"/>
        <v>3.90625E-2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4" t="s">
        <v>2588</v>
      </c>
      <c r="I674" s="2054"/>
      <c r="J674" s="2054"/>
      <c r="K674" s="2054"/>
      <c r="L674" s="2054"/>
      <c r="M674" s="2054"/>
      <c r="N674" s="2054"/>
      <c r="O674" s="2054"/>
      <c r="P674" s="2054"/>
      <c r="Q674" s="2054"/>
      <c r="R674" s="2054"/>
      <c r="T674" s="35"/>
      <c r="U674" s="12" t="s">
        <v>18</v>
      </c>
      <c r="AA674" s="2054"/>
      <c r="AB674" s="2054"/>
      <c r="AC674" s="2054"/>
      <c r="AD674" s="2054"/>
      <c r="AE674" s="2054"/>
      <c r="AF674" s="2054"/>
      <c r="AG674" s="2054"/>
      <c r="AH674" s="2054"/>
      <c r="AI674" s="2054"/>
      <c r="AJ674" s="2054"/>
      <c r="AK674" s="2054"/>
      <c r="AZ674" s="58"/>
      <c r="BA674" s="446">
        <f t="shared" si="40"/>
        <v>2522</v>
      </c>
      <c r="BB674" s="58"/>
      <c r="BC674" s="58"/>
      <c r="BD674" s="58"/>
      <c r="BE674" s="58"/>
      <c r="BF674" s="382"/>
      <c r="BG674" s="457">
        <f t="shared" si="41"/>
        <v>2</v>
      </c>
      <c r="BH674" s="460">
        <f t="shared" si="43"/>
        <v>3.125E-2</v>
      </c>
      <c r="BI674" s="461">
        <f t="shared" si="42"/>
        <v>1.5625E-2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46" t="s">
        <v>578</v>
      </c>
      <c r="O675" s="2046"/>
      <c r="T675" s="35"/>
      <c r="U675" s="12" t="s">
        <v>20</v>
      </c>
      <c r="AG675" s="2046" t="s">
        <v>706</v>
      </c>
      <c r="AH675" s="2046"/>
      <c r="AZ675" s="58"/>
      <c r="BA675" s="446">
        <f t="shared" si="40"/>
        <v>3026</v>
      </c>
      <c r="BB675" s="58"/>
      <c r="BC675" s="58"/>
      <c r="BD675" s="58"/>
      <c r="BE675" s="58"/>
      <c r="BF675" s="382"/>
      <c r="BG675" s="457">
        <f t="shared" si="41"/>
        <v>40</v>
      </c>
      <c r="BH675" s="460">
        <f t="shared" si="43"/>
        <v>0.625</v>
      </c>
      <c r="BI675" s="461">
        <f t="shared" si="42"/>
        <v>0.375</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8</v>
      </c>
      <c r="BH676" s="460">
        <f t="shared" si="43"/>
        <v>0.125</v>
      </c>
      <c r="BI676" s="461">
        <f t="shared" si="42"/>
        <v>7.4999999999999997E-2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36">
        <f>C643</f>
        <v>0</v>
      </c>
      <c r="H677" s="2036"/>
      <c r="I677" s="2036"/>
      <c r="J677" s="2036"/>
      <c r="K677" s="2036"/>
      <c r="L677" s="2036"/>
      <c r="M677" s="2036"/>
      <c r="N677" s="2036"/>
      <c r="O677" s="2036"/>
      <c r="P677" s="2036"/>
      <c r="Q677" s="2036"/>
      <c r="R677" s="2036"/>
      <c r="T677" s="87" t="s">
        <v>488</v>
      </c>
      <c r="U677" s="12" t="s">
        <v>496</v>
      </c>
      <c r="Z677" s="2036">
        <f>C644</f>
        <v>0</v>
      </c>
      <c r="AA677" s="2036"/>
      <c r="AB677" s="2036"/>
      <c r="AC677" s="2036"/>
      <c r="AD677" s="2036"/>
      <c r="AE677" s="2036"/>
      <c r="AF677" s="2036"/>
      <c r="AG677" s="2036"/>
      <c r="AH677" s="2036"/>
      <c r="AI677" s="2036"/>
      <c r="AJ677" s="2036"/>
      <c r="AK677" s="2036"/>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4"/>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54"/>
      <c r="H679" s="2054"/>
      <c r="I679" s="2054"/>
      <c r="J679" s="2054"/>
      <c r="K679" s="2054"/>
      <c r="L679" s="2054"/>
      <c r="M679" s="2054"/>
      <c r="N679" s="2054"/>
      <c r="O679" s="2054"/>
      <c r="P679" s="2054"/>
      <c r="Q679" s="2054"/>
      <c r="R679" s="2054"/>
      <c r="T679" s="35"/>
      <c r="U679" s="12" t="s">
        <v>615</v>
      </c>
      <c r="Z679" s="2048"/>
      <c r="AA679" s="2048"/>
      <c r="AB679" s="2048"/>
      <c r="AC679" s="2048"/>
      <c r="AD679" s="2048"/>
      <c r="AE679" s="2048"/>
      <c r="AF679" s="2048"/>
      <c r="AG679" s="2048"/>
      <c r="AH679" s="2048"/>
      <c r="AI679" s="2048"/>
      <c r="AJ679" s="2048"/>
      <c r="AK679" s="2048"/>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4"/>
      <c r="H680" s="2054"/>
      <c r="I680" s="2054"/>
      <c r="J680" s="2054"/>
      <c r="K680" s="2054"/>
      <c r="L680" s="2054"/>
      <c r="M680" s="2054"/>
      <c r="N680" s="2054"/>
      <c r="O680" s="2054"/>
      <c r="P680" s="2054"/>
      <c r="Q680" s="2054"/>
      <c r="R680" s="2054"/>
      <c r="T680" s="35"/>
      <c r="U680" s="12" t="s">
        <v>17</v>
      </c>
      <c r="Z680" s="2048"/>
      <c r="AA680" s="2048"/>
      <c r="AB680" s="2048"/>
      <c r="AC680" s="2048"/>
      <c r="AD680" s="2048"/>
      <c r="AE680" s="2048"/>
      <c r="AF680" s="2048"/>
      <c r="AG680" s="2048"/>
      <c r="AH680" s="2048"/>
      <c r="AI680" s="2048"/>
      <c r="AJ680" s="2048"/>
      <c r="AK680" s="204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78"/>
      <c r="H681" s="2078"/>
      <c r="I681" s="2078"/>
      <c r="J681" s="2078"/>
      <c r="K681" s="2078"/>
      <c r="L681" s="2078"/>
      <c r="O681" s="137" t="s">
        <v>212</v>
      </c>
      <c r="P681" s="2047"/>
      <c r="Q681" s="2047"/>
      <c r="R681" s="2047"/>
      <c r="T681" s="35"/>
      <c r="U681" s="12" t="s">
        <v>325</v>
      </c>
      <c r="Z681" s="2078"/>
      <c r="AA681" s="2078"/>
      <c r="AB681" s="2078"/>
      <c r="AC681" s="2078"/>
      <c r="AD681" s="2078"/>
      <c r="AE681" s="2078"/>
      <c r="AH681" s="137" t="s">
        <v>212</v>
      </c>
      <c r="AI681" s="2047"/>
      <c r="AJ681" s="2047"/>
      <c r="AK681" s="204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4"/>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46" t="s">
        <v>706</v>
      </c>
      <c r="O683" s="2046"/>
      <c r="T683" s="35"/>
      <c r="U683" s="12" t="s">
        <v>20</v>
      </c>
      <c r="AG683" s="2046" t="s">
        <v>706</v>
      </c>
      <c r="AH683" s="204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36">
        <f>C645</f>
        <v>0</v>
      </c>
      <c r="H685" s="2036"/>
      <c r="I685" s="2036"/>
      <c r="J685" s="2036"/>
      <c r="K685" s="2036"/>
      <c r="L685" s="2036"/>
      <c r="M685" s="2036"/>
      <c r="N685" s="2036"/>
      <c r="O685" s="2036"/>
      <c r="P685" s="2036"/>
      <c r="Q685" s="2036"/>
      <c r="R685" s="2036"/>
      <c r="T685" s="87" t="s">
        <v>681</v>
      </c>
      <c r="U685" s="12" t="s">
        <v>496</v>
      </c>
      <c r="Z685" s="2036">
        <f>C646</f>
        <v>0</v>
      </c>
      <c r="AA685" s="2036"/>
      <c r="AB685" s="2036"/>
      <c r="AC685" s="2036"/>
      <c r="AD685" s="2036"/>
      <c r="AE685" s="2036"/>
      <c r="AF685" s="2036"/>
      <c r="AG685" s="2036"/>
      <c r="AH685" s="2036"/>
      <c r="AI685" s="2036"/>
      <c r="AJ685" s="2036"/>
      <c r="AK685" s="2036"/>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54"/>
      <c r="H687" s="2054"/>
      <c r="I687" s="2054"/>
      <c r="J687" s="2054"/>
      <c r="K687" s="2054"/>
      <c r="L687" s="2054"/>
      <c r="M687" s="2054"/>
      <c r="N687" s="2054"/>
      <c r="O687" s="2054"/>
      <c r="P687" s="2054"/>
      <c r="Q687" s="2054"/>
      <c r="R687" s="2054"/>
      <c r="T687" s="35"/>
      <c r="U687" s="12" t="s">
        <v>615</v>
      </c>
      <c r="Z687" s="2048"/>
      <c r="AA687" s="2048"/>
      <c r="AB687" s="2048"/>
      <c r="AC687" s="2048"/>
      <c r="AD687" s="2048"/>
      <c r="AE687" s="2048"/>
      <c r="AF687" s="2048"/>
      <c r="AG687" s="2048"/>
      <c r="AH687" s="2048"/>
      <c r="AI687" s="2048"/>
      <c r="AJ687" s="2048"/>
      <c r="AK687" s="2048"/>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4"/>
      <c r="H688" s="2054"/>
      <c r="I688" s="2054"/>
      <c r="J688" s="2054"/>
      <c r="K688" s="2054"/>
      <c r="L688" s="2054"/>
      <c r="M688" s="2054"/>
      <c r="N688" s="2054"/>
      <c r="O688" s="2054"/>
      <c r="P688" s="2054"/>
      <c r="Q688" s="2054"/>
      <c r="R688" s="2054"/>
      <c r="T688" s="35"/>
      <c r="U688" s="12" t="s">
        <v>17</v>
      </c>
      <c r="Z688" s="2048"/>
      <c r="AA688" s="2048"/>
      <c r="AB688" s="2048"/>
      <c r="AC688" s="2048"/>
      <c r="AD688" s="2048"/>
      <c r="AE688" s="2048"/>
      <c r="AF688" s="2048"/>
      <c r="AG688" s="2048"/>
      <c r="AH688" s="2048"/>
      <c r="AI688" s="2048"/>
      <c r="AJ688" s="2048"/>
      <c r="AK688" s="2048"/>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78"/>
      <c r="H689" s="2078"/>
      <c r="I689" s="2078"/>
      <c r="J689" s="2078"/>
      <c r="K689" s="2078"/>
      <c r="L689" s="2078"/>
      <c r="O689" s="137" t="s">
        <v>212</v>
      </c>
      <c r="P689" s="2047"/>
      <c r="Q689" s="2047"/>
      <c r="R689" s="2047"/>
      <c r="T689" s="35"/>
      <c r="U689" s="12" t="s">
        <v>325</v>
      </c>
      <c r="Z689" s="2078"/>
      <c r="AA689" s="2078"/>
      <c r="AB689" s="2078"/>
      <c r="AC689" s="2078"/>
      <c r="AD689" s="2078"/>
      <c r="AE689" s="2078"/>
      <c r="AH689" s="137" t="s">
        <v>212</v>
      </c>
      <c r="AI689" s="2047"/>
      <c r="AJ689" s="2047"/>
      <c r="AK689" s="204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46" t="s">
        <v>706</v>
      </c>
      <c r="O691" s="2046"/>
      <c r="T691" s="35"/>
      <c r="U691" s="12" t="s">
        <v>20</v>
      </c>
      <c r="AG691" s="2046" t="s">
        <v>706</v>
      </c>
      <c r="AH691" s="204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36">
        <f>C647</f>
        <v>0</v>
      </c>
      <c r="H693" s="2036"/>
      <c r="I693" s="2036"/>
      <c r="J693" s="2036"/>
      <c r="K693" s="2036"/>
      <c r="L693" s="2036"/>
      <c r="M693" s="2036"/>
      <c r="N693" s="2036"/>
      <c r="O693" s="2036"/>
      <c r="P693" s="2036"/>
      <c r="Q693" s="2036"/>
      <c r="R693" s="2036"/>
      <c r="T693" s="87" t="s">
        <v>373</v>
      </c>
      <c r="U693" s="12" t="s">
        <v>496</v>
      </c>
      <c r="Z693" s="2036">
        <f>C648</f>
        <v>0</v>
      </c>
      <c r="AA693" s="2036"/>
      <c r="AB693" s="2036"/>
      <c r="AC693" s="2036"/>
      <c r="AD693" s="2036"/>
      <c r="AE693" s="2036"/>
      <c r="AF693" s="2036"/>
      <c r="AG693" s="2036"/>
      <c r="AH693" s="2036"/>
      <c r="AI693" s="2036"/>
      <c r="AJ693" s="2036"/>
      <c r="AK693" s="2036"/>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54"/>
      <c r="H695" s="2054"/>
      <c r="I695" s="2054"/>
      <c r="J695" s="2054"/>
      <c r="K695" s="2054"/>
      <c r="L695" s="2054"/>
      <c r="M695" s="2054"/>
      <c r="N695" s="2054"/>
      <c r="O695" s="2054"/>
      <c r="P695" s="2054"/>
      <c r="Q695" s="2054"/>
      <c r="R695" s="2054"/>
      <c r="U695" s="12" t="s">
        <v>615</v>
      </c>
      <c r="Z695" s="2048"/>
      <c r="AA695" s="2048"/>
      <c r="AB695" s="2048"/>
      <c r="AC695" s="2048"/>
      <c r="AD695" s="2048"/>
      <c r="AE695" s="2048"/>
      <c r="AF695" s="2048"/>
      <c r="AG695" s="2048"/>
      <c r="AH695" s="2048"/>
      <c r="AI695" s="2048"/>
      <c r="AJ695" s="2048"/>
      <c r="AK695" s="2048"/>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4"/>
      <c r="H696" s="2054"/>
      <c r="I696" s="2054"/>
      <c r="J696" s="2054"/>
      <c r="K696" s="2054"/>
      <c r="L696" s="2054"/>
      <c r="M696" s="2054"/>
      <c r="N696" s="2054"/>
      <c r="O696" s="2054"/>
      <c r="P696" s="2054"/>
      <c r="Q696" s="2054"/>
      <c r="R696" s="2054"/>
      <c r="U696" s="12" t="s">
        <v>17</v>
      </c>
      <c r="Z696" s="2048"/>
      <c r="AA696" s="2048"/>
      <c r="AB696" s="2048"/>
      <c r="AC696" s="2048"/>
      <c r="AD696" s="2048"/>
      <c r="AE696" s="2048"/>
      <c r="AF696" s="2048"/>
      <c r="AG696" s="2048"/>
      <c r="AH696" s="2048"/>
      <c r="AI696" s="2048"/>
      <c r="AJ696" s="2048"/>
      <c r="AK696" s="2048"/>
      <c r="AZ696" s="58"/>
      <c r="BA696" s="58"/>
      <c r="BB696" s="58"/>
      <c r="BC696" s="58"/>
      <c r="BD696" s="58"/>
      <c r="BF696" s="453" t="s">
        <v>968</v>
      </c>
      <c r="BG696" s="462">
        <f>SUM(BG671:BG695)</f>
        <v>64</v>
      </c>
      <c r="BH696" s="463">
        <f>SUM(BH671:BH695)</f>
        <v>1</v>
      </c>
      <c r="BI696" s="463">
        <f>SUM(BI671:BI695)</f>
        <v>0.546875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78"/>
      <c r="H697" s="2078"/>
      <c r="I697" s="2078"/>
      <c r="J697" s="2078"/>
      <c r="K697" s="2078"/>
      <c r="L697" s="2078"/>
      <c r="O697" s="137" t="s">
        <v>212</v>
      </c>
      <c r="P697" s="2047"/>
      <c r="Q697" s="2047"/>
      <c r="R697" s="2047"/>
      <c r="U697" s="12" t="s">
        <v>325</v>
      </c>
      <c r="Z697" s="2078"/>
      <c r="AA697" s="2078"/>
      <c r="AB697" s="2078"/>
      <c r="AC697" s="2078"/>
      <c r="AD697" s="2078"/>
      <c r="AE697" s="2078"/>
      <c r="AH697" s="137" t="s">
        <v>212</v>
      </c>
      <c r="AI697" s="2047"/>
      <c r="AJ697" s="2047"/>
      <c r="AK697" s="204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46" t="s">
        <v>706</v>
      </c>
      <c r="O699" s="2046"/>
      <c r="U699" s="12" t="s">
        <v>20</v>
      </c>
      <c r="AG699" s="2046" t="s">
        <v>706</v>
      </c>
      <c r="AH699" s="204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6" t="s">
        <v>578</v>
      </c>
      <c r="AF703" s="204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0.109375</v>
      </c>
      <c r="BI703" s="461">
        <f t="shared" ref="BI703:BI727" si="45">IF(BH703=0," ",BH703*AM728)</f>
        <v>1.2403350515463917E-2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6" t="s">
        <v>706</v>
      </c>
      <c r="AF704" s="204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3.125E-2</v>
      </c>
      <c r="BI704" s="461">
        <f t="shared" si="45"/>
        <v>9.3770654329147392E-3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46">
        <v>44448</v>
      </c>
      <c r="AF705" s="2346"/>
      <c r="AG705" s="2346"/>
      <c r="AH705" s="2346"/>
      <c r="AI705" s="23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7.8125E-2</v>
      </c>
      <c r="BI705" s="461">
        <f t="shared" si="45"/>
        <v>3.90625E-2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5">
        <v>44537</v>
      </c>
      <c r="AF706" s="2345"/>
      <c r="AG706" s="2345"/>
      <c r="AH706" s="2345"/>
      <c r="AI706" s="234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3.125E-2</v>
      </c>
      <c r="BI706" s="461">
        <f t="shared" si="45"/>
        <v>1.5625E-2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40</v>
      </c>
      <c r="BH707" s="460">
        <f t="shared" si="46"/>
        <v>0.625</v>
      </c>
      <c r="BI707" s="461">
        <f t="shared" si="45"/>
        <v>0.37495043616177637</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6"/>
      <c r="AF708" s="2346"/>
      <c r="AG708" s="2346"/>
      <c r="AH708" s="2346"/>
      <c r="AI708" s="23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0.125</v>
      </c>
      <c r="BI708" s="461">
        <f t="shared" si="45"/>
        <v>7.5016523463317913E-2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0.53090000000000004</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6" t="str">
        <f>H334</f>
        <v>CSCDA</v>
      </c>
      <c r="X710" s="2036"/>
      <c r="Y710" s="2036"/>
      <c r="Z710" s="2036"/>
      <c r="AA710" s="2036"/>
      <c r="AB710" s="2036"/>
      <c r="AC710" s="2036"/>
      <c r="AD710" s="2036"/>
      <c r="AE710" s="2036"/>
      <c r="AF710" s="2036"/>
      <c r="AG710" s="2036"/>
      <c r="AH710" s="2036"/>
      <c r="AI710" s="2036"/>
      <c r="AJ710" s="2036"/>
      <c r="AK710" s="203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6" t="s">
        <v>706</v>
      </c>
      <c r="AF712" s="204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78"/>
      <c r="K715" s="2078"/>
      <c r="L715" s="2078"/>
      <c r="M715" s="2078"/>
      <c r="N715" s="2078"/>
      <c r="O715" s="2078"/>
      <c r="P715" s="7" t="s">
        <v>212</v>
      </c>
      <c r="Q715" s="7"/>
      <c r="R715" s="2047"/>
      <c r="S715" s="2047"/>
      <c r="T715" s="204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4" t="s">
        <v>407</v>
      </c>
      <c r="C724" s="2305"/>
      <c r="D724" s="2305"/>
      <c r="E724" s="2305"/>
      <c r="F724" s="2306"/>
      <c r="G724" s="2304" t="s">
        <v>291</v>
      </c>
      <c r="H724" s="2305"/>
      <c r="I724" s="2305"/>
      <c r="J724" s="2306"/>
      <c r="K724" s="2284" t="s">
        <v>2156</v>
      </c>
      <c r="L724" s="2285"/>
      <c r="M724" s="2285"/>
      <c r="N724" s="2286"/>
      <c r="O724" s="2304" t="s">
        <v>478</v>
      </c>
      <c r="P724" s="2305"/>
      <c r="Q724" s="2305"/>
      <c r="R724" s="2305"/>
      <c r="S724" s="2306"/>
      <c r="T724" s="2304" t="s">
        <v>292</v>
      </c>
      <c r="U724" s="2305"/>
      <c r="V724" s="2305"/>
      <c r="W724" s="2305"/>
      <c r="X724" s="2306"/>
      <c r="Y724" s="2304" t="s">
        <v>293</v>
      </c>
      <c r="Z724" s="2305"/>
      <c r="AA724" s="2305"/>
      <c r="AB724" s="2306"/>
      <c r="AC724" s="2304" t="s">
        <v>294</v>
      </c>
      <c r="AD724" s="2305"/>
      <c r="AE724" s="2305"/>
      <c r="AF724" s="2305"/>
      <c r="AG724" s="2306"/>
      <c r="AH724" s="2304" t="s">
        <v>408</v>
      </c>
      <c r="AI724" s="2305"/>
      <c r="AJ724" s="2305"/>
      <c r="AK724" s="2305"/>
      <c r="AL724" s="2306"/>
      <c r="AM724" s="2304" t="s">
        <v>682</v>
      </c>
      <c r="AN724" s="2305"/>
      <c r="AO724" s="230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07"/>
      <c r="C725" s="2308"/>
      <c r="D725" s="2308"/>
      <c r="E725" s="2308"/>
      <c r="F725" s="2309"/>
      <c r="G725" s="2307"/>
      <c r="H725" s="2308"/>
      <c r="I725" s="2308"/>
      <c r="J725" s="2309"/>
      <c r="K725" s="2287"/>
      <c r="L725" s="2288"/>
      <c r="M725" s="2288"/>
      <c r="N725" s="2289"/>
      <c r="O725" s="2307"/>
      <c r="P725" s="2308"/>
      <c r="Q725" s="2308"/>
      <c r="R725" s="2308"/>
      <c r="S725" s="2309"/>
      <c r="T725" s="2307"/>
      <c r="U725" s="2308"/>
      <c r="V725" s="2308"/>
      <c r="W725" s="2308"/>
      <c r="X725" s="2309"/>
      <c r="Y725" s="2307"/>
      <c r="Z725" s="2308"/>
      <c r="AA725" s="2308"/>
      <c r="AB725" s="2309"/>
      <c r="AC725" s="2307"/>
      <c r="AD725" s="2308"/>
      <c r="AE725" s="2308"/>
      <c r="AF725" s="2308"/>
      <c r="AG725" s="2309"/>
      <c r="AH725" s="2307"/>
      <c r="AI725" s="2308"/>
      <c r="AJ725" s="2308"/>
      <c r="AK725" s="2308"/>
      <c r="AL725" s="2309"/>
      <c r="AM725" s="2307"/>
      <c r="AN725" s="2308"/>
      <c r="AO725" s="230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07"/>
      <c r="C726" s="2308"/>
      <c r="D726" s="2308"/>
      <c r="E726" s="2308"/>
      <c r="F726" s="2309"/>
      <c r="G726" s="2307"/>
      <c r="H726" s="2308"/>
      <c r="I726" s="2308"/>
      <c r="J726" s="2309"/>
      <c r="K726" s="2287"/>
      <c r="L726" s="2288"/>
      <c r="M726" s="2288"/>
      <c r="N726" s="2289"/>
      <c r="O726" s="2307"/>
      <c r="P726" s="2308"/>
      <c r="Q726" s="2308"/>
      <c r="R726" s="2308"/>
      <c r="S726" s="2309"/>
      <c r="T726" s="2307"/>
      <c r="U726" s="2308"/>
      <c r="V726" s="2308"/>
      <c r="W726" s="2308"/>
      <c r="X726" s="2309"/>
      <c r="Y726" s="2307"/>
      <c r="Z726" s="2308"/>
      <c r="AA726" s="2308"/>
      <c r="AB726" s="2309"/>
      <c r="AC726" s="2307"/>
      <c r="AD726" s="2308"/>
      <c r="AE726" s="2308"/>
      <c r="AF726" s="2308"/>
      <c r="AG726" s="2309"/>
      <c r="AH726" s="2307"/>
      <c r="AI726" s="2308"/>
      <c r="AJ726" s="2308"/>
      <c r="AK726" s="2308"/>
      <c r="AL726" s="2309"/>
      <c r="AM726" s="2307"/>
      <c r="AN726" s="2308"/>
      <c r="AO726" s="230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10"/>
      <c r="C727" s="2311"/>
      <c r="D727" s="2311"/>
      <c r="E727" s="2311"/>
      <c r="F727" s="2312"/>
      <c r="G727" s="2310"/>
      <c r="H727" s="2311"/>
      <c r="I727" s="2311"/>
      <c r="J727" s="2312"/>
      <c r="K727" s="2287"/>
      <c r="L727" s="2288"/>
      <c r="M727" s="2288"/>
      <c r="N727" s="2289"/>
      <c r="O727" s="2310"/>
      <c r="P727" s="2311"/>
      <c r="Q727" s="2311"/>
      <c r="R727" s="2311"/>
      <c r="S727" s="2312"/>
      <c r="T727" s="2310"/>
      <c r="U727" s="2311"/>
      <c r="V727" s="2311"/>
      <c r="W727" s="2311"/>
      <c r="X727" s="2312"/>
      <c r="Y727" s="2310"/>
      <c r="Z727" s="2311"/>
      <c r="AA727" s="2311"/>
      <c r="AB727" s="2312"/>
      <c r="AC727" s="2310"/>
      <c r="AD727" s="2311"/>
      <c r="AE727" s="2311"/>
      <c r="AF727" s="2311"/>
      <c r="AG727" s="2312"/>
      <c r="AH727" s="2310"/>
      <c r="AI727" s="2311"/>
      <c r="AJ727" s="2311"/>
      <c r="AK727" s="2311"/>
      <c r="AL727" s="2312"/>
      <c r="AM727" s="2310"/>
      <c r="AN727" s="2311"/>
      <c r="AO727" s="231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4" t="s">
        <v>334</v>
      </c>
      <c r="C728" s="2255"/>
      <c r="D728" s="2255"/>
      <c r="E728" s="2255"/>
      <c r="F728" s="2256"/>
      <c r="G728" s="2300">
        <v>7</v>
      </c>
      <c r="H728" s="2301"/>
      <c r="I728" s="2301"/>
      <c r="J728" s="2302"/>
      <c r="K728" s="2293">
        <v>592</v>
      </c>
      <c r="L728" s="2294"/>
      <c r="M728" s="2294"/>
      <c r="N728" s="2295"/>
      <c r="O728" s="2251">
        <v>212</v>
      </c>
      <c r="P728" s="2252"/>
      <c r="Q728" s="2252"/>
      <c r="R728" s="2252"/>
      <c r="S728" s="2253"/>
      <c r="T728" s="2040">
        <f t="shared" ref="T728:T752" si="47">G728*O728</f>
        <v>1484</v>
      </c>
      <c r="U728" s="2041"/>
      <c r="V728" s="2041"/>
      <c r="W728" s="2041"/>
      <c r="X728" s="2042"/>
      <c r="Y728" s="2251">
        <v>74</v>
      </c>
      <c r="Z728" s="2252"/>
      <c r="AA728" s="2252"/>
      <c r="AB728" s="2253"/>
      <c r="AC728" s="2040">
        <f t="shared" ref="AC728:AC752" si="48">O728+Y728</f>
        <v>286</v>
      </c>
      <c r="AD728" s="2041"/>
      <c r="AE728" s="2041"/>
      <c r="AF728" s="2041"/>
      <c r="AG728" s="2042"/>
      <c r="AH728" s="2043">
        <v>0.3</v>
      </c>
      <c r="AI728" s="2044"/>
      <c r="AJ728" s="2044"/>
      <c r="AK728" s="2044"/>
      <c r="AL728" s="2045"/>
      <c r="AM728" s="2021">
        <f t="shared" ref="AM728:AM752" si="49">IF($AH728&gt;0,($AC728/$BA670), " ")</f>
        <v>0.1134020618556701</v>
      </c>
      <c r="AN728" s="2022"/>
      <c r="AO728" s="2023"/>
      <c r="AP728" s="239"/>
      <c r="AQ728" s="239"/>
      <c r="AR728" s="239"/>
      <c r="AS728" s="239"/>
      <c r="AT728" s="239"/>
      <c r="AU728" s="239"/>
      <c r="AV728" s="239"/>
      <c r="AW728" s="239"/>
      <c r="AX728" s="239"/>
      <c r="AY728" s="239"/>
      <c r="AZ728" s="58"/>
      <c r="BA728" s="58"/>
      <c r="BB728" s="58"/>
      <c r="BC728" s="58"/>
      <c r="BD728" s="58"/>
      <c r="BE728" s="58"/>
      <c r="BF728" s="58"/>
      <c r="BG728" s="1420">
        <f>SUM(BG703:BG727)</f>
        <v>64</v>
      </c>
      <c r="BH728" s="463">
        <f>SUM(BH703:BH727)</f>
        <v>1</v>
      </c>
      <c r="BI728" s="463">
        <f>SUM(BI703:BI727)</f>
        <v>0.5264348755734729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54" t="s">
        <v>168</v>
      </c>
      <c r="C729" s="2255"/>
      <c r="D729" s="2255"/>
      <c r="E729" s="2255"/>
      <c r="F729" s="2256"/>
      <c r="G729" s="2300">
        <v>2</v>
      </c>
      <c r="H729" s="2301"/>
      <c r="I729" s="2301"/>
      <c r="J729" s="2302"/>
      <c r="K729" s="2293">
        <v>837</v>
      </c>
      <c r="L729" s="2294"/>
      <c r="M729" s="2294"/>
      <c r="N729" s="2295"/>
      <c r="O729" s="2251">
        <v>805</v>
      </c>
      <c r="P729" s="2252"/>
      <c r="Q729" s="2252"/>
      <c r="R729" s="2252"/>
      <c r="S729" s="2253"/>
      <c r="T729" s="2040">
        <f t="shared" si="47"/>
        <v>1610</v>
      </c>
      <c r="U729" s="2041"/>
      <c r="V729" s="2041"/>
      <c r="W729" s="2041"/>
      <c r="X729" s="2042"/>
      <c r="Y729" s="2251">
        <v>103</v>
      </c>
      <c r="Z729" s="2252"/>
      <c r="AA729" s="2252"/>
      <c r="AB729" s="2253"/>
      <c r="AC729" s="2040">
        <f t="shared" si="48"/>
        <v>908</v>
      </c>
      <c r="AD729" s="2041"/>
      <c r="AE729" s="2041"/>
      <c r="AF729" s="2041"/>
      <c r="AG729" s="2042"/>
      <c r="AH729" s="2043">
        <v>0.3</v>
      </c>
      <c r="AI729" s="2044"/>
      <c r="AJ729" s="2044"/>
      <c r="AK729" s="2044"/>
      <c r="AL729" s="2045"/>
      <c r="AM729" s="2021">
        <f t="shared" si="49"/>
        <v>0.30006609385327165</v>
      </c>
      <c r="AN729" s="2022"/>
      <c r="AO729" s="202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54" t="s">
        <v>334</v>
      </c>
      <c r="C730" s="2255"/>
      <c r="D730" s="2255"/>
      <c r="E730" s="2255"/>
      <c r="F730" s="2256"/>
      <c r="G730" s="2300">
        <v>5</v>
      </c>
      <c r="H730" s="2301"/>
      <c r="I730" s="2301"/>
      <c r="J730" s="2302"/>
      <c r="K730" s="2293">
        <v>592</v>
      </c>
      <c r="L730" s="2294"/>
      <c r="M730" s="2294"/>
      <c r="N730" s="2295"/>
      <c r="O730" s="2251">
        <v>1187</v>
      </c>
      <c r="P730" s="2252"/>
      <c r="Q730" s="2252"/>
      <c r="R730" s="2252"/>
      <c r="S730" s="2253"/>
      <c r="T730" s="2040">
        <f t="shared" si="47"/>
        <v>5935</v>
      </c>
      <c r="U730" s="2041"/>
      <c r="V730" s="2041"/>
      <c r="W730" s="2041"/>
      <c r="X730" s="2042"/>
      <c r="Y730" s="2251">
        <v>74</v>
      </c>
      <c r="Z730" s="2252"/>
      <c r="AA730" s="2252"/>
      <c r="AB730" s="2253"/>
      <c r="AC730" s="2040">
        <f t="shared" si="48"/>
        <v>1261</v>
      </c>
      <c r="AD730" s="2041"/>
      <c r="AE730" s="2041"/>
      <c r="AF730" s="2041"/>
      <c r="AG730" s="2042"/>
      <c r="AH730" s="2043">
        <v>0.5</v>
      </c>
      <c r="AI730" s="2044"/>
      <c r="AJ730" s="2044"/>
      <c r="AK730" s="2044"/>
      <c r="AL730" s="2045"/>
      <c r="AM730" s="2021">
        <f t="shared" si="49"/>
        <v>0.5</v>
      </c>
      <c r="AN730" s="2022"/>
      <c r="AO730" s="202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54" t="s">
        <v>168</v>
      </c>
      <c r="C731" s="2255"/>
      <c r="D731" s="2255"/>
      <c r="E731" s="2255"/>
      <c r="F731" s="2256"/>
      <c r="G731" s="2300">
        <v>2</v>
      </c>
      <c r="H731" s="2301"/>
      <c r="I731" s="2301"/>
      <c r="J731" s="2302"/>
      <c r="K731" s="2293">
        <v>837</v>
      </c>
      <c r="L731" s="2294"/>
      <c r="M731" s="2294"/>
      <c r="N731" s="2295"/>
      <c r="O731" s="2251">
        <v>1410</v>
      </c>
      <c r="P731" s="2252"/>
      <c r="Q731" s="2252"/>
      <c r="R731" s="2252"/>
      <c r="S731" s="2253"/>
      <c r="T731" s="2040">
        <f t="shared" si="47"/>
        <v>2820</v>
      </c>
      <c r="U731" s="2041"/>
      <c r="V731" s="2041"/>
      <c r="W731" s="2041"/>
      <c r="X731" s="2042"/>
      <c r="Y731" s="2251">
        <v>103</v>
      </c>
      <c r="Z731" s="2252"/>
      <c r="AA731" s="2252"/>
      <c r="AB731" s="2253"/>
      <c r="AC731" s="2040">
        <f t="shared" si="48"/>
        <v>1513</v>
      </c>
      <c r="AD731" s="2041"/>
      <c r="AE731" s="2041"/>
      <c r="AF731" s="2041"/>
      <c r="AG731" s="2042"/>
      <c r="AH731" s="2043">
        <v>0.5</v>
      </c>
      <c r="AI731" s="2044"/>
      <c r="AJ731" s="2044"/>
      <c r="AK731" s="2044"/>
      <c r="AL731" s="2045"/>
      <c r="AM731" s="2021">
        <f t="shared" si="49"/>
        <v>0.5</v>
      </c>
      <c r="AN731" s="2022"/>
      <c r="AO731" s="202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54" t="s">
        <v>334</v>
      </c>
      <c r="C732" s="2255"/>
      <c r="D732" s="2255"/>
      <c r="E732" s="2255"/>
      <c r="F732" s="2256"/>
      <c r="G732" s="2300">
        <v>40</v>
      </c>
      <c r="H732" s="2301"/>
      <c r="I732" s="2301"/>
      <c r="J732" s="2302"/>
      <c r="K732" s="2293">
        <v>592</v>
      </c>
      <c r="L732" s="2294"/>
      <c r="M732" s="2294"/>
      <c r="N732" s="2295"/>
      <c r="O732" s="2251">
        <v>1439</v>
      </c>
      <c r="P732" s="2252"/>
      <c r="Q732" s="2252"/>
      <c r="R732" s="2252"/>
      <c r="S732" s="2253"/>
      <c r="T732" s="2040">
        <f t="shared" si="47"/>
        <v>57560</v>
      </c>
      <c r="U732" s="2041"/>
      <c r="V732" s="2041"/>
      <c r="W732" s="2041"/>
      <c r="X732" s="2042"/>
      <c r="Y732" s="2251">
        <v>74</v>
      </c>
      <c r="Z732" s="2252"/>
      <c r="AA732" s="2252"/>
      <c r="AB732" s="2253"/>
      <c r="AC732" s="2040">
        <f t="shared" si="48"/>
        <v>1513</v>
      </c>
      <c r="AD732" s="2041"/>
      <c r="AE732" s="2041"/>
      <c r="AF732" s="2041"/>
      <c r="AG732" s="2042"/>
      <c r="AH732" s="2043">
        <v>0.6</v>
      </c>
      <c r="AI732" s="2044"/>
      <c r="AJ732" s="2044"/>
      <c r="AK732" s="2044"/>
      <c r="AL732" s="2045"/>
      <c r="AM732" s="2021">
        <f t="shared" si="49"/>
        <v>0.59992069785884217</v>
      </c>
      <c r="AN732" s="2022"/>
      <c r="AO732" s="202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54" t="s">
        <v>168</v>
      </c>
      <c r="C733" s="2255"/>
      <c r="D733" s="2255"/>
      <c r="E733" s="2255"/>
      <c r="F733" s="2256"/>
      <c r="G733" s="2300">
        <v>8</v>
      </c>
      <c r="H733" s="2301"/>
      <c r="I733" s="2301"/>
      <c r="J733" s="2302"/>
      <c r="K733" s="2293">
        <v>837</v>
      </c>
      <c r="L733" s="2294"/>
      <c r="M733" s="2294"/>
      <c r="N733" s="2295"/>
      <c r="O733" s="2251">
        <v>1713</v>
      </c>
      <c r="P733" s="2252"/>
      <c r="Q733" s="2252"/>
      <c r="R733" s="2252"/>
      <c r="S733" s="2253"/>
      <c r="T733" s="2040">
        <f t="shared" si="47"/>
        <v>13704</v>
      </c>
      <c r="U733" s="2041"/>
      <c r="V733" s="2041"/>
      <c r="W733" s="2041"/>
      <c r="X733" s="2042"/>
      <c r="Y733" s="2251">
        <v>103</v>
      </c>
      <c r="Z733" s="2252"/>
      <c r="AA733" s="2252"/>
      <c r="AB733" s="2253"/>
      <c r="AC733" s="2040">
        <f t="shared" si="48"/>
        <v>1816</v>
      </c>
      <c r="AD733" s="2041"/>
      <c r="AE733" s="2041"/>
      <c r="AF733" s="2041"/>
      <c r="AG733" s="2042"/>
      <c r="AH733" s="2043">
        <v>0.6</v>
      </c>
      <c r="AI733" s="2044"/>
      <c r="AJ733" s="2044"/>
      <c r="AK733" s="2044"/>
      <c r="AL733" s="2045"/>
      <c r="AM733" s="2021">
        <f t="shared" si="49"/>
        <v>0.60013218770654331</v>
      </c>
      <c r="AN733" s="2022"/>
      <c r="AO733" s="202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54"/>
      <c r="C734" s="2255"/>
      <c r="D734" s="2255"/>
      <c r="E734" s="2255"/>
      <c r="F734" s="2256"/>
      <c r="G734" s="2300"/>
      <c r="H734" s="2301"/>
      <c r="I734" s="2301"/>
      <c r="J734" s="2302"/>
      <c r="K734" s="2293"/>
      <c r="L734" s="2294"/>
      <c r="M734" s="2294"/>
      <c r="N734" s="2295"/>
      <c r="O734" s="2251"/>
      <c r="P734" s="2252"/>
      <c r="Q734" s="2252"/>
      <c r="R734" s="2252"/>
      <c r="S734" s="2253"/>
      <c r="T734" s="2040">
        <f t="shared" si="47"/>
        <v>0</v>
      </c>
      <c r="U734" s="2041"/>
      <c r="V734" s="2041"/>
      <c r="W734" s="2041"/>
      <c r="X734" s="2042"/>
      <c r="Y734" s="2251"/>
      <c r="Z734" s="2252"/>
      <c r="AA734" s="2252"/>
      <c r="AB734" s="2253"/>
      <c r="AC734" s="2040">
        <f t="shared" si="48"/>
        <v>0</v>
      </c>
      <c r="AD734" s="2041"/>
      <c r="AE734" s="2041"/>
      <c r="AF734" s="2041"/>
      <c r="AG734" s="2042"/>
      <c r="AH734" s="2043"/>
      <c r="AI734" s="2044"/>
      <c r="AJ734" s="2044"/>
      <c r="AK734" s="2044"/>
      <c r="AL734" s="2045"/>
      <c r="AM734" s="2021" t="str">
        <f t="shared" si="49"/>
        <v xml:space="preserve"> </v>
      </c>
      <c r="AN734" s="2022"/>
      <c r="AO734" s="202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54"/>
      <c r="C735" s="2255"/>
      <c r="D735" s="2255"/>
      <c r="E735" s="2255"/>
      <c r="F735" s="2256"/>
      <c r="G735" s="2300"/>
      <c r="H735" s="2301"/>
      <c r="I735" s="2301"/>
      <c r="J735" s="2302"/>
      <c r="K735" s="2293"/>
      <c r="L735" s="2294"/>
      <c r="M735" s="2294"/>
      <c r="N735" s="2295"/>
      <c r="O735" s="2251"/>
      <c r="P735" s="2252"/>
      <c r="Q735" s="2252"/>
      <c r="R735" s="2252"/>
      <c r="S735" s="2253"/>
      <c r="T735" s="2040">
        <f t="shared" si="47"/>
        <v>0</v>
      </c>
      <c r="U735" s="2041"/>
      <c r="V735" s="2041"/>
      <c r="W735" s="2041"/>
      <c r="X735" s="2042"/>
      <c r="Y735" s="2251"/>
      <c r="Z735" s="2252"/>
      <c r="AA735" s="2252"/>
      <c r="AB735" s="2253"/>
      <c r="AC735" s="2040">
        <f t="shared" si="48"/>
        <v>0</v>
      </c>
      <c r="AD735" s="2041"/>
      <c r="AE735" s="2041"/>
      <c r="AF735" s="2041"/>
      <c r="AG735" s="2042"/>
      <c r="AH735" s="2043"/>
      <c r="AI735" s="2044"/>
      <c r="AJ735" s="2044"/>
      <c r="AK735" s="2044"/>
      <c r="AL735" s="2045"/>
      <c r="AM735" s="2021" t="str">
        <f t="shared" si="49"/>
        <v xml:space="preserve"> </v>
      </c>
      <c r="AN735" s="2022"/>
      <c r="AO735" s="202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54"/>
      <c r="C736" s="2255"/>
      <c r="D736" s="2255"/>
      <c r="E736" s="2255"/>
      <c r="F736" s="2256"/>
      <c r="G736" s="2300"/>
      <c r="H736" s="2301"/>
      <c r="I736" s="2301"/>
      <c r="J736" s="2302"/>
      <c r="K736" s="2293"/>
      <c r="L736" s="2294"/>
      <c r="M736" s="2294"/>
      <c r="N736" s="2295"/>
      <c r="O736" s="2251"/>
      <c r="P736" s="2252"/>
      <c r="Q736" s="2252"/>
      <c r="R736" s="2252"/>
      <c r="S736" s="2253"/>
      <c r="T736" s="2040">
        <f t="shared" si="47"/>
        <v>0</v>
      </c>
      <c r="U736" s="2041"/>
      <c r="V736" s="2041"/>
      <c r="W736" s="2041"/>
      <c r="X736" s="2042"/>
      <c r="Y736" s="2251"/>
      <c r="Z736" s="2252"/>
      <c r="AA736" s="2252"/>
      <c r="AB736" s="2253"/>
      <c r="AC736" s="2040">
        <f t="shared" si="48"/>
        <v>0</v>
      </c>
      <c r="AD736" s="2041"/>
      <c r="AE736" s="2041"/>
      <c r="AF736" s="2041"/>
      <c r="AG736" s="2042"/>
      <c r="AH736" s="2043"/>
      <c r="AI736" s="2044"/>
      <c r="AJ736" s="2044"/>
      <c r="AK736" s="2044"/>
      <c r="AL736" s="2045"/>
      <c r="AM736" s="2021" t="str">
        <f t="shared" si="49"/>
        <v xml:space="preserve"> </v>
      </c>
      <c r="AN736" s="2022"/>
      <c r="AO736" s="202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54"/>
      <c r="C737" s="2255"/>
      <c r="D737" s="2255"/>
      <c r="E737" s="2255"/>
      <c r="F737" s="2256"/>
      <c r="G737" s="2300"/>
      <c r="H737" s="2301"/>
      <c r="I737" s="2301"/>
      <c r="J737" s="2302"/>
      <c r="K737" s="2293"/>
      <c r="L737" s="2294"/>
      <c r="M737" s="2294"/>
      <c r="N737" s="2295"/>
      <c r="O737" s="2251"/>
      <c r="P737" s="2252"/>
      <c r="Q737" s="2252"/>
      <c r="R737" s="2252"/>
      <c r="S737" s="2253"/>
      <c r="T737" s="2040">
        <f t="shared" si="47"/>
        <v>0</v>
      </c>
      <c r="U737" s="2041"/>
      <c r="V737" s="2041"/>
      <c r="W737" s="2041"/>
      <c r="X737" s="2042"/>
      <c r="Y737" s="2251"/>
      <c r="Z737" s="2252"/>
      <c r="AA737" s="2252"/>
      <c r="AB737" s="2253"/>
      <c r="AC737" s="2040">
        <f t="shared" si="48"/>
        <v>0</v>
      </c>
      <c r="AD737" s="2041"/>
      <c r="AE737" s="2041"/>
      <c r="AF737" s="2041"/>
      <c r="AG737" s="2042"/>
      <c r="AH737" s="2043"/>
      <c r="AI737" s="2044"/>
      <c r="AJ737" s="2044"/>
      <c r="AK737" s="2044"/>
      <c r="AL737" s="2045"/>
      <c r="AM737" s="2021" t="str">
        <f t="shared" si="49"/>
        <v xml:space="preserve"> </v>
      </c>
      <c r="AN737" s="2022"/>
      <c r="AO737" s="202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54"/>
      <c r="C738" s="2255"/>
      <c r="D738" s="2255"/>
      <c r="E738" s="2255"/>
      <c r="F738" s="2256"/>
      <c r="G738" s="2300"/>
      <c r="H738" s="2301"/>
      <c r="I738" s="2301"/>
      <c r="J738" s="2302"/>
      <c r="K738" s="2293"/>
      <c r="L738" s="2294"/>
      <c r="M738" s="2294"/>
      <c r="N738" s="2295"/>
      <c r="O738" s="2251"/>
      <c r="P738" s="2252"/>
      <c r="Q738" s="2252"/>
      <c r="R738" s="2252"/>
      <c r="S738" s="2253"/>
      <c r="T738" s="2040">
        <f t="shared" si="47"/>
        <v>0</v>
      </c>
      <c r="U738" s="2041"/>
      <c r="V738" s="2041"/>
      <c r="W738" s="2041"/>
      <c r="X738" s="2042"/>
      <c r="Y738" s="2251"/>
      <c r="Z738" s="2252"/>
      <c r="AA738" s="2252"/>
      <c r="AB738" s="2253"/>
      <c r="AC738" s="2040">
        <f t="shared" si="48"/>
        <v>0</v>
      </c>
      <c r="AD738" s="2041"/>
      <c r="AE738" s="2041"/>
      <c r="AF738" s="2041"/>
      <c r="AG738" s="2042"/>
      <c r="AH738" s="2043"/>
      <c r="AI738" s="2044"/>
      <c r="AJ738" s="2044"/>
      <c r="AK738" s="2044"/>
      <c r="AL738" s="2045"/>
      <c r="AM738" s="2021" t="str">
        <f t="shared" si="49"/>
        <v xml:space="preserve"> </v>
      </c>
      <c r="AN738" s="2022"/>
      <c r="AO738" s="202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54"/>
      <c r="C739" s="2255"/>
      <c r="D739" s="2255"/>
      <c r="E739" s="2255"/>
      <c r="F739" s="2256"/>
      <c r="G739" s="2300"/>
      <c r="H739" s="2301"/>
      <c r="I739" s="2301"/>
      <c r="J739" s="2302"/>
      <c r="K739" s="2293"/>
      <c r="L739" s="2294"/>
      <c r="M739" s="2294"/>
      <c r="N739" s="2295"/>
      <c r="O739" s="2251"/>
      <c r="P739" s="2252"/>
      <c r="Q739" s="2252"/>
      <c r="R739" s="2252"/>
      <c r="S739" s="2253"/>
      <c r="T739" s="2040">
        <f t="shared" si="47"/>
        <v>0</v>
      </c>
      <c r="U739" s="2041"/>
      <c r="V739" s="2041"/>
      <c r="W739" s="2041"/>
      <c r="X739" s="2042"/>
      <c r="Y739" s="2251">
        <v>0</v>
      </c>
      <c r="Z739" s="2252"/>
      <c r="AA739" s="2252"/>
      <c r="AB739" s="2253"/>
      <c r="AC739" s="2040">
        <f t="shared" si="48"/>
        <v>0</v>
      </c>
      <c r="AD739" s="2041"/>
      <c r="AE739" s="2041"/>
      <c r="AF739" s="2041"/>
      <c r="AG739" s="2042"/>
      <c r="AH739" s="2043">
        <v>0</v>
      </c>
      <c r="AI739" s="2044"/>
      <c r="AJ739" s="2044"/>
      <c r="AK739" s="2044"/>
      <c r="AL739" s="2045"/>
      <c r="AM739" s="2021" t="str">
        <f t="shared" si="49"/>
        <v xml:space="preserve"> </v>
      </c>
      <c r="AN739" s="2022"/>
      <c r="AO739" s="202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54"/>
      <c r="C740" s="2255"/>
      <c r="D740" s="2255"/>
      <c r="E740" s="2255"/>
      <c r="F740" s="2256"/>
      <c r="G740" s="2300"/>
      <c r="H740" s="2301"/>
      <c r="I740" s="2301"/>
      <c r="J740" s="2302"/>
      <c r="K740" s="2293"/>
      <c r="L740" s="2294"/>
      <c r="M740" s="2294"/>
      <c r="N740" s="2295"/>
      <c r="O740" s="2251"/>
      <c r="P740" s="2252"/>
      <c r="Q740" s="2252"/>
      <c r="R740" s="2252"/>
      <c r="S740" s="2253"/>
      <c r="T740" s="2040">
        <f t="shared" si="47"/>
        <v>0</v>
      </c>
      <c r="U740" s="2041"/>
      <c r="V740" s="2041"/>
      <c r="W740" s="2041"/>
      <c r="X740" s="2042"/>
      <c r="Y740" s="2251">
        <v>0</v>
      </c>
      <c r="Z740" s="2252"/>
      <c r="AA740" s="2252"/>
      <c r="AB740" s="2253"/>
      <c r="AC740" s="2040">
        <f t="shared" si="48"/>
        <v>0</v>
      </c>
      <c r="AD740" s="2041"/>
      <c r="AE740" s="2041"/>
      <c r="AF740" s="2041"/>
      <c r="AG740" s="2042"/>
      <c r="AH740" s="2043">
        <v>0</v>
      </c>
      <c r="AI740" s="2044"/>
      <c r="AJ740" s="2044"/>
      <c r="AK740" s="2044"/>
      <c r="AL740" s="2045"/>
      <c r="AM740" s="2021" t="str">
        <f t="shared" si="49"/>
        <v xml:space="preserve"> </v>
      </c>
      <c r="AN740" s="2022"/>
      <c r="AO740" s="202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54"/>
      <c r="C741" s="2255"/>
      <c r="D741" s="2255"/>
      <c r="E741" s="2255"/>
      <c r="F741" s="2256"/>
      <c r="G741" s="2300"/>
      <c r="H741" s="2301"/>
      <c r="I741" s="2301"/>
      <c r="J741" s="2302"/>
      <c r="K741" s="2293"/>
      <c r="L741" s="2294"/>
      <c r="M741" s="2294"/>
      <c r="N741" s="2295"/>
      <c r="O741" s="2251"/>
      <c r="P741" s="2252"/>
      <c r="Q741" s="2252"/>
      <c r="R741" s="2252"/>
      <c r="S741" s="2253"/>
      <c r="T741" s="2040">
        <f t="shared" si="47"/>
        <v>0</v>
      </c>
      <c r="U741" s="2041"/>
      <c r="V741" s="2041"/>
      <c r="W741" s="2041"/>
      <c r="X741" s="2042"/>
      <c r="Y741" s="2251">
        <v>0</v>
      </c>
      <c r="Z741" s="2252"/>
      <c r="AA741" s="2252"/>
      <c r="AB741" s="2253"/>
      <c r="AC741" s="2040">
        <f t="shared" si="48"/>
        <v>0</v>
      </c>
      <c r="AD741" s="2041"/>
      <c r="AE741" s="2041"/>
      <c r="AF741" s="2041"/>
      <c r="AG741" s="2042"/>
      <c r="AH741" s="2043">
        <v>0</v>
      </c>
      <c r="AI741" s="2044"/>
      <c r="AJ741" s="2044"/>
      <c r="AK741" s="2044"/>
      <c r="AL741" s="2045"/>
      <c r="AM741" s="2021" t="str">
        <f t="shared" si="49"/>
        <v xml:space="preserve"> </v>
      </c>
      <c r="AN741" s="2022"/>
      <c r="AO741" s="202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54"/>
      <c r="C742" s="2255"/>
      <c r="D742" s="2255"/>
      <c r="E742" s="2255"/>
      <c r="F742" s="2256"/>
      <c r="G742" s="2300"/>
      <c r="H742" s="2301"/>
      <c r="I742" s="2301"/>
      <c r="J742" s="2302"/>
      <c r="K742" s="2293"/>
      <c r="L742" s="2294"/>
      <c r="M742" s="2294"/>
      <c r="N742" s="2295"/>
      <c r="O742" s="2251"/>
      <c r="P742" s="2252"/>
      <c r="Q742" s="2252"/>
      <c r="R742" s="2252"/>
      <c r="S742" s="2253"/>
      <c r="T742" s="2040">
        <f t="shared" si="47"/>
        <v>0</v>
      </c>
      <c r="U742" s="2041"/>
      <c r="V742" s="2041"/>
      <c r="W742" s="2041"/>
      <c r="X742" s="2042"/>
      <c r="Y742" s="2251">
        <v>0</v>
      </c>
      <c r="Z742" s="2252"/>
      <c r="AA742" s="2252"/>
      <c r="AB742" s="2253"/>
      <c r="AC742" s="2040">
        <f t="shared" si="48"/>
        <v>0</v>
      </c>
      <c r="AD742" s="2041"/>
      <c r="AE742" s="2041"/>
      <c r="AF742" s="2041"/>
      <c r="AG742" s="2042"/>
      <c r="AH742" s="2043">
        <v>0</v>
      </c>
      <c r="AI742" s="2044"/>
      <c r="AJ742" s="2044"/>
      <c r="AK742" s="2044"/>
      <c r="AL742" s="2045"/>
      <c r="AM742" s="2021" t="str">
        <f t="shared" si="49"/>
        <v xml:space="preserve"> </v>
      </c>
      <c r="AN742" s="2022"/>
      <c r="AO742" s="202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54"/>
      <c r="C743" s="2255"/>
      <c r="D743" s="2255"/>
      <c r="E743" s="2255"/>
      <c r="F743" s="2256"/>
      <c r="G743" s="2300"/>
      <c r="H743" s="2301"/>
      <c r="I743" s="2301"/>
      <c r="J743" s="2302"/>
      <c r="K743" s="2293"/>
      <c r="L743" s="2294"/>
      <c r="M743" s="2294"/>
      <c r="N743" s="2295"/>
      <c r="O743" s="2251"/>
      <c r="P743" s="2252"/>
      <c r="Q743" s="2252"/>
      <c r="R743" s="2252"/>
      <c r="S743" s="2253"/>
      <c r="T743" s="2040">
        <f t="shared" si="47"/>
        <v>0</v>
      </c>
      <c r="U743" s="2041"/>
      <c r="V743" s="2041"/>
      <c r="W743" s="2041"/>
      <c r="X743" s="2042"/>
      <c r="Y743" s="2251">
        <v>0</v>
      </c>
      <c r="Z743" s="2252"/>
      <c r="AA743" s="2252"/>
      <c r="AB743" s="2253"/>
      <c r="AC743" s="2040">
        <f t="shared" si="48"/>
        <v>0</v>
      </c>
      <c r="AD743" s="2041"/>
      <c r="AE743" s="2041"/>
      <c r="AF743" s="2041"/>
      <c r="AG743" s="2042"/>
      <c r="AH743" s="2043">
        <v>0</v>
      </c>
      <c r="AI743" s="2044"/>
      <c r="AJ743" s="2044"/>
      <c r="AK743" s="2044"/>
      <c r="AL743" s="2045"/>
      <c r="AM743" s="2021" t="str">
        <f t="shared" si="49"/>
        <v xml:space="preserve"> </v>
      </c>
      <c r="AN743" s="2022"/>
      <c r="AO743" s="202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54"/>
      <c r="C744" s="2255"/>
      <c r="D744" s="2255"/>
      <c r="E744" s="2255"/>
      <c r="F744" s="2256"/>
      <c r="G744" s="2300"/>
      <c r="H744" s="2301"/>
      <c r="I744" s="2301"/>
      <c r="J744" s="2302"/>
      <c r="K744" s="2293"/>
      <c r="L744" s="2294"/>
      <c r="M744" s="2294"/>
      <c r="N744" s="2295"/>
      <c r="O744" s="2251"/>
      <c r="P744" s="2252"/>
      <c r="Q744" s="2252"/>
      <c r="R744" s="2252"/>
      <c r="S744" s="2253"/>
      <c r="T744" s="2040">
        <f t="shared" si="47"/>
        <v>0</v>
      </c>
      <c r="U744" s="2041"/>
      <c r="V744" s="2041"/>
      <c r="W744" s="2041"/>
      <c r="X744" s="2042"/>
      <c r="Y744" s="2251">
        <v>0</v>
      </c>
      <c r="Z744" s="2252"/>
      <c r="AA744" s="2252"/>
      <c r="AB744" s="2253"/>
      <c r="AC744" s="2040">
        <f t="shared" si="48"/>
        <v>0</v>
      </c>
      <c r="AD744" s="2041"/>
      <c r="AE744" s="2041"/>
      <c r="AF744" s="2041"/>
      <c r="AG744" s="2042"/>
      <c r="AH744" s="2043">
        <v>0</v>
      </c>
      <c r="AI744" s="2044"/>
      <c r="AJ744" s="2044"/>
      <c r="AK744" s="2044"/>
      <c r="AL744" s="2045"/>
      <c r="AM744" s="2021" t="str">
        <f t="shared" si="49"/>
        <v xml:space="preserve"> </v>
      </c>
      <c r="AN744" s="2022"/>
      <c r="AO744" s="202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54"/>
      <c r="C745" s="2255"/>
      <c r="D745" s="2255"/>
      <c r="E745" s="2255"/>
      <c r="F745" s="2256"/>
      <c r="G745" s="2300"/>
      <c r="H745" s="2301"/>
      <c r="I745" s="2301"/>
      <c r="J745" s="2302"/>
      <c r="K745" s="2293"/>
      <c r="L745" s="2294"/>
      <c r="M745" s="2294"/>
      <c r="N745" s="2295"/>
      <c r="O745" s="2251"/>
      <c r="P745" s="2252"/>
      <c r="Q745" s="2252"/>
      <c r="R745" s="2252"/>
      <c r="S745" s="2253"/>
      <c r="T745" s="2040">
        <f t="shared" si="47"/>
        <v>0</v>
      </c>
      <c r="U745" s="2041"/>
      <c r="V745" s="2041"/>
      <c r="W745" s="2041"/>
      <c r="X745" s="2042"/>
      <c r="Y745" s="2251">
        <v>0</v>
      </c>
      <c r="Z745" s="2252"/>
      <c r="AA745" s="2252"/>
      <c r="AB745" s="2253"/>
      <c r="AC745" s="2040">
        <f t="shared" si="48"/>
        <v>0</v>
      </c>
      <c r="AD745" s="2041"/>
      <c r="AE745" s="2041"/>
      <c r="AF745" s="2041"/>
      <c r="AG745" s="2042"/>
      <c r="AH745" s="2043">
        <v>0</v>
      </c>
      <c r="AI745" s="2044"/>
      <c r="AJ745" s="2044"/>
      <c r="AK745" s="2044"/>
      <c r="AL745" s="2045"/>
      <c r="AM745" s="2021" t="str">
        <f t="shared" si="49"/>
        <v xml:space="preserve"> </v>
      </c>
      <c r="AN745" s="2022"/>
      <c r="AO745" s="202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54"/>
      <c r="C746" s="2255"/>
      <c r="D746" s="2255"/>
      <c r="E746" s="2255"/>
      <c r="F746" s="2256"/>
      <c r="G746" s="2300"/>
      <c r="H746" s="2301"/>
      <c r="I746" s="2301"/>
      <c r="J746" s="2302"/>
      <c r="K746" s="2293"/>
      <c r="L746" s="2294"/>
      <c r="M746" s="2294"/>
      <c r="N746" s="2295"/>
      <c r="O746" s="2251"/>
      <c r="P746" s="2252"/>
      <c r="Q746" s="2252"/>
      <c r="R746" s="2252"/>
      <c r="S746" s="2253"/>
      <c r="T746" s="2040">
        <f t="shared" si="47"/>
        <v>0</v>
      </c>
      <c r="U746" s="2041"/>
      <c r="V746" s="2041"/>
      <c r="W746" s="2041"/>
      <c r="X746" s="2042"/>
      <c r="Y746" s="2251">
        <v>0</v>
      </c>
      <c r="Z746" s="2252"/>
      <c r="AA746" s="2252"/>
      <c r="AB746" s="2253"/>
      <c r="AC746" s="2040">
        <f t="shared" si="48"/>
        <v>0</v>
      </c>
      <c r="AD746" s="2041"/>
      <c r="AE746" s="2041"/>
      <c r="AF746" s="2041"/>
      <c r="AG746" s="2042"/>
      <c r="AH746" s="2043">
        <v>0</v>
      </c>
      <c r="AI746" s="2044"/>
      <c r="AJ746" s="2044"/>
      <c r="AK746" s="2044"/>
      <c r="AL746" s="2045"/>
      <c r="AM746" s="2021" t="str">
        <f t="shared" si="49"/>
        <v xml:space="preserve"> </v>
      </c>
      <c r="AN746" s="2022"/>
      <c r="AO746" s="202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54"/>
      <c r="C747" s="2255"/>
      <c r="D747" s="2255"/>
      <c r="E747" s="2255"/>
      <c r="F747" s="2256"/>
      <c r="G747" s="2300"/>
      <c r="H747" s="2301"/>
      <c r="I747" s="2301"/>
      <c r="J747" s="2302"/>
      <c r="K747" s="2293"/>
      <c r="L747" s="2294"/>
      <c r="M747" s="2294"/>
      <c r="N747" s="2295"/>
      <c r="O747" s="2251"/>
      <c r="P747" s="2252"/>
      <c r="Q747" s="2252"/>
      <c r="R747" s="2252"/>
      <c r="S747" s="2253"/>
      <c r="T747" s="2040">
        <f t="shared" si="47"/>
        <v>0</v>
      </c>
      <c r="U747" s="2041"/>
      <c r="V747" s="2041"/>
      <c r="W747" s="2041"/>
      <c r="X747" s="2042"/>
      <c r="Y747" s="2251">
        <v>0</v>
      </c>
      <c r="Z747" s="2252"/>
      <c r="AA747" s="2252"/>
      <c r="AB747" s="2253"/>
      <c r="AC747" s="2040">
        <f t="shared" si="48"/>
        <v>0</v>
      </c>
      <c r="AD747" s="2041"/>
      <c r="AE747" s="2041"/>
      <c r="AF747" s="2041"/>
      <c r="AG747" s="2042"/>
      <c r="AH747" s="2043">
        <v>0</v>
      </c>
      <c r="AI747" s="2044"/>
      <c r="AJ747" s="2044"/>
      <c r="AK747" s="2044"/>
      <c r="AL747" s="2045"/>
      <c r="AM747" s="2021" t="str">
        <f t="shared" si="49"/>
        <v xml:space="preserve"> </v>
      </c>
      <c r="AN747" s="2022"/>
      <c r="AO747" s="202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54"/>
      <c r="C748" s="2255"/>
      <c r="D748" s="2255"/>
      <c r="E748" s="2255"/>
      <c r="F748" s="2256"/>
      <c r="G748" s="2300"/>
      <c r="H748" s="2301"/>
      <c r="I748" s="2301"/>
      <c r="J748" s="2302"/>
      <c r="K748" s="2293"/>
      <c r="L748" s="2294"/>
      <c r="M748" s="2294"/>
      <c r="N748" s="2295"/>
      <c r="O748" s="2251"/>
      <c r="P748" s="2252"/>
      <c r="Q748" s="2252"/>
      <c r="R748" s="2252"/>
      <c r="S748" s="2253"/>
      <c r="T748" s="2040">
        <f t="shared" si="47"/>
        <v>0</v>
      </c>
      <c r="U748" s="2041"/>
      <c r="V748" s="2041"/>
      <c r="W748" s="2041"/>
      <c r="X748" s="2042"/>
      <c r="Y748" s="2251">
        <v>0</v>
      </c>
      <c r="Z748" s="2252"/>
      <c r="AA748" s="2252"/>
      <c r="AB748" s="2253"/>
      <c r="AC748" s="2040">
        <f t="shared" si="48"/>
        <v>0</v>
      </c>
      <c r="AD748" s="2041"/>
      <c r="AE748" s="2041"/>
      <c r="AF748" s="2041"/>
      <c r="AG748" s="2042"/>
      <c r="AH748" s="2043">
        <v>0</v>
      </c>
      <c r="AI748" s="2044"/>
      <c r="AJ748" s="2044"/>
      <c r="AK748" s="2044"/>
      <c r="AL748" s="2045"/>
      <c r="AM748" s="2021" t="str">
        <f t="shared" si="49"/>
        <v xml:space="preserve"> </v>
      </c>
      <c r="AN748" s="2022"/>
      <c r="AO748" s="202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54"/>
      <c r="C749" s="2255"/>
      <c r="D749" s="2255"/>
      <c r="E749" s="2255"/>
      <c r="F749" s="2256"/>
      <c r="G749" s="2300"/>
      <c r="H749" s="2301"/>
      <c r="I749" s="2301"/>
      <c r="J749" s="2302"/>
      <c r="K749" s="2293"/>
      <c r="L749" s="2294"/>
      <c r="M749" s="2294"/>
      <c r="N749" s="2295"/>
      <c r="O749" s="2251"/>
      <c r="P749" s="2252"/>
      <c r="Q749" s="2252"/>
      <c r="R749" s="2252"/>
      <c r="S749" s="2253"/>
      <c r="T749" s="2040">
        <f t="shared" si="47"/>
        <v>0</v>
      </c>
      <c r="U749" s="2041"/>
      <c r="V749" s="2041"/>
      <c r="W749" s="2041"/>
      <c r="X749" s="2042"/>
      <c r="Y749" s="2251">
        <v>0</v>
      </c>
      <c r="Z749" s="2252"/>
      <c r="AA749" s="2252"/>
      <c r="AB749" s="2253"/>
      <c r="AC749" s="2040">
        <f t="shared" si="48"/>
        <v>0</v>
      </c>
      <c r="AD749" s="2041"/>
      <c r="AE749" s="2041"/>
      <c r="AF749" s="2041"/>
      <c r="AG749" s="2042"/>
      <c r="AH749" s="2043">
        <v>0</v>
      </c>
      <c r="AI749" s="2044"/>
      <c r="AJ749" s="2044"/>
      <c r="AK749" s="2044"/>
      <c r="AL749" s="2045"/>
      <c r="AM749" s="2021" t="str">
        <f t="shared" si="49"/>
        <v xml:space="preserve"> </v>
      </c>
      <c r="AN749" s="2022"/>
      <c r="AO749" s="202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4"/>
      <c r="C750" s="2255"/>
      <c r="D750" s="2255"/>
      <c r="E750" s="2255"/>
      <c r="F750" s="2256"/>
      <c r="G750" s="2300"/>
      <c r="H750" s="2301"/>
      <c r="I750" s="2301"/>
      <c r="J750" s="2302"/>
      <c r="K750" s="2293"/>
      <c r="L750" s="2294"/>
      <c r="M750" s="2294"/>
      <c r="N750" s="2295"/>
      <c r="O750" s="2251"/>
      <c r="P750" s="2252"/>
      <c r="Q750" s="2252"/>
      <c r="R750" s="2252"/>
      <c r="S750" s="2253"/>
      <c r="T750" s="2040">
        <f t="shared" si="47"/>
        <v>0</v>
      </c>
      <c r="U750" s="2041"/>
      <c r="V750" s="2041"/>
      <c r="W750" s="2041"/>
      <c r="X750" s="2042"/>
      <c r="Y750" s="2251">
        <v>0</v>
      </c>
      <c r="Z750" s="2252"/>
      <c r="AA750" s="2252"/>
      <c r="AB750" s="2253"/>
      <c r="AC750" s="2040">
        <f t="shared" si="48"/>
        <v>0</v>
      </c>
      <c r="AD750" s="2041"/>
      <c r="AE750" s="2041"/>
      <c r="AF750" s="2041"/>
      <c r="AG750" s="2042"/>
      <c r="AH750" s="2043">
        <v>0</v>
      </c>
      <c r="AI750" s="2044"/>
      <c r="AJ750" s="2044"/>
      <c r="AK750" s="2044"/>
      <c r="AL750" s="2045"/>
      <c r="AM750" s="2021" t="str">
        <f t="shared" si="49"/>
        <v xml:space="preserve"> </v>
      </c>
      <c r="AN750" s="2022"/>
      <c r="AO750" s="202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4"/>
      <c r="C751" s="2255"/>
      <c r="D751" s="2255"/>
      <c r="E751" s="2255"/>
      <c r="F751" s="2256"/>
      <c r="G751" s="2300"/>
      <c r="H751" s="2301"/>
      <c r="I751" s="2301"/>
      <c r="J751" s="2302"/>
      <c r="K751" s="2293"/>
      <c r="L751" s="2294"/>
      <c r="M751" s="2294"/>
      <c r="N751" s="2295"/>
      <c r="O751" s="2251"/>
      <c r="P751" s="2252"/>
      <c r="Q751" s="2252"/>
      <c r="R751" s="2252"/>
      <c r="S751" s="2253"/>
      <c r="T751" s="2040">
        <f t="shared" si="47"/>
        <v>0</v>
      </c>
      <c r="U751" s="2041"/>
      <c r="V751" s="2041"/>
      <c r="W751" s="2041"/>
      <c r="X751" s="2042"/>
      <c r="Y751" s="2251">
        <v>0</v>
      </c>
      <c r="Z751" s="2252"/>
      <c r="AA751" s="2252"/>
      <c r="AB751" s="2253"/>
      <c r="AC751" s="2040">
        <f t="shared" si="48"/>
        <v>0</v>
      </c>
      <c r="AD751" s="2041"/>
      <c r="AE751" s="2041"/>
      <c r="AF751" s="2041"/>
      <c r="AG751" s="2042"/>
      <c r="AH751" s="2043">
        <v>0</v>
      </c>
      <c r="AI751" s="2044"/>
      <c r="AJ751" s="2044"/>
      <c r="AK751" s="2044"/>
      <c r="AL751" s="2045"/>
      <c r="AM751" s="2021" t="str">
        <f t="shared" si="49"/>
        <v xml:space="preserve"> </v>
      </c>
      <c r="AN751" s="2022"/>
      <c r="AO751" s="202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54"/>
      <c r="C752" s="2255"/>
      <c r="D752" s="2255"/>
      <c r="E752" s="2255"/>
      <c r="F752" s="2256"/>
      <c r="G752" s="2300"/>
      <c r="H752" s="2301"/>
      <c r="I752" s="2301"/>
      <c r="J752" s="2302"/>
      <c r="K752" s="2293"/>
      <c r="L752" s="2294"/>
      <c r="M752" s="2294"/>
      <c r="N752" s="2295"/>
      <c r="O752" s="2251"/>
      <c r="P752" s="2252"/>
      <c r="Q752" s="2252"/>
      <c r="R752" s="2252"/>
      <c r="S752" s="2253"/>
      <c r="T752" s="2040">
        <f t="shared" si="47"/>
        <v>0</v>
      </c>
      <c r="U752" s="2041"/>
      <c r="V752" s="2041"/>
      <c r="W752" s="2041"/>
      <c r="X752" s="2042"/>
      <c r="Y752" s="2251">
        <v>0</v>
      </c>
      <c r="Z752" s="2252"/>
      <c r="AA752" s="2252"/>
      <c r="AB752" s="2253"/>
      <c r="AC752" s="2040">
        <f t="shared" si="48"/>
        <v>0</v>
      </c>
      <c r="AD752" s="2041"/>
      <c r="AE752" s="2041"/>
      <c r="AF752" s="2041"/>
      <c r="AG752" s="2042"/>
      <c r="AH752" s="2043">
        <v>0</v>
      </c>
      <c r="AI752" s="2044"/>
      <c r="AJ752" s="2044"/>
      <c r="AK752" s="2044"/>
      <c r="AL752" s="2045"/>
      <c r="AM752" s="2021" t="str">
        <f t="shared" si="49"/>
        <v xml:space="preserve"> </v>
      </c>
      <c r="AN752" s="2022"/>
      <c r="AO752" s="202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7" t="s">
        <v>130</v>
      </c>
      <c r="C753" s="2298"/>
      <c r="D753" s="2298"/>
      <c r="E753" s="2298"/>
      <c r="F753" s="2299"/>
      <c r="G753" s="2417">
        <f>SUM(G728:J752)</f>
        <v>64</v>
      </c>
      <c r="H753" s="2418"/>
      <c r="I753" s="2418"/>
      <c r="J753" s="2419"/>
      <c r="O753" s="1585" t="s">
        <v>129</v>
      </c>
      <c r="P753" s="1586"/>
      <c r="Q753" s="1586"/>
      <c r="R753" s="1586"/>
      <c r="S753" s="1587"/>
      <c r="T753" s="2040">
        <f>SUM(T728:X752)</f>
        <v>83113</v>
      </c>
      <c r="U753" s="2041"/>
      <c r="V753" s="2041"/>
      <c r="W753" s="2041"/>
      <c r="X753" s="2042"/>
      <c r="AC753" s="1589" t="s">
        <v>969</v>
      </c>
      <c r="AD753" s="1588"/>
      <c r="AE753" s="1588"/>
      <c r="AF753" s="1588"/>
      <c r="AG753" s="1590"/>
      <c r="AH753" s="2234">
        <f>BI696</f>
        <v>0.546875</v>
      </c>
      <c r="AI753" s="2235"/>
      <c r="AJ753" s="2235"/>
      <c r="AK753" s="2235"/>
      <c r="AL753" s="2236"/>
      <c r="AM753" s="2234">
        <f>BI728</f>
        <v>0.5264348755734729</v>
      </c>
      <c r="AN753" s="2235"/>
      <c r="AO753" s="223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83" t="s">
        <v>626</v>
      </c>
      <c r="AG755" s="2283"/>
      <c r="AH755" s="228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04" t="s">
        <v>407</v>
      </c>
      <c r="K768" s="2305"/>
      <c r="L768" s="2305"/>
      <c r="M768" s="2305"/>
      <c r="N768" s="2306"/>
      <c r="O768" s="2372" t="s">
        <v>291</v>
      </c>
      <c r="P768" s="2372"/>
      <c r="Q768" s="2372"/>
      <c r="R768" s="2372"/>
      <c r="S768" s="2372"/>
      <c r="T768" s="2284" t="s">
        <v>2156</v>
      </c>
      <c r="U768" s="2285"/>
      <c r="V768" s="2285"/>
      <c r="W768" s="2286"/>
      <c r="X768" s="2304" t="s">
        <v>478</v>
      </c>
      <c r="Y768" s="2305"/>
      <c r="Z768" s="2305"/>
      <c r="AA768" s="2305"/>
      <c r="AB768" s="2306"/>
      <c r="AC768" s="2304" t="s">
        <v>292</v>
      </c>
      <c r="AD768" s="2305"/>
      <c r="AE768" s="2305"/>
      <c r="AF768" s="2305"/>
      <c r="AG768" s="230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7"/>
      <c r="K769" s="2308"/>
      <c r="L769" s="2308"/>
      <c r="M769" s="2308"/>
      <c r="N769" s="2309"/>
      <c r="O769" s="2372"/>
      <c r="P769" s="2372"/>
      <c r="Q769" s="2372"/>
      <c r="R769" s="2372"/>
      <c r="S769" s="2372"/>
      <c r="T769" s="2287"/>
      <c r="U769" s="2288"/>
      <c r="V769" s="2288"/>
      <c r="W769" s="2289"/>
      <c r="X769" s="2307"/>
      <c r="Y769" s="2308"/>
      <c r="Z769" s="2308"/>
      <c r="AA769" s="2308"/>
      <c r="AB769" s="2309"/>
      <c r="AC769" s="2307"/>
      <c r="AD769" s="2308"/>
      <c r="AE769" s="2308"/>
      <c r="AF769" s="2308"/>
      <c r="AG769" s="230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7"/>
      <c r="K770" s="2308"/>
      <c r="L770" s="2308"/>
      <c r="M770" s="2308"/>
      <c r="N770" s="2309"/>
      <c r="O770" s="2372"/>
      <c r="P770" s="2372"/>
      <c r="Q770" s="2372"/>
      <c r="R770" s="2372"/>
      <c r="S770" s="2372"/>
      <c r="T770" s="2287"/>
      <c r="U770" s="2288"/>
      <c r="V770" s="2288"/>
      <c r="W770" s="2289"/>
      <c r="X770" s="2307"/>
      <c r="Y770" s="2308"/>
      <c r="Z770" s="2308"/>
      <c r="AA770" s="2308"/>
      <c r="AB770" s="2309"/>
      <c r="AC770" s="2307"/>
      <c r="AD770" s="2308"/>
      <c r="AE770" s="2308"/>
      <c r="AF770" s="2308"/>
      <c r="AG770" s="230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0"/>
      <c r="K771" s="2311"/>
      <c r="L771" s="2311"/>
      <c r="M771" s="2311"/>
      <c r="N771" s="2312"/>
      <c r="O771" s="2372"/>
      <c r="P771" s="2372"/>
      <c r="Q771" s="2372"/>
      <c r="R771" s="2372"/>
      <c r="S771" s="2372"/>
      <c r="T771" s="2290"/>
      <c r="U771" s="2291"/>
      <c r="V771" s="2291"/>
      <c r="W771" s="2292"/>
      <c r="X771" s="2310"/>
      <c r="Y771" s="2311"/>
      <c r="Z771" s="2311"/>
      <c r="AA771" s="2311"/>
      <c r="AB771" s="2312"/>
      <c r="AC771" s="2310"/>
      <c r="AD771" s="2311"/>
      <c r="AE771" s="2311"/>
      <c r="AF771" s="2311"/>
      <c r="AG771" s="231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4" t="s">
        <v>168</v>
      </c>
      <c r="K772" s="2255"/>
      <c r="L772" s="2255"/>
      <c r="M772" s="2255"/>
      <c r="N772" s="2256"/>
      <c r="O772" s="2296">
        <v>1</v>
      </c>
      <c r="P772" s="2296"/>
      <c r="Q772" s="2296"/>
      <c r="R772" s="2296"/>
      <c r="S772" s="2296"/>
      <c r="T772" s="2293">
        <v>929</v>
      </c>
      <c r="U772" s="2294"/>
      <c r="V772" s="2294"/>
      <c r="W772" s="2295"/>
      <c r="X772" s="2251"/>
      <c r="Y772" s="2252"/>
      <c r="Z772" s="2252"/>
      <c r="AA772" s="2252"/>
      <c r="AB772" s="2253"/>
      <c r="AC772" s="2040">
        <f>X772*O772</f>
        <v>0</v>
      </c>
      <c r="AD772" s="2041"/>
      <c r="AE772" s="2041"/>
      <c r="AF772" s="2041"/>
      <c r="AG772" s="20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4"/>
      <c r="K773" s="2255"/>
      <c r="L773" s="2255"/>
      <c r="M773" s="2255"/>
      <c r="N773" s="2256"/>
      <c r="O773" s="2296"/>
      <c r="P773" s="2296"/>
      <c r="Q773" s="2296"/>
      <c r="R773" s="2296"/>
      <c r="S773" s="2296"/>
      <c r="T773" s="2293"/>
      <c r="U773" s="2294"/>
      <c r="V773" s="2294"/>
      <c r="W773" s="2295"/>
      <c r="X773" s="2251"/>
      <c r="Y773" s="2252"/>
      <c r="Z773" s="2252"/>
      <c r="AA773" s="2252"/>
      <c r="AB773" s="2253"/>
      <c r="AC773" s="2040">
        <f>X773*O773</f>
        <v>0</v>
      </c>
      <c r="AD773" s="2041"/>
      <c r="AE773" s="2041"/>
      <c r="AF773" s="2041"/>
      <c r="AG773" s="20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4"/>
      <c r="K774" s="2255"/>
      <c r="L774" s="2255"/>
      <c r="M774" s="2255"/>
      <c r="N774" s="2256"/>
      <c r="O774" s="2296"/>
      <c r="P774" s="2296"/>
      <c r="Q774" s="2296"/>
      <c r="R774" s="2296"/>
      <c r="S774" s="2296"/>
      <c r="T774" s="2293"/>
      <c r="U774" s="2294"/>
      <c r="V774" s="2294"/>
      <c r="W774" s="2295"/>
      <c r="X774" s="2251"/>
      <c r="Y774" s="2252"/>
      <c r="Z774" s="2252"/>
      <c r="AA774" s="2252"/>
      <c r="AB774" s="2253"/>
      <c r="AC774" s="2040">
        <f>X774*O774</f>
        <v>0</v>
      </c>
      <c r="AD774" s="2041"/>
      <c r="AE774" s="2041"/>
      <c r="AF774" s="2041"/>
      <c r="AG774" s="20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4"/>
      <c r="K775" s="2255"/>
      <c r="L775" s="2255"/>
      <c r="M775" s="2255"/>
      <c r="N775" s="2256"/>
      <c r="O775" s="2296"/>
      <c r="P775" s="2296"/>
      <c r="Q775" s="2296"/>
      <c r="R775" s="2296"/>
      <c r="S775" s="2296"/>
      <c r="T775" s="2293"/>
      <c r="U775" s="2294"/>
      <c r="V775" s="2294"/>
      <c r="W775" s="2295"/>
      <c r="X775" s="2251"/>
      <c r="Y775" s="2252"/>
      <c r="Z775" s="2252"/>
      <c r="AA775" s="2252"/>
      <c r="AB775" s="2253"/>
      <c r="AC775" s="2040">
        <f>X775*O775</f>
        <v>0</v>
      </c>
      <c r="AD775" s="2041"/>
      <c r="AE775" s="2041"/>
      <c r="AF775" s="2041"/>
      <c r="AG775" s="20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7" t="s">
        <v>130</v>
      </c>
      <c r="K776" s="2298"/>
      <c r="L776" s="2298"/>
      <c r="M776" s="2298"/>
      <c r="N776" s="2299"/>
      <c r="O776" s="2410">
        <f>SUM(O772:S775)</f>
        <v>1</v>
      </c>
      <c r="P776" s="2411"/>
      <c r="Q776" s="2411"/>
      <c r="R776" s="2411"/>
      <c r="S776" s="2412"/>
      <c r="X776" s="2354" t="s">
        <v>129</v>
      </c>
      <c r="Y776" s="2355"/>
      <c r="Z776" s="2355"/>
      <c r="AA776" s="2355"/>
      <c r="AB776" s="2356"/>
      <c r="AC776" s="2040">
        <f>SUM(AC772:AG775)</f>
        <v>0</v>
      </c>
      <c r="AD776" s="2041"/>
      <c r="AE776" s="2041"/>
      <c r="AF776" s="2041"/>
      <c r="AG776" s="20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6" t="s">
        <v>706</v>
      </c>
      <c r="K778" s="236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4" t="s">
        <v>407</v>
      </c>
      <c r="K782" s="2305"/>
      <c r="L782" s="2305"/>
      <c r="M782" s="2305"/>
      <c r="N782" s="2306"/>
      <c r="O782" s="2372" t="s">
        <v>291</v>
      </c>
      <c r="P782" s="2372"/>
      <c r="Q782" s="2372"/>
      <c r="R782" s="2372"/>
      <c r="S782" s="2372"/>
      <c r="T782" s="2284" t="s">
        <v>2156</v>
      </c>
      <c r="U782" s="2285"/>
      <c r="V782" s="2285"/>
      <c r="W782" s="2286"/>
      <c r="X782" s="2304" t="s">
        <v>478</v>
      </c>
      <c r="Y782" s="2305"/>
      <c r="Z782" s="2305"/>
      <c r="AA782" s="2305"/>
      <c r="AB782" s="2306"/>
      <c r="AC782" s="2304" t="s">
        <v>292</v>
      </c>
      <c r="AD782" s="2305"/>
      <c r="AE782" s="2305"/>
      <c r="AF782" s="2305"/>
      <c r="AG782" s="2306"/>
      <c r="AH782" s="2421" t="s">
        <v>2396</v>
      </c>
      <c r="AI782" s="2305"/>
      <c r="AJ782" s="2305"/>
      <c r="AK782" s="2305"/>
      <c r="AL782" s="23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7"/>
      <c r="K783" s="2308"/>
      <c r="L783" s="2308"/>
      <c r="M783" s="2308"/>
      <c r="N783" s="2309"/>
      <c r="O783" s="2372"/>
      <c r="P783" s="2372"/>
      <c r="Q783" s="2372"/>
      <c r="R783" s="2372"/>
      <c r="S783" s="2372"/>
      <c r="T783" s="2287"/>
      <c r="U783" s="2288"/>
      <c r="V783" s="2288"/>
      <c r="W783" s="2289"/>
      <c r="X783" s="2307"/>
      <c r="Y783" s="2308"/>
      <c r="Z783" s="2308"/>
      <c r="AA783" s="2308"/>
      <c r="AB783" s="2309"/>
      <c r="AC783" s="2307"/>
      <c r="AD783" s="2308"/>
      <c r="AE783" s="2308"/>
      <c r="AF783" s="2308"/>
      <c r="AG783" s="2309"/>
      <c r="AH783" s="2307"/>
      <c r="AI783" s="2308"/>
      <c r="AJ783" s="2308"/>
      <c r="AK783" s="2308"/>
      <c r="AL783" s="23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7"/>
      <c r="K784" s="2308"/>
      <c r="L784" s="2308"/>
      <c r="M784" s="2308"/>
      <c r="N784" s="2309"/>
      <c r="O784" s="2372"/>
      <c r="P784" s="2372"/>
      <c r="Q784" s="2372"/>
      <c r="R784" s="2372"/>
      <c r="S784" s="2372"/>
      <c r="T784" s="2287"/>
      <c r="U784" s="2288"/>
      <c r="V784" s="2288"/>
      <c r="W784" s="2289"/>
      <c r="X784" s="2307"/>
      <c r="Y784" s="2308"/>
      <c r="Z784" s="2308"/>
      <c r="AA784" s="2308"/>
      <c r="AB784" s="2309"/>
      <c r="AC784" s="2307"/>
      <c r="AD784" s="2308"/>
      <c r="AE784" s="2308"/>
      <c r="AF784" s="2308"/>
      <c r="AG784" s="2309"/>
      <c r="AH784" s="2307"/>
      <c r="AI784" s="2308"/>
      <c r="AJ784" s="2308"/>
      <c r="AK784" s="2308"/>
      <c r="AL784" s="23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0"/>
      <c r="K785" s="2311"/>
      <c r="L785" s="2311"/>
      <c r="M785" s="2311"/>
      <c r="N785" s="2312"/>
      <c r="O785" s="2372"/>
      <c r="P785" s="2372"/>
      <c r="Q785" s="2372"/>
      <c r="R785" s="2372"/>
      <c r="S785" s="2372"/>
      <c r="T785" s="2290"/>
      <c r="U785" s="2291"/>
      <c r="V785" s="2291"/>
      <c r="W785" s="2292"/>
      <c r="X785" s="2310"/>
      <c r="Y785" s="2311"/>
      <c r="Z785" s="2311"/>
      <c r="AA785" s="2311"/>
      <c r="AB785" s="2312"/>
      <c r="AC785" s="2310"/>
      <c r="AD785" s="2311"/>
      <c r="AE785" s="2311"/>
      <c r="AF785" s="2311"/>
      <c r="AG785" s="2312"/>
      <c r="AH785" s="2310"/>
      <c r="AI785" s="2311"/>
      <c r="AJ785" s="2311"/>
      <c r="AK785" s="2311"/>
      <c r="AL785" s="23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4"/>
      <c r="K786" s="2255"/>
      <c r="L786" s="2255"/>
      <c r="M786" s="2255"/>
      <c r="N786" s="2256"/>
      <c r="O786" s="2296"/>
      <c r="P786" s="2296"/>
      <c r="Q786" s="2296"/>
      <c r="R786" s="2296"/>
      <c r="S786" s="2296"/>
      <c r="T786" s="2293"/>
      <c r="U786" s="2294"/>
      <c r="V786" s="2294"/>
      <c r="W786" s="2295"/>
      <c r="X786" s="2251"/>
      <c r="Y786" s="2252"/>
      <c r="Z786" s="2252"/>
      <c r="AA786" s="2252"/>
      <c r="AB786" s="2253"/>
      <c r="AC786" s="2040">
        <f t="shared" ref="AC786:AC795" si="50">X786*O786</f>
        <v>0</v>
      </c>
      <c r="AD786" s="2041"/>
      <c r="AE786" s="2041"/>
      <c r="AF786" s="2041"/>
      <c r="AG786" s="2042"/>
      <c r="AH786" s="2043"/>
      <c r="AI786" s="2044"/>
      <c r="AJ786" s="2044"/>
      <c r="AK786" s="2044"/>
      <c r="AL786" s="204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4"/>
      <c r="K787" s="2255"/>
      <c r="L787" s="2255"/>
      <c r="M787" s="2255"/>
      <c r="N787" s="2256"/>
      <c r="O787" s="2296"/>
      <c r="P787" s="2296"/>
      <c r="Q787" s="2296"/>
      <c r="R787" s="2296"/>
      <c r="S787" s="2296"/>
      <c r="T787" s="2293"/>
      <c r="U787" s="2294"/>
      <c r="V787" s="2294"/>
      <c r="W787" s="2295"/>
      <c r="X787" s="2251"/>
      <c r="Y787" s="2252"/>
      <c r="Z787" s="2252"/>
      <c r="AA787" s="2252"/>
      <c r="AB787" s="2253"/>
      <c r="AC787" s="2040">
        <f t="shared" si="50"/>
        <v>0</v>
      </c>
      <c r="AD787" s="2041"/>
      <c r="AE787" s="2041"/>
      <c r="AF787" s="2041"/>
      <c r="AG787" s="2042"/>
      <c r="AH787" s="2043"/>
      <c r="AI787" s="2044"/>
      <c r="AJ787" s="2044"/>
      <c r="AK787" s="2044"/>
      <c r="AL787" s="204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4"/>
      <c r="K788" s="2255"/>
      <c r="L788" s="2255"/>
      <c r="M788" s="2255"/>
      <c r="N788" s="2256"/>
      <c r="O788" s="2296"/>
      <c r="P788" s="2296"/>
      <c r="Q788" s="2296"/>
      <c r="R788" s="2296"/>
      <c r="S788" s="2296"/>
      <c r="T788" s="2293"/>
      <c r="U788" s="2294"/>
      <c r="V788" s="2294"/>
      <c r="W788" s="2295"/>
      <c r="X788" s="2251"/>
      <c r="Y788" s="2252"/>
      <c r="Z788" s="2252"/>
      <c r="AA788" s="2252"/>
      <c r="AB788" s="2253"/>
      <c r="AC788" s="2040">
        <f t="shared" si="50"/>
        <v>0</v>
      </c>
      <c r="AD788" s="2041"/>
      <c r="AE788" s="2041"/>
      <c r="AF788" s="2041"/>
      <c r="AG788" s="2042"/>
      <c r="AH788" s="2043"/>
      <c r="AI788" s="2044"/>
      <c r="AJ788" s="2044"/>
      <c r="AK788" s="2044"/>
      <c r="AL788" s="204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4"/>
      <c r="K789" s="2255"/>
      <c r="L789" s="2255"/>
      <c r="M789" s="2255"/>
      <c r="N789" s="2256"/>
      <c r="O789" s="2296"/>
      <c r="P789" s="2296"/>
      <c r="Q789" s="2296"/>
      <c r="R789" s="2296"/>
      <c r="S789" s="2296"/>
      <c r="T789" s="2293"/>
      <c r="U789" s="2294"/>
      <c r="V789" s="2294"/>
      <c r="W789" s="2295"/>
      <c r="X789" s="2251"/>
      <c r="Y789" s="2252"/>
      <c r="Z789" s="2252"/>
      <c r="AA789" s="2252"/>
      <c r="AB789" s="2253"/>
      <c r="AC789" s="2040">
        <f t="shared" si="50"/>
        <v>0</v>
      </c>
      <c r="AD789" s="2041"/>
      <c r="AE789" s="2041"/>
      <c r="AF789" s="2041"/>
      <c r="AG789" s="2042"/>
      <c r="AH789" s="2043"/>
      <c r="AI789" s="2044"/>
      <c r="AJ789" s="2044"/>
      <c r="AK789" s="2044"/>
      <c r="AL789" s="204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4"/>
      <c r="K790" s="2255"/>
      <c r="L790" s="2255"/>
      <c r="M790" s="2255"/>
      <c r="N790" s="2256"/>
      <c r="O790" s="2296"/>
      <c r="P790" s="2296"/>
      <c r="Q790" s="2296"/>
      <c r="R790" s="2296"/>
      <c r="S790" s="2296"/>
      <c r="T790" s="2293"/>
      <c r="U790" s="2294"/>
      <c r="V790" s="2294"/>
      <c r="W790" s="2295"/>
      <c r="X790" s="2251"/>
      <c r="Y790" s="2252"/>
      <c r="Z790" s="2252"/>
      <c r="AA790" s="2252"/>
      <c r="AB790" s="2253"/>
      <c r="AC790" s="2040">
        <f t="shared" si="50"/>
        <v>0</v>
      </c>
      <c r="AD790" s="2041"/>
      <c r="AE790" s="2041"/>
      <c r="AF790" s="2041"/>
      <c r="AG790" s="2042"/>
      <c r="AH790" s="2043"/>
      <c r="AI790" s="2044"/>
      <c r="AJ790" s="2044"/>
      <c r="AK790" s="2044"/>
      <c r="AL790" s="204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4"/>
      <c r="K791" s="2255"/>
      <c r="L791" s="2255"/>
      <c r="M791" s="2255"/>
      <c r="N791" s="2256"/>
      <c r="O791" s="2296"/>
      <c r="P791" s="2296"/>
      <c r="Q791" s="2296"/>
      <c r="R791" s="2296"/>
      <c r="S791" s="2296"/>
      <c r="T791" s="2293"/>
      <c r="U791" s="2294"/>
      <c r="V791" s="2294"/>
      <c r="W791" s="2295"/>
      <c r="X791" s="2251"/>
      <c r="Y791" s="2252"/>
      <c r="Z791" s="2252"/>
      <c r="AA791" s="2252"/>
      <c r="AB791" s="2253"/>
      <c r="AC791" s="2040">
        <f t="shared" si="50"/>
        <v>0</v>
      </c>
      <c r="AD791" s="2041"/>
      <c r="AE791" s="2041"/>
      <c r="AF791" s="2041"/>
      <c r="AG791" s="2042"/>
      <c r="AH791" s="2043"/>
      <c r="AI791" s="2044"/>
      <c r="AJ791" s="2044"/>
      <c r="AK791" s="2044"/>
      <c r="AL791" s="204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4"/>
      <c r="K792" s="2255"/>
      <c r="L792" s="2255"/>
      <c r="M792" s="2255"/>
      <c r="N792" s="2256"/>
      <c r="O792" s="2296"/>
      <c r="P792" s="2296"/>
      <c r="Q792" s="2296"/>
      <c r="R792" s="2296"/>
      <c r="S792" s="2296"/>
      <c r="T792" s="2293"/>
      <c r="U792" s="2294"/>
      <c r="V792" s="2294"/>
      <c r="W792" s="2295"/>
      <c r="X792" s="2251"/>
      <c r="Y792" s="2252"/>
      <c r="Z792" s="2252"/>
      <c r="AA792" s="2252"/>
      <c r="AB792" s="2253"/>
      <c r="AC792" s="2040">
        <f t="shared" si="50"/>
        <v>0</v>
      </c>
      <c r="AD792" s="2041"/>
      <c r="AE792" s="2041"/>
      <c r="AF792" s="2041"/>
      <c r="AG792" s="2042"/>
      <c r="AH792" s="2043"/>
      <c r="AI792" s="2044"/>
      <c r="AJ792" s="2044"/>
      <c r="AK792" s="2044"/>
      <c r="AL792" s="204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4"/>
      <c r="K793" s="2255"/>
      <c r="L793" s="2255"/>
      <c r="M793" s="2255"/>
      <c r="N793" s="2256"/>
      <c r="O793" s="2296"/>
      <c r="P793" s="2296"/>
      <c r="Q793" s="2296"/>
      <c r="R793" s="2296"/>
      <c r="S793" s="2296"/>
      <c r="T793" s="2293"/>
      <c r="U793" s="2294"/>
      <c r="V793" s="2294"/>
      <c r="W793" s="2295"/>
      <c r="X793" s="2251"/>
      <c r="Y793" s="2252"/>
      <c r="Z793" s="2252"/>
      <c r="AA793" s="2252"/>
      <c r="AB793" s="2253"/>
      <c r="AC793" s="2040">
        <f t="shared" si="50"/>
        <v>0</v>
      </c>
      <c r="AD793" s="2041"/>
      <c r="AE793" s="2041"/>
      <c r="AF793" s="2041"/>
      <c r="AG793" s="2042"/>
      <c r="AH793" s="2043"/>
      <c r="AI793" s="2044"/>
      <c r="AJ793" s="2044"/>
      <c r="AK793" s="2044"/>
      <c r="AL793" s="204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4"/>
      <c r="K794" s="2255"/>
      <c r="L794" s="2255"/>
      <c r="M794" s="2255"/>
      <c r="N794" s="2256"/>
      <c r="O794" s="2296"/>
      <c r="P794" s="2296"/>
      <c r="Q794" s="2296"/>
      <c r="R794" s="2296"/>
      <c r="S794" s="2296"/>
      <c r="T794" s="2293"/>
      <c r="U794" s="2294"/>
      <c r="V794" s="2294"/>
      <c r="W794" s="2295"/>
      <c r="X794" s="2251"/>
      <c r="Y794" s="2252"/>
      <c r="Z794" s="2252"/>
      <c r="AA794" s="2252"/>
      <c r="AB794" s="2253"/>
      <c r="AC794" s="2040">
        <f t="shared" si="50"/>
        <v>0</v>
      </c>
      <c r="AD794" s="2041"/>
      <c r="AE794" s="2041"/>
      <c r="AF794" s="2041"/>
      <c r="AG794" s="2042"/>
      <c r="AH794" s="2043"/>
      <c r="AI794" s="2044"/>
      <c r="AJ794" s="2044"/>
      <c r="AK794" s="2044"/>
      <c r="AL794" s="204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4"/>
      <c r="K795" s="2255"/>
      <c r="L795" s="2255"/>
      <c r="M795" s="2255"/>
      <c r="N795" s="2256"/>
      <c r="O795" s="2296"/>
      <c r="P795" s="2296"/>
      <c r="Q795" s="2296"/>
      <c r="R795" s="2296"/>
      <c r="S795" s="2296"/>
      <c r="T795" s="2293"/>
      <c r="U795" s="2294"/>
      <c r="V795" s="2294"/>
      <c r="W795" s="2295"/>
      <c r="X795" s="2251"/>
      <c r="Y795" s="2252"/>
      <c r="Z795" s="2252"/>
      <c r="AA795" s="2252"/>
      <c r="AB795" s="2253"/>
      <c r="AC795" s="2040">
        <f t="shared" si="50"/>
        <v>0</v>
      </c>
      <c r="AD795" s="2041"/>
      <c r="AE795" s="2041"/>
      <c r="AF795" s="2041"/>
      <c r="AG795" s="2042"/>
      <c r="AH795" s="2043"/>
      <c r="AI795" s="2044"/>
      <c r="AJ795" s="2044"/>
      <c r="AK795" s="2044"/>
      <c r="AL795" s="204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7" t="s">
        <v>130</v>
      </c>
      <c r="K796" s="2298"/>
      <c r="L796" s="2298"/>
      <c r="M796" s="2298"/>
      <c r="N796" s="2299"/>
      <c r="O796" s="2409">
        <f>SUM(O786:S795)</f>
        <v>0</v>
      </c>
      <c r="P796" s="2409"/>
      <c r="Q796" s="2409"/>
      <c r="R796" s="2409"/>
      <c r="S796" s="2409"/>
      <c r="X796" s="1602" t="s">
        <v>129</v>
      </c>
      <c r="Y796" s="1603"/>
      <c r="Z796" s="1603"/>
      <c r="AA796" s="1603"/>
      <c r="AB796" s="1604"/>
      <c r="AC796" s="2040">
        <f>SUM(AC786:AG795)</f>
        <v>0</v>
      </c>
      <c r="AD796" s="2041"/>
      <c r="AE796" s="2041"/>
      <c r="AF796" s="2041"/>
      <c r="AG796" s="20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3">
        <f>T753+AC776+AC796</f>
        <v>83113</v>
      </c>
      <c r="Z798" s="2373"/>
      <c r="AA798" s="2373"/>
      <c r="AB798" s="2373"/>
      <c r="AC798" s="237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3">
        <f>(T753+AC776+AC796)*12</f>
        <v>997356</v>
      </c>
      <c r="Z799" s="2373"/>
      <c r="AA799" s="2373"/>
      <c r="AB799" s="2373"/>
      <c r="AC799" s="2373"/>
      <c r="AZ799" s="58"/>
      <c r="BA799" s="51" t="s">
        <v>667</v>
      </c>
      <c r="BB799" s="51"/>
      <c r="BC799" s="51"/>
      <c r="BD799" s="51"/>
      <c r="BE799" s="51"/>
      <c r="BF799" s="51"/>
      <c r="BG799" s="51"/>
      <c r="BH799" s="51"/>
      <c r="BI799" s="51"/>
      <c r="BJ799" s="51"/>
      <c r="BK799" s="51"/>
      <c r="BL799" s="51"/>
      <c r="BM799" s="51"/>
      <c r="BN799" s="2370" t="s">
        <v>502</v>
      </c>
      <c r="BO799" s="2371"/>
      <c r="BP799" s="58"/>
      <c r="BQ799" s="58"/>
      <c r="BR799" s="58"/>
      <c r="BS799" s="51" t="s">
        <v>669</v>
      </c>
      <c r="BT799" s="51"/>
      <c r="BU799" s="51"/>
      <c r="BV799" s="51"/>
      <c r="BW799" s="51"/>
      <c r="BX799" s="51"/>
      <c r="BY799" s="51"/>
      <c r="BZ799" s="51"/>
      <c r="CA799" s="51"/>
      <c r="CB799" s="2367" t="str">
        <f>T189</f>
        <v>Orange</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8"/>
      <c r="AA804" s="2379"/>
      <c r="AB804" s="2379"/>
      <c r="AC804" s="2379"/>
      <c r="AD804" s="2379"/>
      <c r="AE804" s="23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0"/>
      <c r="AA805" s="2379"/>
      <c r="AB805" s="2379"/>
      <c r="AC805" s="2379"/>
      <c r="AD805" s="2379"/>
      <c r="AE805" s="23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2">
        <v>0</v>
      </c>
      <c r="AA806" s="2203"/>
      <c r="AB806" s="2203"/>
      <c r="AC806" s="2203"/>
      <c r="AD806" s="2203"/>
      <c r="AE806" s="220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5">
        <f>'Subsidy Contract Calculation'!I30</f>
        <v>0</v>
      </c>
      <c r="AA807" s="2206"/>
      <c r="AB807" s="2206"/>
      <c r="AC807" s="2206"/>
      <c r="AD807" s="2206"/>
      <c r="AE807" s="22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7">
        <v>11864</v>
      </c>
      <c r="AA811" s="2038"/>
      <c r="AB811" s="2038"/>
      <c r="AC811" s="2038"/>
      <c r="AD811" s="2038"/>
      <c r="AE811" s="203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7"/>
      <c r="AA812" s="2038"/>
      <c r="AB812" s="2038"/>
      <c r="AC812" s="2038"/>
      <c r="AD812" s="2038"/>
      <c r="AE812" s="203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7"/>
      <c r="AA813" s="2038"/>
      <c r="AB813" s="2038"/>
      <c r="AC813" s="2038"/>
      <c r="AD813" s="2038"/>
      <c r="AE813" s="203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6" t="s">
        <v>343</v>
      </c>
      <c r="Q814" s="2249"/>
      <c r="R814" s="2249"/>
      <c r="S814" s="2249"/>
      <c r="T814" s="2249"/>
      <c r="U814" s="2249"/>
      <c r="V814" s="2249"/>
      <c r="W814" s="2249"/>
      <c r="X814" s="2249"/>
      <c r="Y814" s="2250"/>
      <c r="Z814" s="2037"/>
      <c r="AA814" s="2038"/>
      <c r="AB814" s="2038"/>
      <c r="AC814" s="2038"/>
      <c r="AD814" s="2038"/>
      <c r="AE814" s="203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5">
        <f>SUM(Z811:AE814)</f>
        <v>11864</v>
      </c>
      <c r="AA815" s="2206"/>
      <c r="AB815" s="2206"/>
      <c r="AC815" s="2206"/>
      <c r="AD815" s="2206"/>
      <c r="AE815" s="22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05">
        <f>Z815+Y799+Z807</f>
        <v>1009220</v>
      </c>
      <c r="AA816" s="2206"/>
      <c r="AB816" s="2206"/>
      <c r="AC816" s="2206"/>
      <c r="AD816" s="2206"/>
      <c r="AE816" s="22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3" t="s">
        <v>131</v>
      </c>
      <c r="N821" s="2413"/>
      <c r="O821" s="2413"/>
      <c r="P821" s="2414"/>
      <c r="Q821" s="2344" t="s">
        <v>298</v>
      </c>
      <c r="R821" s="2344"/>
      <c r="S821" s="2344"/>
      <c r="T821" s="2344"/>
      <c r="U821" s="2344" t="s">
        <v>299</v>
      </c>
      <c r="V821" s="2344"/>
      <c r="W821" s="2344"/>
      <c r="X821" s="2344"/>
      <c r="Y821" s="2344" t="s">
        <v>300</v>
      </c>
      <c r="Z821" s="2344"/>
      <c r="AA821" s="2344"/>
      <c r="AB821" s="2344"/>
      <c r="AC821" s="2344" t="s">
        <v>371</v>
      </c>
      <c r="AD821" s="2344"/>
      <c r="AE821" s="2344"/>
      <c r="AF821" s="2344"/>
      <c r="AG821" s="2303" t="s">
        <v>344</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5"/>
      <c r="N822" s="2415"/>
      <c r="O822" s="2415"/>
      <c r="P822" s="2416"/>
      <c r="Q822" s="2344"/>
      <c r="R822" s="2344"/>
      <c r="S822" s="2344"/>
      <c r="T822" s="2344"/>
      <c r="U822" s="2344"/>
      <c r="V822" s="2344"/>
      <c r="W822" s="2344"/>
      <c r="X822" s="2344"/>
      <c r="Y822" s="2344"/>
      <c r="Z822" s="2344"/>
      <c r="AA822" s="2344"/>
      <c r="AB822" s="2344"/>
      <c r="AC822" s="2344"/>
      <c r="AD822" s="2344"/>
      <c r="AE822" s="2344"/>
      <c r="AF822" s="2344"/>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9" t="s">
        <v>43</v>
      </c>
      <c r="D823" s="2280"/>
      <c r="E823" s="2280"/>
      <c r="F823" s="2280"/>
      <c r="G823" s="2280"/>
      <c r="H823" s="2280"/>
      <c r="I823" s="80"/>
      <c r="J823" s="80"/>
      <c r="K823" s="80"/>
      <c r="L823" s="81"/>
      <c r="M823" s="2218"/>
      <c r="N823" s="2218"/>
      <c r="O823" s="2218"/>
      <c r="P823" s="2218"/>
      <c r="Q823" s="2218">
        <v>22</v>
      </c>
      <c r="R823" s="2218"/>
      <c r="S823" s="2218"/>
      <c r="T823" s="2218"/>
      <c r="U823" s="2218">
        <v>25</v>
      </c>
      <c r="V823" s="2218"/>
      <c r="W823" s="2218"/>
      <c r="X823" s="2218"/>
      <c r="Y823" s="2218"/>
      <c r="Z823" s="2218"/>
      <c r="AA823" s="2218"/>
      <c r="AB823" s="2218"/>
      <c r="AC823" s="2075"/>
      <c r="AD823" s="2076"/>
      <c r="AE823" s="2076"/>
      <c r="AF823" s="2077"/>
      <c r="AG823" s="2075"/>
      <c r="AH823" s="2076"/>
      <c r="AI823" s="2076"/>
      <c r="AJ823" s="207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1" t="s">
        <v>44</v>
      </c>
      <c r="D824" s="2282"/>
      <c r="E824" s="2282"/>
      <c r="F824" s="2282"/>
      <c r="G824" s="2282"/>
      <c r="H824" s="2282"/>
      <c r="I824" s="77"/>
      <c r="J824" s="77"/>
      <c r="K824" s="77"/>
      <c r="L824" s="78"/>
      <c r="M824" s="2218"/>
      <c r="N824" s="2218"/>
      <c r="O824" s="2218"/>
      <c r="P824" s="2218"/>
      <c r="Q824" s="2218"/>
      <c r="R824" s="2218"/>
      <c r="S824" s="2218"/>
      <c r="T824" s="2218"/>
      <c r="U824" s="2218"/>
      <c r="V824" s="2218"/>
      <c r="W824" s="2218"/>
      <c r="X824" s="2218"/>
      <c r="Y824" s="2218"/>
      <c r="Z824" s="2218"/>
      <c r="AA824" s="2218"/>
      <c r="AB824" s="2218"/>
      <c r="AC824" s="2075"/>
      <c r="AD824" s="2076"/>
      <c r="AE824" s="2076"/>
      <c r="AF824" s="2077"/>
      <c r="AG824" s="2075"/>
      <c r="AH824" s="2076"/>
      <c r="AI824" s="2076"/>
      <c r="AJ824" s="207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1" t="s">
        <v>45</v>
      </c>
      <c r="D825" s="2282"/>
      <c r="E825" s="2282"/>
      <c r="F825" s="2282"/>
      <c r="G825" s="2282"/>
      <c r="H825" s="2282"/>
      <c r="I825" s="96"/>
      <c r="J825" s="96"/>
      <c r="K825" s="96"/>
      <c r="L825" s="97"/>
      <c r="M825" s="2218"/>
      <c r="N825" s="2218"/>
      <c r="O825" s="2218"/>
      <c r="P825" s="2218"/>
      <c r="Q825" s="2218">
        <v>7</v>
      </c>
      <c r="R825" s="2218"/>
      <c r="S825" s="2218"/>
      <c r="T825" s="2218"/>
      <c r="U825" s="2218">
        <v>12</v>
      </c>
      <c r="V825" s="2218"/>
      <c r="W825" s="2218"/>
      <c r="X825" s="2218"/>
      <c r="Y825" s="2218"/>
      <c r="Z825" s="2218"/>
      <c r="AA825" s="2218"/>
      <c r="AB825" s="2218"/>
      <c r="AC825" s="2075"/>
      <c r="AD825" s="2076"/>
      <c r="AE825" s="2076"/>
      <c r="AF825" s="2077"/>
      <c r="AG825" s="2075"/>
      <c r="AH825" s="2076"/>
      <c r="AI825" s="2076"/>
      <c r="AJ825" s="207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1" t="s">
        <v>820</v>
      </c>
      <c r="D826" s="2282"/>
      <c r="E826" s="2282"/>
      <c r="F826" s="2282"/>
      <c r="G826" s="2282"/>
      <c r="H826" s="2282"/>
      <c r="I826" s="96"/>
      <c r="J826" s="96"/>
      <c r="K826" s="96"/>
      <c r="L826" s="97"/>
      <c r="M826" s="2218"/>
      <c r="N826" s="2218"/>
      <c r="O826" s="2218"/>
      <c r="P826" s="2218"/>
      <c r="Q826" s="2218"/>
      <c r="R826" s="2218"/>
      <c r="S826" s="2218"/>
      <c r="T826" s="2218"/>
      <c r="U826" s="2218"/>
      <c r="V826" s="2218"/>
      <c r="W826" s="2218"/>
      <c r="X826" s="2218"/>
      <c r="Y826" s="2218"/>
      <c r="Z826" s="2218"/>
      <c r="AA826" s="2218"/>
      <c r="AB826" s="2218"/>
      <c r="AC826" s="2075"/>
      <c r="AD826" s="2076"/>
      <c r="AE826" s="2076"/>
      <c r="AF826" s="2077"/>
      <c r="AG826" s="2075"/>
      <c r="AH826" s="2076"/>
      <c r="AI826" s="2076"/>
      <c r="AJ826" s="207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1" t="s">
        <v>492</v>
      </c>
      <c r="D827" s="2282"/>
      <c r="E827" s="2282"/>
      <c r="F827" s="2282"/>
      <c r="G827" s="2282"/>
      <c r="H827" s="2282"/>
      <c r="I827" s="96"/>
      <c r="J827" s="96"/>
      <c r="K827" s="96"/>
      <c r="L827" s="97"/>
      <c r="M827" s="2218"/>
      <c r="N827" s="2218"/>
      <c r="O827" s="2218"/>
      <c r="P827" s="2218"/>
      <c r="Q827" s="2218">
        <v>35</v>
      </c>
      <c r="R827" s="2218"/>
      <c r="S827" s="2218"/>
      <c r="T827" s="2218"/>
      <c r="U827" s="2218">
        <v>49</v>
      </c>
      <c r="V827" s="2218"/>
      <c r="W827" s="2218"/>
      <c r="X827" s="2218"/>
      <c r="Y827" s="2218"/>
      <c r="Z827" s="2218"/>
      <c r="AA827" s="2218"/>
      <c r="AB827" s="2218"/>
      <c r="AC827" s="2075"/>
      <c r="AD827" s="2076"/>
      <c r="AE827" s="2076"/>
      <c r="AF827" s="2077"/>
      <c r="AG827" s="2075"/>
      <c r="AH827" s="2076"/>
      <c r="AI827" s="2076"/>
      <c r="AJ827" s="207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841</v>
      </c>
      <c r="D828" s="2282"/>
      <c r="E828" s="2282"/>
      <c r="F828" s="2282"/>
      <c r="G828" s="2282"/>
      <c r="H828" s="2282"/>
      <c r="I828" s="96"/>
      <c r="J828" s="96"/>
      <c r="K828" s="96"/>
      <c r="L828" s="97"/>
      <c r="M828" s="2218"/>
      <c r="N828" s="2218"/>
      <c r="O828" s="2218"/>
      <c r="P828" s="2218"/>
      <c r="Q828" s="2218"/>
      <c r="R828" s="2218"/>
      <c r="S828" s="2218"/>
      <c r="T828" s="2218"/>
      <c r="U828" s="2218"/>
      <c r="V828" s="2218"/>
      <c r="W828" s="2218"/>
      <c r="X828" s="2218"/>
      <c r="Y828" s="2218"/>
      <c r="Z828" s="2218"/>
      <c r="AA828" s="2218"/>
      <c r="AB828" s="2218"/>
      <c r="AC828" s="2075"/>
      <c r="AD828" s="2076"/>
      <c r="AE828" s="2076"/>
      <c r="AF828" s="2077"/>
      <c r="AG828" s="2075"/>
      <c r="AH828" s="2076"/>
      <c r="AI828" s="2076"/>
      <c r="AJ828" s="207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9" t="s">
        <v>2675</v>
      </c>
      <c r="G829" s="2232"/>
      <c r="H829" s="2232"/>
      <c r="I829" s="2232"/>
      <c r="J829" s="2232"/>
      <c r="K829" s="2232"/>
      <c r="L829" s="2233"/>
      <c r="M829" s="2218"/>
      <c r="N829" s="2218"/>
      <c r="O829" s="2218"/>
      <c r="P829" s="2218"/>
      <c r="Q829" s="2218">
        <v>10</v>
      </c>
      <c r="R829" s="2218"/>
      <c r="S829" s="2218"/>
      <c r="T829" s="2218"/>
      <c r="U829" s="2218">
        <v>17</v>
      </c>
      <c r="V829" s="2218"/>
      <c r="W829" s="2218"/>
      <c r="X829" s="2218"/>
      <c r="Y829" s="2218"/>
      <c r="Z829" s="2218"/>
      <c r="AA829" s="2218"/>
      <c r="AB829" s="2218"/>
      <c r="AC829" s="2075"/>
      <c r="AD829" s="2076"/>
      <c r="AE829" s="2076"/>
      <c r="AF829" s="2077"/>
      <c r="AG829" s="2075"/>
      <c r="AH829" s="2076"/>
      <c r="AI829" s="2076"/>
      <c r="AJ829" s="207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7" t="s">
        <v>129</v>
      </c>
      <c r="D830" s="2298"/>
      <c r="E830" s="2298"/>
      <c r="F830" s="2298"/>
      <c r="G830" s="2298"/>
      <c r="H830" s="2298"/>
      <c r="I830" s="2298"/>
      <c r="J830" s="2298"/>
      <c r="K830" s="2298"/>
      <c r="L830" s="2299"/>
      <c r="M830" s="2313">
        <f>SUM(M823:P829)</f>
        <v>0</v>
      </c>
      <c r="N830" s="2313"/>
      <c r="O830" s="2313"/>
      <c r="P830" s="2313"/>
      <c r="Q830" s="2313">
        <f>SUM(Q823:T829)</f>
        <v>74</v>
      </c>
      <c r="R830" s="2313"/>
      <c r="S830" s="2313"/>
      <c r="T830" s="2313"/>
      <c r="U830" s="2313">
        <f>SUM(U823:X829)</f>
        <v>103</v>
      </c>
      <c r="V830" s="2313"/>
      <c r="W830" s="2313"/>
      <c r="X830" s="2313"/>
      <c r="Y830" s="2313">
        <f>SUM(Y823:AB829)</f>
        <v>0</v>
      </c>
      <c r="Z830" s="2313"/>
      <c r="AA830" s="2313"/>
      <c r="AB830" s="2313"/>
      <c r="AC830" s="2313">
        <f>SUM(AC823:AF829)</f>
        <v>0</v>
      </c>
      <c r="AD830" s="2313"/>
      <c r="AE830" s="2313"/>
      <c r="AF830" s="2313"/>
      <c r="AG830" s="2313">
        <f>SUM(AG823:AJ829)</f>
        <v>0</v>
      </c>
      <c r="AH830" s="2313"/>
      <c r="AI830" s="2313"/>
      <c r="AJ830" s="231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2" t="s">
        <v>2593</v>
      </c>
      <c r="D835" s="2393"/>
      <c r="E835" s="2393"/>
      <c r="F835" s="2393"/>
      <c r="G835" s="2393"/>
      <c r="H835" s="2393"/>
      <c r="I835" s="2393"/>
      <c r="J835" s="2393"/>
      <c r="K835" s="2393"/>
      <c r="L835" s="2393"/>
      <c r="M835" s="2393"/>
      <c r="N835" s="2393"/>
      <c r="O835" s="2393"/>
      <c r="P835" s="2393"/>
      <c r="Q835" s="2393"/>
      <c r="R835" s="2393"/>
      <c r="S835" s="2393"/>
      <c r="T835" s="2393"/>
      <c r="U835" s="2393"/>
      <c r="V835" s="2393"/>
      <c r="W835" s="2393"/>
      <c r="X835" s="2393"/>
      <c r="Y835" s="2393"/>
      <c r="Z835" s="2393"/>
      <c r="AA835" s="2393"/>
      <c r="AB835" s="2393"/>
      <c r="AC835" s="2393"/>
      <c r="AD835" s="2393"/>
      <c r="AE835" s="2393"/>
      <c r="AF835" s="2393"/>
      <c r="AG835" s="2393"/>
      <c r="AH835" s="2393"/>
      <c r="AI835" s="2393"/>
      <c r="AJ835" s="239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58">
        <v>1942</v>
      </c>
      <c r="X840" s="2058"/>
      <c r="Y840" s="2058"/>
      <c r="Z840" s="2058"/>
      <c r="AA840" s="2058"/>
      <c r="AB840" s="2058"/>
      <c r="AC840" s="205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58">
        <v>2000</v>
      </c>
      <c r="X841" s="2058"/>
      <c r="Y841" s="2058"/>
      <c r="Z841" s="2058"/>
      <c r="AA841" s="2058"/>
      <c r="AB841" s="2058"/>
      <c r="AC841" s="205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58">
        <v>12000</v>
      </c>
      <c r="X842" s="2058"/>
      <c r="Y842" s="2058"/>
      <c r="Z842" s="2058"/>
      <c r="AA842" s="2058"/>
      <c r="AB842" s="2058"/>
      <c r="AC842" s="205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58"/>
      <c r="X843" s="2058"/>
      <c r="Y843" s="2058"/>
      <c r="Z843" s="2058"/>
      <c r="AA843" s="2058"/>
      <c r="AB843" s="2058"/>
      <c r="AC843" s="205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9" t="s">
        <v>2594</v>
      </c>
      <c r="N844" s="2060"/>
      <c r="O844" s="2060"/>
      <c r="P844" s="2060"/>
      <c r="Q844" s="2060"/>
      <c r="R844" s="2060"/>
      <c r="S844" s="2060"/>
      <c r="T844" s="2060"/>
      <c r="U844" s="2060"/>
      <c r="V844" s="2061"/>
      <c r="W844" s="2058">
        <v>15000</v>
      </c>
      <c r="X844" s="2058"/>
      <c r="Y844" s="2058"/>
      <c r="Z844" s="2058"/>
      <c r="AA844" s="2058"/>
      <c r="AB844" s="2058"/>
      <c r="AC844" s="205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43">
        <f>ROUNDDOWN(BC932*2,2)</f>
        <v>0</v>
      </c>
      <c r="BJ844" s="2343"/>
      <c r="BK844" s="2343"/>
      <c r="BL844" s="234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05">
        <f>SUM(W840:AC844)</f>
        <v>30942</v>
      </c>
      <c r="X845" s="2206"/>
      <c r="Y845" s="2206"/>
      <c r="Z845" s="2206"/>
      <c r="AA845" s="2206"/>
      <c r="AB845" s="2206"/>
      <c r="AC845" s="22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7" t="s">
        <v>355</v>
      </c>
      <c r="K847" s="2298"/>
      <c r="L847" s="2298"/>
      <c r="M847" s="2298"/>
      <c r="N847" s="2298"/>
      <c r="O847" s="2298"/>
      <c r="P847" s="2298"/>
      <c r="Q847" s="2298"/>
      <c r="R847" s="2298"/>
      <c r="S847" s="2298"/>
      <c r="T847" s="2298"/>
      <c r="U847" s="2298"/>
      <c r="V847" s="2299"/>
      <c r="W847" s="2037">
        <v>69036</v>
      </c>
      <c r="X847" s="2038"/>
      <c r="Y847" s="2038"/>
      <c r="Z847" s="2038"/>
      <c r="AA847" s="2038"/>
      <c r="AB847" s="2038"/>
      <c r="AC847" s="203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9"/>
      <c r="X849" s="2219"/>
      <c r="Y849" s="2219"/>
      <c r="Z849" s="2219"/>
      <c r="AA849" s="2219"/>
      <c r="AB849" s="2219"/>
      <c r="AC849" s="221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9">
        <v>4000</v>
      </c>
      <c r="X850" s="2219"/>
      <c r="Y850" s="2219"/>
      <c r="Z850" s="2219"/>
      <c r="AA850" s="2219"/>
      <c r="AB850" s="2219"/>
      <c r="AC850" s="221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9">
        <v>10000</v>
      </c>
      <c r="X851" s="2219"/>
      <c r="Y851" s="2219"/>
      <c r="Z851" s="2219"/>
      <c r="AA851" s="2219"/>
      <c r="AB851" s="2219"/>
      <c r="AC851" s="221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9">
        <v>50000</v>
      </c>
      <c r="X852" s="2219"/>
      <c r="Y852" s="2219"/>
      <c r="Z852" s="2219"/>
      <c r="AA852" s="2219"/>
      <c r="AB852" s="2219"/>
      <c r="AC852" s="221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4">
        <f>SUM(W849:AC852)</f>
        <v>64000</v>
      </c>
      <c r="X853" s="2404"/>
      <c r="Y853" s="2404"/>
      <c r="Z853" s="2404"/>
      <c r="AA853" s="2404"/>
      <c r="AB853" s="2404"/>
      <c r="AC853" s="240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8">
        <f>SUM(AZ821:AZ849)</f>
        <v>0</v>
      </c>
      <c r="BA854" s="240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28">
        <v>42000</v>
      </c>
      <c r="X855" s="2229"/>
      <c r="Y855" s="2229"/>
      <c r="Z855" s="2229"/>
      <c r="AA855" s="2229"/>
      <c r="AB855" s="2229"/>
      <c r="AC855" s="223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99">
        <v>2</v>
      </c>
      <c r="U856" s="2071"/>
      <c r="V856" s="2400"/>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28">
        <v>16000</v>
      </c>
      <c r="X857" s="2229"/>
      <c r="Y857" s="2229"/>
      <c r="Z857" s="2229"/>
      <c r="AA857" s="2229"/>
      <c r="AB857" s="2229"/>
      <c r="AC857" s="223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99">
        <v>1</v>
      </c>
      <c r="U858" s="2071"/>
      <c r="V858" s="2400"/>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9" t="s">
        <v>2595</v>
      </c>
      <c r="N859" s="2060"/>
      <c r="O859" s="2060"/>
      <c r="P859" s="2060"/>
      <c r="Q859" s="2060"/>
      <c r="R859" s="2060"/>
      <c r="S859" s="2060"/>
      <c r="T859" s="2060"/>
      <c r="U859" s="2060"/>
      <c r="V859" s="2061"/>
      <c r="W859" s="2228">
        <v>15080</v>
      </c>
      <c r="X859" s="2229"/>
      <c r="Y859" s="2229"/>
      <c r="Z859" s="2229"/>
      <c r="AA859" s="2229"/>
      <c r="AB859" s="2229"/>
      <c r="AC859" s="223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5">
        <f>SUM(W855:AC859)</f>
        <v>73080</v>
      </c>
      <c r="X860" s="2216"/>
      <c r="Y860" s="2216"/>
      <c r="Z860" s="2216"/>
      <c r="AA860" s="2216"/>
      <c r="AB860" s="2216"/>
      <c r="AC860" s="22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8">
        <v>11375</v>
      </c>
      <c r="X861" s="2229"/>
      <c r="Y861" s="2229"/>
      <c r="Z861" s="2229"/>
      <c r="AA861" s="2229"/>
      <c r="AB861" s="2229"/>
      <c r="AC861" s="223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58">
        <v>8000</v>
      </c>
      <c r="X863" s="2058"/>
      <c r="Y863" s="2058"/>
      <c r="Z863" s="2058"/>
      <c r="AA863" s="2058"/>
      <c r="AB863" s="2058"/>
      <c r="AC863" s="205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58">
        <v>32000</v>
      </c>
      <c r="X864" s="2058"/>
      <c r="Y864" s="2058"/>
      <c r="Z864" s="2058"/>
      <c r="AA864" s="2058"/>
      <c r="AB864" s="2058"/>
      <c r="AC864" s="205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58">
        <v>7200</v>
      </c>
      <c r="X865" s="2058"/>
      <c r="Y865" s="2058"/>
      <c r="Z865" s="2058"/>
      <c r="AA865" s="2058"/>
      <c r="AB865" s="2058"/>
      <c r="AC865" s="205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58">
        <v>6000</v>
      </c>
      <c r="X866" s="2058"/>
      <c r="Y866" s="2058"/>
      <c r="Z866" s="2058"/>
      <c r="AA866" s="2058"/>
      <c r="AB866" s="2058"/>
      <c r="AC866" s="205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58">
        <v>10000</v>
      </c>
      <c r="X867" s="2058"/>
      <c r="Y867" s="2058"/>
      <c r="Z867" s="2058"/>
      <c r="AA867" s="2058"/>
      <c r="AB867" s="2058"/>
      <c r="AC867" s="205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58">
        <v>6500</v>
      </c>
      <c r="X868" s="2058"/>
      <c r="Y868" s="2058"/>
      <c r="Z868" s="2058"/>
      <c r="AA868" s="2058"/>
      <c r="AB868" s="2058"/>
      <c r="AC868" s="205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9" t="s">
        <v>2596</v>
      </c>
      <c r="N869" s="2060"/>
      <c r="O869" s="2060"/>
      <c r="P869" s="2060"/>
      <c r="Q869" s="2060"/>
      <c r="R869" s="2060"/>
      <c r="S869" s="2060"/>
      <c r="T869" s="2060"/>
      <c r="U869" s="2060"/>
      <c r="V869" s="2061"/>
      <c r="W869" s="2058">
        <v>4500</v>
      </c>
      <c r="X869" s="2058"/>
      <c r="Y869" s="2058"/>
      <c r="Z869" s="2058"/>
      <c r="AA869" s="2058"/>
      <c r="AB869" s="2058"/>
      <c r="AC869" s="205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3">
        <f>SUM(W863:AC869)</f>
        <v>74200</v>
      </c>
      <c r="X870" s="2373"/>
      <c r="Y870" s="2373"/>
      <c r="Z870" s="2373"/>
      <c r="AA870" s="2373"/>
      <c r="AB870" s="2373"/>
      <c r="AC870" s="237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31" t="s">
        <v>343</v>
      </c>
      <c r="N872" s="2232"/>
      <c r="O872" s="2232"/>
      <c r="P872" s="2232"/>
      <c r="Q872" s="2232"/>
      <c r="R872" s="2232"/>
      <c r="S872" s="2232"/>
      <c r="T872" s="2232"/>
      <c r="U872" s="2232"/>
      <c r="V872" s="2233"/>
      <c r="W872" s="2037"/>
      <c r="X872" s="2038"/>
      <c r="Y872" s="2038"/>
      <c r="Z872" s="2038"/>
      <c r="AA872" s="2038"/>
      <c r="AB872" s="2038"/>
      <c r="AC872" s="203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31" t="s">
        <v>343</v>
      </c>
      <c r="N873" s="2232"/>
      <c r="O873" s="2232"/>
      <c r="P873" s="2232"/>
      <c r="Q873" s="2232"/>
      <c r="R873" s="2232"/>
      <c r="S873" s="2232"/>
      <c r="T873" s="2232"/>
      <c r="U873" s="2232"/>
      <c r="V873" s="2233"/>
      <c r="W873" s="2037"/>
      <c r="X873" s="2038"/>
      <c r="Y873" s="2038"/>
      <c r="Z873" s="2038"/>
      <c r="AA873" s="2038"/>
      <c r="AB873" s="2038"/>
      <c r="AC873" s="203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31" t="s">
        <v>343</v>
      </c>
      <c r="N874" s="2232"/>
      <c r="O874" s="2232"/>
      <c r="P874" s="2232"/>
      <c r="Q874" s="2232"/>
      <c r="R874" s="2232"/>
      <c r="S874" s="2232"/>
      <c r="T874" s="2232"/>
      <c r="U874" s="2232"/>
      <c r="V874" s="2233"/>
      <c r="W874" s="2037"/>
      <c r="X874" s="2038"/>
      <c r="Y874" s="2038"/>
      <c r="Z874" s="2038"/>
      <c r="AA874" s="2038"/>
      <c r="AB874" s="2038"/>
      <c r="AC874" s="203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31" t="s">
        <v>343</v>
      </c>
      <c r="N875" s="2232"/>
      <c r="O875" s="2232"/>
      <c r="P875" s="2232"/>
      <c r="Q875" s="2232"/>
      <c r="R875" s="2232"/>
      <c r="S875" s="2232"/>
      <c r="T875" s="2232"/>
      <c r="U875" s="2232"/>
      <c r="V875" s="2233"/>
      <c r="W875" s="2037"/>
      <c r="X875" s="2038"/>
      <c r="Y875" s="2038"/>
      <c r="Z875" s="2038"/>
      <c r="AA875" s="2038"/>
      <c r="AB875" s="2038"/>
      <c r="AC875" s="203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31" t="s">
        <v>343</v>
      </c>
      <c r="N876" s="2232"/>
      <c r="O876" s="2232"/>
      <c r="P876" s="2232"/>
      <c r="Q876" s="2232"/>
      <c r="R876" s="2232"/>
      <c r="S876" s="2232"/>
      <c r="T876" s="2232"/>
      <c r="U876" s="2232"/>
      <c r="V876" s="2233"/>
      <c r="W876" s="2037"/>
      <c r="X876" s="2038"/>
      <c r="Y876" s="2038"/>
      <c r="Z876" s="2038"/>
      <c r="AA876" s="2038"/>
      <c r="AB876" s="2038"/>
      <c r="AC876" s="203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05">
        <f>SUM(W872:AC876)</f>
        <v>0</v>
      </c>
      <c r="X877" s="2206"/>
      <c r="Y877" s="2206"/>
      <c r="Z877" s="2206"/>
      <c r="AA877" s="2206"/>
      <c r="AB877" s="2206"/>
      <c r="AC877" s="22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06">
        <f>W845+W853+W860+W861+W870+W877+W847</f>
        <v>322633</v>
      </c>
      <c r="AD881" s="2206"/>
      <c r="AE881" s="2206"/>
      <c r="AF881" s="2206"/>
      <c r="AG881" s="2206"/>
      <c r="AH881" s="22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7">
        <f>O796+O776+G753</f>
        <v>65</v>
      </c>
      <c r="AD882" s="2397"/>
      <c r="AE882" s="2397"/>
      <c r="AF882" s="2397"/>
      <c r="AG882" s="2397"/>
      <c r="AH882" s="239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5" t="s">
        <v>33</v>
      </c>
      <c r="F883" s="2395"/>
      <c r="G883" s="2395"/>
      <c r="H883" s="2395"/>
      <c r="I883" s="2395"/>
      <c r="J883" s="2395"/>
      <c r="K883" s="2395"/>
      <c r="L883" s="2395"/>
      <c r="M883" s="2395"/>
      <c r="N883" s="2395"/>
      <c r="O883" s="2395"/>
      <c r="P883" s="2395"/>
      <c r="Q883" s="2395"/>
      <c r="R883" s="2395"/>
      <c r="S883" s="2395"/>
      <c r="T883" s="2395"/>
      <c r="U883" s="2395"/>
      <c r="V883" s="2395"/>
      <c r="W883" s="2395"/>
      <c r="X883" s="2395"/>
      <c r="Y883" s="2395"/>
      <c r="Z883" s="2395"/>
      <c r="AA883" s="2395"/>
      <c r="AB883" s="2396"/>
      <c r="AC883" s="2373">
        <f>IF(ISERROR((ROUNDDOWN(AC881/AC882,0))),0,(ROUNDDOWN(AC881/AC882,0)))</f>
        <v>4963</v>
      </c>
      <c r="AD883" s="2373"/>
      <c r="AE883" s="2373"/>
      <c r="AF883" s="2373"/>
      <c r="AG883" s="2373"/>
      <c r="AH883" s="237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23">
        <v>223400</v>
      </c>
      <c r="AD884" s="2224"/>
      <c r="AE884" s="2224"/>
      <c r="AF884" s="2224"/>
      <c r="AG884" s="2224"/>
      <c r="AH884" s="22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9"/>
      <c r="AD885" s="2058"/>
      <c r="AE885" s="2058"/>
      <c r="AF885" s="2058"/>
      <c r="AG885" s="2058"/>
      <c r="AH885" s="205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8">
        <v>20000</v>
      </c>
      <c r="AD886" s="2038"/>
      <c r="AE886" s="2038"/>
      <c r="AF886" s="2038"/>
      <c r="AG886" s="2038"/>
      <c r="AH886" s="203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8">
        <v>32500</v>
      </c>
      <c r="AD887" s="2038"/>
      <c r="AE887" s="2038"/>
      <c r="AF887" s="2038"/>
      <c r="AG887" s="2038"/>
      <c r="AH887" s="203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75">
        <v>5455</v>
      </c>
      <c r="AD888" s="2076"/>
      <c r="AE888" s="2076"/>
      <c r="AF888" s="2076"/>
      <c r="AG888" s="2076"/>
      <c r="AH888" s="207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8">
        <v>9200</v>
      </c>
      <c r="AD889" s="2038"/>
      <c r="AE889" s="2038"/>
      <c r="AF889" s="2038"/>
      <c r="AG889" s="2038"/>
      <c r="AH889" s="203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8"/>
      <c r="AD890" s="2038"/>
      <c r="AE890" s="2038"/>
      <c r="AF890" s="2038"/>
      <c r="AG890" s="2038"/>
      <c r="AH890" s="203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0" t="s">
        <v>2597</v>
      </c>
      <c r="D891" s="2551"/>
      <c r="E891" s="2551"/>
      <c r="F891" s="2551"/>
      <c r="G891" s="2551"/>
      <c r="H891" s="2551"/>
      <c r="I891" s="2551"/>
      <c r="J891" s="2551"/>
      <c r="K891" s="2551"/>
      <c r="L891" s="2551"/>
      <c r="M891" s="2551"/>
      <c r="N891" s="2551"/>
      <c r="O891" s="2551"/>
      <c r="P891" s="2551"/>
      <c r="Q891" s="2551"/>
      <c r="R891" s="2551"/>
      <c r="S891" s="2551"/>
      <c r="T891" s="2551"/>
      <c r="U891" s="2551"/>
      <c r="V891" s="2551"/>
      <c r="W891" s="2551"/>
      <c r="X891" s="2551"/>
      <c r="Y891" s="2551"/>
      <c r="Z891" s="2551"/>
      <c r="AA891" s="2551"/>
      <c r="AB891" s="2552"/>
      <c r="AC891" s="2058">
        <v>800</v>
      </c>
      <c r="AD891" s="2058"/>
      <c r="AE891" s="2058"/>
      <c r="AF891" s="2058"/>
      <c r="AG891" s="2058"/>
      <c r="AH891" s="205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0" t="s">
        <v>2598</v>
      </c>
      <c r="D892" s="2551"/>
      <c r="E892" s="2551"/>
      <c r="F892" s="2551"/>
      <c r="G892" s="2551"/>
      <c r="H892" s="2551"/>
      <c r="I892" s="2551"/>
      <c r="J892" s="2551"/>
      <c r="K892" s="2551"/>
      <c r="L892" s="2551"/>
      <c r="M892" s="2551"/>
      <c r="N892" s="2551"/>
      <c r="O892" s="2551"/>
      <c r="P892" s="2551"/>
      <c r="Q892" s="2551"/>
      <c r="R892" s="2551"/>
      <c r="S892" s="2551"/>
      <c r="T892" s="2551"/>
      <c r="U892" s="2551"/>
      <c r="V892" s="2551"/>
      <c r="W892" s="2551"/>
      <c r="X892" s="2551"/>
      <c r="Y892" s="2551"/>
      <c r="Z892" s="2551"/>
      <c r="AA892" s="2551"/>
      <c r="AB892" s="2552"/>
      <c r="AC892" s="2058">
        <v>12500</v>
      </c>
      <c r="AD892" s="2058"/>
      <c r="AE892" s="2058"/>
      <c r="AF892" s="2058"/>
      <c r="AG892" s="2058"/>
      <c r="AH892" s="205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7"/>
      <c r="AA896" s="2038"/>
      <c r="AB896" s="2038"/>
      <c r="AC896" s="2038"/>
      <c r="AD896" s="2038"/>
      <c r="AE896" s="203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7"/>
      <c r="AA897" s="2038"/>
      <c r="AB897" s="2038"/>
      <c r="AC897" s="2038"/>
      <c r="AD897" s="2038"/>
      <c r="AE897" s="203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7"/>
      <c r="AA898" s="2038"/>
      <c r="AB898" s="2038"/>
      <c r="AC898" s="2038"/>
      <c r="AD898" s="2038"/>
      <c r="AE898" s="203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05">
        <f>Z896-(Z897+Z898)</f>
        <v>0</v>
      </c>
      <c r="AA899" s="2206"/>
      <c r="AB899" s="2206"/>
      <c r="AC899" s="2206"/>
      <c r="AD899" s="2206"/>
      <c r="AE899" s="220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2"/>
      <c r="BE901" s="240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6"/>
      <c r="BE902" s="240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7"/>
      <c r="BE903" s="234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7"/>
      <c r="BE904" s="234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7"/>
      <c r="BE905" s="234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2"/>
      <c r="BE906" s="234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84" t="s">
        <v>101</v>
      </c>
      <c r="B907" s="2384"/>
      <c r="C907" s="2384"/>
      <c r="D907" s="2384"/>
      <c r="E907" s="2384"/>
      <c r="F907" s="2384"/>
      <c r="G907" s="2384"/>
      <c r="H907" s="2384"/>
      <c r="I907" s="2384"/>
      <c r="J907" s="2384"/>
      <c r="K907" s="2384"/>
      <c r="L907" s="2384"/>
      <c r="M907" s="2384"/>
      <c r="N907" s="2384"/>
      <c r="O907" s="2384"/>
      <c r="P907" s="2384"/>
      <c r="Q907" s="2384"/>
      <c r="R907" s="2384"/>
      <c r="S907" s="2384"/>
      <c r="T907" s="2384"/>
      <c r="U907" s="2384"/>
      <c r="V907" s="2384"/>
      <c r="W907" s="2384"/>
      <c r="X907" s="2384"/>
      <c r="Y907" s="2384"/>
      <c r="Z907" s="2384"/>
      <c r="AA907" s="2384"/>
      <c r="AB907" s="2384"/>
      <c r="AC907" s="2384"/>
      <c r="AD907" s="2384"/>
      <c r="AE907" s="2384"/>
      <c r="AF907" s="2384"/>
      <c r="AG907" s="2384"/>
      <c r="AH907" s="2384"/>
      <c r="AI907" s="2384"/>
      <c r="AJ907" s="2384"/>
      <c r="AK907" s="2384"/>
      <c r="AL907" s="2384"/>
      <c r="AM907" s="144"/>
      <c r="AN907" s="144"/>
      <c r="AO907" s="144"/>
      <c r="AP907" s="144"/>
      <c r="AQ907" s="144"/>
      <c r="AR907" s="144"/>
      <c r="AS907" s="144"/>
      <c r="AT907" s="144"/>
      <c r="AU907" s="144"/>
      <c r="AV907" s="144"/>
      <c r="AW907" s="144"/>
      <c r="AX907" s="144"/>
      <c r="AY907" s="144"/>
      <c r="AZ907" s="61"/>
      <c r="BA907" s="25"/>
      <c r="BB907" s="127"/>
      <c r="BC907" s="1607"/>
      <c r="BD907" s="2405"/>
      <c r="BE907" s="2405"/>
      <c r="BF907" s="2405"/>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5"/>
      <c r="B908" s="2385"/>
      <c r="C908" s="2385"/>
      <c r="D908" s="2385"/>
      <c r="E908" s="2385"/>
      <c r="F908" s="2385"/>
      <c r="G908" s="2385"/>
      <c r="H908" s="2385"/>
      <c r="I908" s="2385"/>
      <c r="J908" s="2385"/>
      <c r="K908" s="2385"/>
      <c r="L908" s="2385"/>
      <c r="M908" s="2385"/>
      <c r="N908" s="2385"/>
      <c r="O908" s="2385"/>
      <c r="P908" s="2385"/>
      <c r="Q908" s="2385"/>
      <c r="R908" s="2385"/>
      <c r="S908" s="2385"/>
      <c r="T908" s="2385"/>
      <c r="U908" s="2385"/>
      <c r="V908" s="2385"/>
      <c r="W908" s="2385"/>
      <c r="X908" s="2385"/>
      <c r="Y908" s="2385"/>
      <c r="Z908" s="2385"/>
      <c r="AA908" s="2385"/>
      <c r="AB908" s="2385"/>
      <c r="AC908" s="2385"/>
      <c r="AD908" s="2385"/>
      <c r="AE908" s="2385"/>
      <c r="AF908" s="2385"/>
      <c r="AG908" s="2385"/>
      <c r="AH908" s="2385"/>
      <c r="AI908" s="2385"/>
      <c r="AJ908" s="2385"/>
      <c r="AK908" s="2385"/>
      <c r="AL908" s="2385"/>
      <c r="AM908" s="144"/>
      <c r="AN908" s="144"/>
      <c r="AO908" s="144"/>
      <c r="AP908" s="144"/>
      <c r="AQ908" s="144"/>
      <c r="AR908" s="144"/>
      <c r="AS908" s="144"/>
      <c r="AT908" s="144"/>
      <c r="AU908" s="144"/>
      <c r="AV908" s="144"/>
      <c r="AW908" s="144"/>
      <c r="AX908" s="144"/>
      <c r="AY908" s="144"/>
      <c r="AZ908" s="61"/>
      <c r="BA908" s="25"/>
      <c r="BB908" s="127"/>
      <c r="BC908" s="1607"/>
      <c r="BD908" s="2407"/>
      <c r="BE908" s="2407"/>
      <c r="BF908" s="2407"/>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7"/>
      <c r="BE909" s="234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2"/>
      <c r="BE910" s="234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13" t="s">
        <v>850</v>
      </c>
      <c r="G912" s="2114"/>
      <c r="H912" s="2114"/>
      <c r="I912" s="2114"/>
      <c r="J912" s="2114"/>
      <c r="K912" s="2114"/>
      <c r="L912" s="2114"/>
      <c r="M912" s="2114"/>
      <c r="N912" s="2114"/>
      <c r="O912" s="2114"/>
      <c r="P912" s="2114"/>
      <c r="Q912" s="2114"/>
      <c r="R912" s="2114"/>
      <c r="S912" s="2114"/>
      <c r="T912" s="2115"/>
      <c r="U912" s="2104" t="s">
        <v>32</v>
      </c>
      <c r="V912" s="2105"/>
      <c r="W912" s="2105"/>
      <c r="X912" s="2105"/>
      <c r="Y912" s="2105"/>
      <c r="Z912" s="2105"/>
      <c r="AA912" s="73"/>
      <c r="AB912" s="161"/>
      <c r="AC912" s="161"/>
      <c r="AD912" s="161"/>
      <c r="AE912" s="161"/>
      <c r="AF912" s="162"/>
      <c r="AZ912" s="61"/>
      <c r="BA912" s="1606"/>
      <c r="BB912" s="127"/>
      <c r="BC912" s="127"/>
      <c r="BD912" s="2402"/>
      <c r="BE912" s="234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107" t="s">
        <v>879</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03" t="s">
        <v>410</v>
      </c>
      <c r="AC914" s="2403"/>
      <c r="AD914" s="2403"/>
      <c r="AE914" s="240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8" t="s">
        <v>578</v>
      </c>
      <c r="V915" s="2209"/>
      <c r="W915" s="2209"/>
      <c r="X915" s="2209"/>
      <c r="Y915" s="2209"/>
      <c r="Z915" s="2210"/>
      <c r="AA915" s="2199">
        <v>13223000</v>
      </c>
      <c r="AB915" s="2200"/>
      <c r="AC915" s="2200"/>
      <c r="AD915" s="2200"/>
      <c r="AE915" s="2200"/>
      <c r="AF915" s="220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8" t="s">
        <v>578</v>
      </c>
      <c r="V916" s="2209"/>
      <c r="W916" s="2209"/>
      <c r="X916" s="2209"/>
      <c r="Y916" s="2209"/>
      <c r="Z916" s="2210"/>
      <c r="AA916" s="2199">
        <v>3927103</v>
      </c>
      <c r="AB916" s="2200"/>
      <c r="AC916" s="2200"/>
      <c r="AD916" s="2200"/>
      <c r="AE916" s="2200"/>
      <c r="AF916" s="220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8" t="s">
        <v>626</v>
      </c>
      <c r="V917" s="2209"/>
      <c r="W917" s="2209"/>
      <c r="X917" s="2209"/>
      <c r="Y917" s="2209"/>
      <c r="Z917" s="2210"/>
      <c r="AA917" s="2199"/>
      <c r="AB917" s="2200"/>
      <c r="AC917" s="2200"/>
      <c r="AD917" s="2200"/>
      <c r="AE917" s="2200"/>
      <c r="AF917" s="220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8" t="s">
        <v>626</v>
      </c>
      <c r="V918" s="2209"/>
      <c r="W918" s="2209"/>
      <c r="X918" s="2209"/>
      <c r="Y918" s="2209"/>
      <c r="Z918" s="2210"/>
      <c r="AA918" s="2199"/>
      <c r="AB918" s="2200"/>
      <c r="AC918" s="2200"/>
      <c r="AD918" s="2200"/>
      <c r="AE918" s="2200"/>
      <c r="AF918" s="220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8" t="s">
        <v>626</v>
      </c>
      <c r="V919" s="2209"/>
      <c r="W919" s="2209"/>
      <c r="X919" s="2209"/>
      <c r="Y919" s="2209"/>
      <c r="Z919" s="2210"/>
      <c r="AA919" s="2199"/>
      <c r="AB919" s="2200"/>
      <c r="AC919" s="2200"/>
      <c r="AD919" s="2200"/>
      <c r="AE919" s="2200"/>
      <c r="AF919" s="220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8" t="s">
        <v>626</v>
      </c>
      <c r="V920" s="2209"/>
      <c r="W920" s="2209"/>
      <c r="X920" s="2209"/>
      <c r="Y920" s="2209"/>
      <c r="Z920" s="2210"/>
      <c r="AA920" s="2199"/>
      <c r="AB920" s="2200"/>
      <c r="AC920" s="2200"/>
      <c r="AD920" s="2200"/>
      <c r="AE920" s="2200"/>
      <c r="AF920" s="220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8" t="s">
        <v>626</v>
      </c>
      <c r="V921" s="2209"/>
      <c r="W921" s="2209"/>
      <c r="X921" s="2209"/>
      <c r="Y921" s="2209"/>
      <c r="Z921" s="2210"/>
      <c r="AA921" s="2199"/>
      <c r="AB921" s="2200"/>
      <c r="AC921" s="2200"/>
      <c r="AD921" s="2200"/>
      <c r="AE921" s="2200"/>
      <c r="AF921" s="220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8" t="s">
        <v>626</v>
      </c>
      <c r="V922" s="2209"/>
      <c r="W922" s="2209"/>
      <c r="X922" s="2209"/>
      <c r="Y922" s="2209"/>
      <c r="Z922" s="2210"/>
      <c r="AA922" s="2199"/>
      <c r="AB922" s="2200"/>
      <c r="AC922" s="2200"/>
      <c r="AD922" s="2200"/>
      <c r="AE922" s="2200"/>
      <c r="AF922" s="220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8" t="s">
        <v>626</v>
      </c>
      <c r="V923" s="2209"/>
      <c r="W923" s="2209"/>
      <c r="X923" s="2209"/>
      <c r="Y923" s="2209"/>
      <c r="Z923" s="2210"/>
      <c r="AA923" s="2199"/>
      <c r="AB923" s="2200"/>
      <c r="AC923" s="2200"/>
      <c r="AD923" s="2200"/>
      <c r="AE923" s="2200"/>
      <c r="AF923" s="220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8" t="s">
        <v>626</v>
      </c>
      <c r="V924" s="2209"/>
      <c r="W924" s="2209"/>
      <c r="X924" s="2209"/>
      <c r="Y924" s="2209"/>
      <c r="Z924" s="2210"/>
      <c r="AA924" s="2199"/>
      <c r="AB924" s="2200"/>
      <c r="AC924" s="2200"/>
      <c r="AD924" s="2200"/>
      <c r="AE924" s="2200"/>
      <c r="AF924" s="220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8" t="s">
        <v>626</v>
      </c>
      <c r="V925" s="2209"/>
      <c r="W925" s="2209"/>
      <c r="X925" s="2209"/>
      <c r="Y925" s="2209"/>
      <c r="Z925" s="2210"/>
      <c r="AA925" s="2199"/>
      <c r="AB925" s="2200"/>
      <c r="AC925" s="2200"/>
      <c r="AD925" s="2200"/>
      <c r="AE925" s="2200"/>
      <c r="AF925" s="220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8" t="s">
        <v>578</v>
      </c>
      <c r="V926" s="2209"/>
      <c r="W926" s="2209"/>
      <c r="X926" s="2209"/>
      <c r="Y926" s="2209"/>
      <c r="Z926" s="2210"/>
      <c r="AA926" s="2199">
        <v>646147.91</v>
      </c>
      <c r="AB926" s="2200"/>
      <c r="AC926" s="2200"/>
      <c r="AD926" s="2200"/>
      <c r="AE926" s="2200"/>
      <c r="AF926" s="220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8" t="s">
        <v>626</v>
      </c>
      <c r="V927" s="2209"/>
      <c r="W927" s="2209"/>
      <c r="X927" s="2209"/>
      <c r="Y927" s="2209"/>
      <c r="Z927" s="2210"/>
      <c r="AA927" s="2199"/>
      <c r="AB927" s="2200"/>
      <c r="AC927" s="2200"/>
      <c r="AD927" s="2200"/>
      <c r="AE927" s="2200"/>
      <c r="AF927" s="220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8" t="s">
        <v>626</v>
      </c>
      <c r="V928" s="2209"/>
      <c r="W928" s="2209"/>
      <c r="X928" s="2209"/>
      <c r="Y928" s="2209"/>
      <c r="Z928" s="2210"/>
      <c r="AA928" s="2199"/>
      <c r="AB928" s="2200"/>
      <c r="AC928" s="2200"/>
      <c r="AD928" s="2200"/>
      <c r="AE928" s="2200"/>
      <c r="AF928" s="220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8" t="s">
        <v>626</v>
      </c>
      <c r="V929" s="2209"/>
      <c r="W929" s="2209"/>
      <c r="X929" s="2209"/>
      <c r="Y929" s="2209"/>
      <c r="Z929" s="2210"/>
      <c r="AA929" s="2199"/>
      <c r="AB929" s="2200"/>
      <c r="AC929" s="2200"/>
      <c r="AD929" s="2200"/>
      <c r="AE929" s="2200"/>
      <c r="AF929" s="220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8" t="s">
        <v>706</v>
      </c>
      <c r="Q930" s="2209"/>
      <c r="R930" s="2209"/>
      <c r="S930" s="2209"/>
      <c r="T930" s="2210"/>
      <c r="U930" s="2208" t="s">
        <v>626</v>
      </c>
      <c r="V930" s="2209"/>
      <c r="W930" s="2209"/>
      <c r="X930" s="2209"/>
      <c r="Y930" s="2209"/>
      <c r="Z930" s="2210"/>
      <c r="AA930" s="2199"/>
      <c r="AB930" s="2200"/>
      <c r="AC930" s="2200"/>
      <c r="AD930" s="2200"/>
      <c r="AE930" s="2200"/>
      <c r="AF930" s="220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6" t="s">
        <v>343</v>
      </c>
      <c r="J931" s="2247"/>
      <c r="K931" s="2247"/>
      <c r="L931" s="2247"/>
      <c r="M931" s="2247"/>
      <c r="N931" s="2247"/>
      <c r="O931" s="2247"/>
      <c r="P931" s="2247"/>
      <c r="Q931" s="2247"/>
      <c r="R931" s="2247"/>
      <c r="S931" s="2247"/>
      <c r="T931" s="2248"/>
      <c r="U931" s="2208" t="s">
        <v>626</v>
      </c>
      <c r="V931" s="2209"/>
      <c r="W931" s="2209"/>
      <c r="X931" s="2209"/>
      <c r="Y931" s="2209"/>
      <c r="Z931" s="2210"/>
      <c r="AA931" s="2199"/>
      <c r="AB931" s="2200"/>
      <c r="AC931" s="2200"/>
      <c r="AD931" s="2200"/>
      <c r="AE931" s="2200"/>
      <c r="AF931" s="220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6" t="s">
        <v>2677</v>
      </c>
      <c r="J932" s="2249"/>
      <c r="K932" s="2249"/>
      <c r="L932" s="2249"/>
      <c r="M932" s="2249"/>
      <c r="N932" s="2249"/>
      <c r="O932" s="2249"/>
      <c r="P932" s="2249"/>
      <c r="Q932" s="2249"/>
      <c r="R932" s="2249"/>
      <c r="S932" s="2249"/>
      <c r="T932" s="2250"/>
      <c r="U932" s="2208" t="s">
        <v>578</v>
      </c>
      <c r="V932" s="2209"/>
      <c r="W932" s="2209"/>
      <c r="X932" s="2209"/>
      <c r="Y932" s="2209"/>
      <c r="Z932" s="2210"/>
      <c r="AA932" s="2199">
        <v>546172.09</v>
      </c>
      <c r="AB932" s="2200"/>
      <c r="AC932" s="2200"/>
      <c r="AD932" s="2200"/>
      <c r="AE932" s="2200"/>
      <c r="AF932" s="220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6" t="s">
        <v>343</v>
      </c>
      <c r="J933" s="2249"/>
      <c r="K933" s="2249"/>
      <c r="L933" s="2249"/>
      <c r="M933" s="2249"/>
      <c r="N933" s="2249"/>
      <c r="O933" s="2249"/>
      <c r="P933" s="2249"/>
      <c r="Q933" s="2249"/>
      <c r="R933" s="2249"/>
      <c r="S933" s="2249"/>
      <c r="T933" s="2250"/>
      <c r="U933" s="2208" t="s">
        <v>626</v>
      </c>
      <c r="V933" s="2209"/>
      <c r="W933" s="2209"/>
      <c r="X933" s="2209"/>
      <c r="Y933" s="2209"/>
      <c r="Z933" s="2210"/>
      <c r="AA933" s="2199"/>
      <c r="AB933" s="2200"/>
      <c r="AC933" s="2200"/>
      <c r="AD933" s="2200"/>
      <c r="AE933" s="2200"/>
      <c r="AF933" s="220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6" t="s">
        <v>343</v>
      </c>
      <c r="J934" s="2249"/>
      <c r="K934" s="2249"/>
      <c r="L934" s="2249"/>
      <c r="M934" s="2249"/>
      <c r="N934" s="2249"/>
      <c r="O934" s="2249"/>
      <c r="P934" s="2249"/>
      <c r="Q934" s="2249"/>
      <c r="R934" s="2249"/>
      <c r="S934" s="2249"/>
      <c r="T934" s="2250"/>
      <c r="U934" s="2208" t="s">
        <v>626</v>
      </c>
      <c r="V934" s="2209"/>
      <c r="W934" s="2209"/>
      <c r="X934" s="2209"/>
      <c r="Y934" s="2209"/>
      <c r="Z934" s="2210"/>
      <c r="AA934" s="2199"/>
      <c r="AB934" s="2200"/>
      <c r="AC934" s="2200"/>
      <c r="AD934" s="2200"/>
      <c r="AE934" s="2200"/>
      <c r="AF934" s="220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7"/>
      <c r="N939" s="2203"/>
      <c r="O939" s="2203"/>
      <c r="P939" s="2203"/>
      <c r="Q939" s="2203"/>
      <c r="R939" s="2203"/>
      <c r="S939" s="2204"/>
      <c r="U939" s="103" t="s">
        <v>11</v>
      </c>
      <c r="V939" s="77"/>
      <c r="W939" s="77"/>
      <c r="X939" s="77"/>
      <c r="Y939" s="77"/>
      <c r="Z939" s="77"/>
      <c r="AA939" s="77"/>
      <c r="AB939" s="77"/>
      <c r="AC939" s="77"/>
      <c r="AD939" s="78"/>
      <c r="AE939" s="2377"/>
      <c r="AF939" s="2203"/>
      <c r="AG939" s="2203"/>
      <c r="AH939" s="2203"/>
      <c r="AI939" s="2203"/>
      <c r="AJ939" s="2203"/>
      <c r="AK939" s="220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20"/>
      <c r="N940" s="2221"/>
      <c r="O940" s="2221"/>
      <c r="P940" s="2221"/>
      <c r="Q940" s="2221"/>
      <c r="R940" s="2221"/>
      <c r="S940" s="2222"/>
      <c r="U940" s="103" t="s">
        <v>12</v>
      </c>
      <c r="V940" s="77"/>
      <c r="W940" s="77"/>
      <c r="X940" s="77"/>
      <c r="Y940" s="77"/>
      <c r="Z940" s="77"/>
      <c r="AA940" s="77"/>
      <c r="AB940" s="77"/>
      <c r="AC940" s="77"/>
      <c r="AD940" s="78"/>
      <c r="AE940" s="2220"/>
      <c r="AF940" s="2221"/>
      <c r="AG940" s="2221"/>
      <c r="AH940" s="2221"/>
      <c r="AI940" s="2221"/>
      <c r="AJ940" s="2221"/>
      <c r="AK940" s="22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81" t="s">
        <v>316</v>
      </c>
      <c r="K941" s="2382"/>
      <c r="L941" s="2382"/>
      <c r="M941" s="2382"/>
      <c r="N941" s="2382"/>
      <c r="O941" s="2382"/>
      <c r="P941" s="2382"/>
      <c r="Q941" s="2382"/>
      <c r="R941" s="2382"/>
      <c r="S941" s="2383"/>
      <c r="U941" s="103" t="s">
        <v>945</v>
      </c>
      <c r="V941" s="77"/>
      <c r="W941" s="77"/>
      <c r="AB941" s="2381" t="s">
        <v>316</v>
      </c>
      <c r="AC941" s="2382"/>
      <c r="AD941" s="2382"/>
      <c r="AE941" s="2382"/>
      <c r="AF941" s="2382"/>
      <c r="AG941" s="2382"/>
      <c r="AH941" s="2382"/>
      <c r="AI941" s="2382"/>
      <c r="AJ941" s="2382"/>
      <c r="AK941" s="238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7"/>
      <c r="N942" s="2238"/>
      <c r="O942" s="2238"/>
      <c r="P942" s="2238"/>
      <c r="Q942" s="2238"/>
      <c r="R942" s="2238"/>
      <c r="S942" s="2239"/>
      <c r="U942" s="103" t="s">
        <v>13</v>
      </c>
      <c r="V942" s="77"/>
      <c r="W942" s="77"/>
      <c r="X942" s="77"/>
      <c r="Y942" s="77"/>
      <c r="Z942" s="77"/>
      <c r="AA942" s="77"/>
      <c r="AB942" s="77"/>
      <c r="AC942" s="77"/>
      <c r="AD942" s="78"/>
      <c r="AE942" s="2401"/>
      <c r="AF942" s="2238"/>
      <c r="AG942" s="2238"/>
      <c r="AH942" s="2238"/>
      <c r="AI942" s="2238"/>
      <c r="AJ942" s="2238"/>
      <c r="AK942" s="22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8"/>
      <c r="N943" s="2379"/>
      <c r="O943" s="2379"/>
      <c r="P943" s="2379"/>
      <c r="Q943" s="2379"/>
      <c r="R943" s="2379"/>
      <c r="S943" s="2380"/>
      <c r="U943" s="103" t="s">
        <v>14</v>
      </c>
      <c r="V943" s="77"/>
      <c r="W943" s="77"/>
      <c r="X943" s="77"/>
      <c r="Y943" s="77"/>
      <c r="Z943" s="77"/>
      <c r="AA943" s="77"/>
      <c r="AB943" s="77"/>
      <c r="AC943" s="77"/>
      <c r="AD943" s="78"/>
      <c r="AE943" s="2378"/>
      <c r="AF943" s="2379"/>
      <c r="AG943" s="2379"/>
      <c r="AH943" s="2379"/>
      <c r="AI943" s="2379"/>
      <c r="AJ943" s="2379"/>
      <c r="AK943" s="23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9"/>
      <c r="N944" s="2200"/>
      <c r="O944" s="2200"/>
      <c r="P944" s="2200"/>
      <c r="Q944" s="2200"/>
      <c r="R944" s="2200"/>
      <c r="S944" s="2201"/>
      <c r="U944" s="103" t="s">
        <v>15</v>
      </c>
      <c r="V944" s="77"/>
      <c r="W944" s="77"/>
      <c r="X944" s="77"/>
      <c r="Y944" s="77"/>
      <c r="Z944" s="77"/>
      <c r="AA944" s="77"/>
      <c r="AB944" s="77"/>
      <c r="AC944" s="77"/>
      <c r="AD944" s="78"/>
      <c r="AE944" s="2199"/>
      <c r="AF944" s="2200"/>
      <c r="AG944" s="2200"/>
      <c r="AH944" s="2200"/>
      <c r="AI944" s="2200"/>
      <c r="AJ944" s="2200"/>
      <c r="AK944" s="220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9"/>
      <c r="N945" s="2200"/>
      <c r="O945" s="2200"/>
      <c r="P945" s="2200"/>
      <c r="Q945" s="2200"/>
      <c r="R945" s="2200"/>
      <c r="S945" s="2201"/>
      <c r="U945" s="103" t="s">
        <v>16</v>
      </c>
      <c r="V945" s="77"/>
      <c r="W945" s="77"/>
      <c r="X945" s="77"/>
      <c r="Y945" s="77"/>
      <c r="Z945" s="77"/>
      <c r="AA945" s="77"/>
      <c r="AB945" s="77"/>
      <c r="AC945" s="77"/>
      <c r="AD945" s="78"/>
      <c r="AE945" s="2199"/>
      <c r="AF945" s="2200"/>
      <c r="AG945" s="2200"/>
      <c r="AH945" s="2200"/>
      <c r="AI945" s="2200"/>
      <c r="AJ945" s="2200"/>
      <c r="AK945" s="220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9"/>
      <c r="N946" s="2100"/>
      <c r="O946" s="2100"/>
      <c r="P946" s="2100"/>
      <c r="Q946" s="2100"/>
      <c r="R946" s="2100"/>
      <c r="S946" s="2101"/>
      <c r="U946" s="103" t="s">
        <v>605</v>
      </c>
      <c r="V946" s="77"/>
      <c r="W946" s="77"/>
      <c r="X946" s="77"/>
      <c r="Y946" s="77"/>
      <c r="Z946" s="77"/>
      <c r="AA946" s="77"/>
      <c r="AB946" s="77"/>
      <c r="AC946" s="77"/>
      <c r="AD946" s="78"/>
      <c r="AE946" s="2099"/>
      <c r="AF946" s="2100"/>
      <c r="AG946" s="2100"/>
      <c r="AH946" s="2100"/>
      <c r="AI946" s="2100"/>
      <c r="AJ946" s="2100"/>
      <c r="AK946" s="21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25"/>
      <c r="N951" s="2226"/>
      <c r="O951" s="2226"/>
      <c r="P951" s="2226"/>
      <c r="Q951" s="2226"/>
      <c r="R951" s="2226"/>
      <c r="S951" s="2227"/>
      <c r="T951" s="103" t="s">
        <v>848</v>
      </c>
      <c r="U951" s="77"/>
      <c r="V951" s="77"/>
      <c r="W951" s="77"/>
      <c r="X951" s="77"/>
      <c r="Y951" s="77"/>
      <c r="Z951" s="78"/>
      <c r="AA951" s="2225"/>
      <c r="AB951" s="2226"/>
      <c r="AC951" s="2226"/>
      <c r="AD951" s="2226"/>
      <c r="AE951" s="2226"/>
      <c r="AF951" s="2226"/>
      <c r="AG951" s="22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25"/>
      <c r="N952" s="2226"/>
      <c r="O952" s="2226"/>
      <c r="P952" s="2226"/>
      <c r="Q952" s="2226"/>
      <c r="R952" s="2226"/>
      <c r="S952" s="2227"/>
      <c r="T952" s="103" t="s">
        <v>847</v>
      </c>
      <c r="U952" s="77"/>
      <c r="V952" s="77"/>
      <c r="W952" s="77"/>
      <c r="X952" s="77"/>
      <c r="Y952" s="77"/>
      <c r="Z952" s="78"/>
      <c r="AA952" s="2225"/>
      <c r="AB952" s="2226"/>
      <c r="AC952" s="2226"/>
      <c r="AD952" s="2226"/>
      <c r="AE952" s="2226"/>
      <c r="AF952" s="2226"/>
      <c r="AG952" s="22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6" t="s">
        <v>626</v>
      </c>
      <c r="N953" s="2387"/>
      <c r="O953" s="2387"/>
      <c r="P953" s="2387"/>
      <c r="Q953" s="2387"/>
      <c r="R953" s="2387"/>
      <c r="S953" s="2388"/>
      <c r="T953" s="76" t="s">
        <v>346</v>
      </c>
      <c r="U953" s="77"/>
      <c r="V953" s="77"/>
      <c r="W953" s="77"/>
      <c r="X953" s="77"/>
      <c r="Y953" s="77"/>
      <c r="Z953" s="78"/>
      <c r="AA953" s="2225"/>
      <c r="AB953" s="2226"/>
      <c r="AC953" s="2226"/>
      <c r="AD953" s="2226"/>
      <c r="AE953" s="2226"/>
      <c r="AF953" s="2226"/>
      <c r="AG953" s="22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25"/>
      <c r="N954" s="2226"/>
      <c r="O954" s="2226"/>
      <c r="P954" s="2226"/>
      <c r="Q954" s="2226"/>
      <c r="R954" s="2226"/>
      <c r="S954" s="2227"/>
      <c r="T954" s="76" t="s">
        <v>347</v>
      </c>
      <c r="U954" s="77"/>
      <c r="V954" s="77"/>
      <c r="W954" s="77"/>
      <c r="X954" s="77"/>
      <c r="Y954" s="77"/>
      <c r="Z954" s="78"/>
      <c r="AA954" s="2225"/>
      <c r="AB954" s="2226"/>
      <c r="AC954" s="2226"/>
      <c r="AD954" s="2226"/>
      <c r="AE954" s="2226"/>
      <c r="AF954" s="2226"/>
      <c r="AG954" s="22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25"/>
      <c r="N955" s="2226"/>
      <c r="O955" s="2226"/>
      <c r="P955" s="2226"/>
      <c r="Q955" s="2226"/>
      <c r="R955" s="2226"/>
      <c r="S955" s="2227"/>
      <c r="T955" s="76" t="s">
        <v>394</v>
      </c>
      <c r="U955" s="77"/>
      <c r="V955" s="77"/>
      <c r="W955" s="77"/>
      <c r="X955" s="77"/>
      <c r="Y955" s="77"/>
      <c r="Z955" s="78"/>
      <c r="AA955" s="2225"/>
      <c r="AB955" s="2226"/>
      <c r="AC955" s="2226"/>
      <c r="AD955" s="2226"/>
      <c r="AE955" s="2226"/>
      <c r="AF955" s="2226"/>
      <c r="AG955" s="22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9" t="s">
        <v>316</v>
      </c>
      <c r="N956" s="2390"/>
      <c r="O956" s="2390"/>
      <c r="P956" s="2390"/>
      <c r="Q956" s="2390"/>
      <c r="R956" s="2390"/>
      <c r="S956" s="2391"/>
      <c r="T956" s="2243"/>
      <c r="U956" s="2244"/>
      <c r="V956" s="2244"/>
      <c r="W956" s="2244"/>
      <c r="X956" s="2244"/>
      <c r="Y956" s="2244"/>
      <c r="Z956" s="2245"/>
      <c r="AA956" s="2225"/>
      <c r="AB956" s="2226"/>
      <c r="AC956" s="2226"/>
      <c r="AD956" s="2226"/>
      <c r="AE956" s="2226"/>
      <c r="AF956" s="2226"/>
      <c r="AG956" s="22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25"/>
      <c r="N957" s="2226"/>
      <c r="O957" s="2226"/>
      <c r="P957" s="2226"/>
      <c r="Q957" s="2226"/>
      <c r="R957" s="2226"/>
      <c r="S957" s="2227"/>
      <c r="T957" s="2243"/>
      <c r="U957" s="2244"/>
      <c r="V957" s="2244"/>
      <c r="W957" s="2244"/>
      <c r="X957" s="2244"/>
      <c r="Y957" s="2244"/>
      <c r="Z957" s="2245"/>
      <c r="AA957" s="2225"/>
      <c r="AB957" s="2226"/>
      <c r="AC957" s="2226"/>
      <c r="AD957" s="2226"/>
      <c r="AE957" s="2226"/>
      <c r="AF957" s="2226"/>
      <c r="AG957" s="22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1" t="s">
        <v>706</v>
      </c>
      <c r="P958" s="2362"/>
      <c r="Q958" s="139"/>
      <c r="R958" s="139"/>
      <c r="S958" s="140"/>
      <c r="T958" s="71" t="s">
        <v>175</v>
      </c>
      <c r="U958" s="72"/>
      <c r="V958" s="72"/>
      <c r="W958" s="2231" t="s">
        <v>343</v>
      </c>
      <c r="X958" s="2232"/>
      <c r="Y958" s="2232"/>
      <c r="Z958" s="2232"/>
      <c r="AA958" s="2232"/>
      <c r="AB958" s="2232"/>
      <c r="AC958" s="2232"/>
      <c r="AD958" s="2232"/>
      <c r="AE958" s="2232"/>
      <c r="AF958" s="2232"/>
      <c r="AG958" s="223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9" t="s">
        <v>34</v>
      </c>
      <c r="G959" s="2280"/>
      <c r="H959" s="2280"/>
      <c r="I959" s="2280"/>
      <c r="J959" s="2280"/>
      <c r="K959" s="2280"/>
      <c r="L959" s="2280"/>
      <c r="M959" s="2225"/>
      <c r="N959" s="2226"/>
      <c r="O959" s="2226"/>
      <c r="P959" s="2226"/>
      <c r="Q959" s="2226"/>
      <c r="R959" s="2226"/>
      <c r="S959" s="2227"/>
      <c r="T959" s="79"/>
      <c r="U959" s="80"/>
      <c r="V959" s="80"/>
      <c r="W959" s="80"/>
      <c r="X959" s="80"/>
      <c r="Y959" s="80"/>
      <c r="Z959" s="188" t="s">
        <v>139</v>
      </c>
      <c r="AA959" s="2240"/>
      <c r="AB959" s="2241"/>
      <c r="AC959" s="2241"/>
      <c r="AD959" s="2241"/>
      <c r="AE959" s="2241"/>
      <c r="AF959" s="2241"/>
      <c r="AG959" s="224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53" t="s">
        <v>581</v>
      </c>
      <c r="B963" s="2353"/>
      <c r="C963" s="2353"/>
      <c r="D963" s="2353"/>
      <c r="E963" s="2353"/>
      <c r="F963" s="2353"/>
      <c r="G963" s="2353"/>
      <c r="H963" s="2353"/>
      <c r="I963" s="2353"/>
      <c r="J963" s="2353"/>
      <c r="K963" s="2353"/>
      <c r="L963" s="2353"/>
      <c r="M963" s="2353"/>
      <c r="N963" s="2353"/>
      <c r="O963" s="2353"/>
      <c r="P963" s="2353"/>
      <c r="Q963" s="2353"/>
      <c r="R963" s="2353"/>
      <c r="S963" s="2353"/>
      <c r="T963" s="2353"/>
      <c r="U963" s="2353"/>
      <c r="V963" s="2353"/>
      <c r="W963" s="2353"/>
      <c r="X963" s="2353"/>
      <c r="Y963" s="2353"/>
      <c r="Z963" s="2353"/>
      <c r="AA963" s="2353"/>
      <c r="AB963" s="2353"/>
      <c r="AC963" s="2353"/>
      <c r="AD963" s="2353"/>
      <c r="AE963" s="2353"/>
      <c r="AF963" s="2353"/>
      <c r="AG963" s="2353"/>
      <c r="AH963" s="2353"/>
      <c r="AI963" s="2353"/>
      <c r="AJ963" s="2353"/>
      <c r="AK963" s="2353"/>
      <c r="AL963" s="2353"/>
      <c r="AM963" s="2353"/>
      <c r="AN963" s="2353"/>
      <c r="AO963" s="2353"/>
      <c r="AP963" s="2353"/>
      <c r="AQ963" s="2353"/>
      <c r="AR963" s="2353"/>
      <c r="AS963" s="235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53"/>
      <c r="B964" s="2353"/>
      <c r="C964" s="2353"/>
      <c r="D964" s="2353"/>
      <c r="E964" s="2353"/>
      <c r="F964" s="2353"/>
      <c r="G964" s="2353"/>
      <c r="H964" s="2353"/>
      <c r="I964" s="2353"/>
      <c r="J964" s="2353"/>
      <c r="K964" s="2353"/>
      <c r="L964" s="2353"/>
      <c r="M964" s="2353"/>
      <c r="N964" s="2353"/>
      <c r="O964" s="2353"/>
      <c r="P964" s="2353"/>
      <c r="Q964" s="2353"/>
      <c r="R964" s="2353"/>
      <c r="S964" s="2353"/>
      <c r="T964" s="2353"/>
      <c r="U964" s="2353"/>
      <c r="V964" s="2353"/>
      <c r="W964" s="2353"/>
      <c r="X964" s="2353"/>
      <c r="Y964" s="2353"/>
      <c r="Z964" s="2353"/>
      <c r="AA964" s="2353"/>
      <c r="AB964" s="2353"/>
      <c r="AC964" s="2353"/>
      <c r="AD964" s="2353"/>
      <c r="AE964" s="2353"/>
      <c r="AF964" s="2353"/>
      <c r="AG964" s="2353"/>
      <c r="AH964" s="2353"/>
      <c r="AI964" s="2353"/>
      <c r="AJ964" s="2353"/>
      <c r="AK964" s="2353"/>
      <c r="AL964" s="2353"/>
      <c r="AM964" s="2353"/>
      <c r="AN964" s="2353"/>
      <c r="AO964" s="2353"/>
      <c r="AP964" s="2353"/>
      <c r="AQ964" s="2353"/>
      <c r="AR964" s="2353"/>
      <c r="AS964" s="235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48" t="s">
        <v>673</v>
      </c>
      <c r="E968" s="2149"/>
      <c r="F968" s="2149"/>
      <c r="G968" s="2149"/>
      <c r="H968" s="2149"/>
      <c r="I968" s="2149"/>
      <c r="J968" s="2149"/>
      <c r="K968" s="2149"/>
      <c r="L968" s="2149"/>
      <c r="M968" s="2149"/>
      <c r="N968" s="2149"/>
      <c r="O968" s="2149"/>
      <c r="P968" s="2149"/>
      <c r="Q968" s="2150"/>
      <c r="R968" s="2148" t="s">
        <v>674</v>
      </c>
      <c r="S968" s="2149"/>
      <c r="T968" s="2149"/>
      <c r="U968" s="2149"/>
      <c r="V968" s="2149"/>
      <c r="W968" s="2149"/>
      <c r="X968" s="2149"/>
      <c r="Y968" s="2149"/>
      <c r="Z968" s="2149"/>
      <c r="AA968" s="2150"/>
      <c r="AB968" s="2148" t="s">
        <v>675</v>
      </c>
      <c r="AC968" s="2149"/>
      <c r="AD968" s="2149"/>
      <c r="AE968" s="2149"/>
      <c r="AF968" s="2149"/>
      <c r="AG968" s="2149"/>
      <c r="AH968" s="2149"/>
      <c r="AI968" s="2150"/>
      <c r="AJ968" s="2148" t="s">
        <v>676</v>
      </c>
      <c r="AK968" s="2149"/>
      <c r="AL968" s="2149"/>
      <c r="AM968" s="2149"/>
      <c r="AN968" s="2149"/>
      <c r="AO968" s="2149"/>
      <c r="AP968" s="2149"/>
      <c r="AQ968" s="215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212" t="s">
        <v>668</v>
      </c>
      <c r="E969" s="2213"/>
      <c r="F969" s="2213"/>
      <c r="G969" s="2213"/>
      <c r="H969" s="2213"/>
      <c r="I969" s="2213"/>
      <c r="J969" s="2213"/>
      <c r="K969" s="2213"/>
      <c r="L969" s="2213"/>
      <c r="M969" s="2213"/>
      <c r="N969" s="2213"/>
      <c r="O969" s="2213"/>
      <c r="P969" s="2213"/>
      <c r="Q969" s="2214"/>
      <c r="R969" s="2211">
        <f>IF(ISNA(IF($BN$799="4%",(INDEX($BP$809:$BT$866,MATCH($CB$799,$BO$809:$BO$866,0),MATCH(D969,$BP$808:$BT$808,0))),(INDEX($BW$809:$CA$866,MATCH($CB$799,$BV$809:$BV$866,0),MATCH(D969,$BW$808:$CA$808,0))))),0,IF($BN$799="4%",(INDEX($BP$809:$BT$866,MATCH($CB$799,$BO$809:$BO$866,0),MATCH(D969,$BP$808:$BT$808,0))),(INDEX($BW$809:$CA$866,MATCH($CB$799,$BV$809:$BV$866,0),MATCH(D969,$BW$808:$CA$808,0)))))</f>
        <v>279547</v>
      </c>
      <c r="S969" s="2211"/>
      <c r="T969" s="2211"/>
      <c r="U969" s="2211"/>
      <c r="V969" s="2211"/>
      <c r="W969" s="2211"/>
      <c r="X969" s="2211"/>
      <c r="Y969" s="2211"/>
      <c r="Z969" s="2211"/>
      <c r="AA969" s="2211"/>
      <c r="AB969" s="2096">
        <f>BN663</f>
        <v>0</v>
      </c>
      <c r="AC969" s="2097"/>
      <c r="AD969" s="2097"/>
      <c r="AE969" s="2097"/>
      <c r="AF969" s="2097"/>
      <c r="AG969" s="2097"/>
      <c r="AH969" s="2097"/>
      <c r="AI969" s="2098"/>
      <c r="AJ969" s="2193">
        <f>IF(ISERROR((R969*AB969)),0,(R969*AB969))</f>
        <v>0</v>
      </c>
      <c r="AK969" s="2194"/>
      <c r="AL969" s="2194"/>
      <c r="AM969" s="2194"/>
      <c r="AN969" s="2194"/>
      <c r="AO969" s="2194"/>
      <c r="AP969" s="2194"/>
      <c r="AQ969" s="219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212" t="s">
        <v>334</v>
      </c>
      <c r="E970" s="2213"/>
      <c r="F970" s="2213"/>
      <c r="G970" s="2213"/>
      <c r="H970" s="2213"/>
      <c r="I970" s="2213"/>
      <c r="J970" s="2213"/>
      <c r="K970" s="2213"/>
      <c r="L970" s="2213"/>
      <c r="M970" s="2213"/>
      <c r="N970" s="2213"/>
      <c r="O970" s="2213"/>
      <c r="P970" s="2213"/>
      <c r="Q970" s="2214"/>
      <c r="R970" s="2211">
        <f>IF(ISNA(IF($BN$799="4%",(INDEX($BP$809:$BT$866,MATCH($CB$799,$BO$809:$BO$866,0),MATCH(D970,$BP$808:$BT$808,0))),(INDEX($BW$809:$CA$866,MATCH($CB$799,$BV$809:$BV$866,0),MATCH(D970,$BW$808:$CA$808,0))))),0,IF($BN$799="4%",(INDEX($BP$809:$BT$866,MATCH($CB$799,$BO$809:$BO$866,0),MATCH(D970,$BP$808:$BT$808,0))),(INDEX($BW$809:$CA$866,MATCH($CB$799,$BV$809:$BV$866,0),MATCH(D970,$BW$808:$CA$808,0)))))</f>
        <v>322315</v>
      </c>
      <c r="S970" s="2211"/>
      <c r="T970" s="2211"/>
      <c r="U970" s="2211"/>
      <c r="V970" s="2211"/>
      <c r="W970" s="2211"/>
      <c r="X970" s="2211"/>
      <c r="Y970" s="2211"/>
      <c r="Z970" s="2211"/>
      <c r="AA970" s="2211"/>
      <c r="AB970" s="2096">
        <f>BS663</f>
        <v>52</v>
      </c>
      <c r="AC970" s="2097"/>
      <c r="AD970" s="2097"/>
      <c r="AE970" s="2097"/>
      <c r="AF970" s="2097"/>
      <c r="AG970" s="2097"/>
      <c r="AH970" s="2097"/>
      <c r="AI970" s="2098"/>
      <c r="AJ970" s="2193">
        <f>IF(ISERROR((R970*AB970)),0,(R970*AB970))</f>
        <v>16760380</v>
      </c>
      <c r="AK970" s="2194"/>
      <c r="AL970" s="2194"/>
      <c r="AM970" s="2194"/>
      <c r="AN970" s="2194"/>
      <c r="AO970" s="2194"/>
      <c r="AP970" s="2194"/>
      <c r="AQ970" s="219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12" t="s">
        <v>168</v>
      </c>
      <c r="E971" s="2213"/>
      <c r="F971" s="2213"/>
      <c r="G971" s="2213"/>
      <c r="H971" s="2213"/>
      <c r="I971" s="2213"/>
      <c r="J971" s="2213"/>
      <c r="K971" s="2213"/>
      <c r="L971" s="2213"/>
      <c r="M971" s="2213"/>
      <c r="N971" s="2213"/>
      <c r="O971" s="2213"/>
      <c r="P971" s="2213"/>
      <c r="Q971" s="2214"/>
      <c r="R971" s="2211">
        <f>IF(ISNA(IF($BN$799="4%",(INDEX($BP$809:$BT$866,MATCH($CB$799,$BO$809:$BO$866,0),MATCH(D971,$BP$808:$BT$808,0))),(INDEX($BW$809:$CA$866,MATCH($CB$799,$BV$809:$BV$866,0),MATCH(D971,$BW$808:$CA$808,0))))),0,IF($BN$799="4%",(INDEX($BP$809:$BT$866,MATCH($CB$799,$BO$809:$BO$866,0),MATCH(D971,$BP$808:$BT$808,0))),(INDEX($BW$809:$CA$866,MATCH($CB$799,$BV$809:$BV$866,0),MATCH(D971,$BW$808:$CA$808,0)))))</f>
        <v>388800</v>
      </c>
      <c r="S971" s="2211"/>
      <c r="T971" s="2211"/>
      <c r="U971" s="2211"/>
      <c r="V971" s="2211"/>
      <c r="W971" s="2211"/>
      <c r="X971" s="2211"/>
      <c r="Y971" s="2211"/>
      <c r="Z971" s="2211"/>
      <c r="AA971" s="2211"/>
      <c r="AB971" s="2096">
        <f>BX663</f>
        <v>13</v>
      </c>
      <c r="AC971" s="2097"/>
      <c r="AD971" s="2097"/>
      <c r="AE971" s="2097"/>
      <c r="AF971" s="2097"/>
      <c r="AG971" s="2097"/>
      <c r="AH971" s="2097"/>
      <c r="AI971" s="2098"/>
      <c r="AJ971" s="2193">
        <f>IF(ISERROR((R971*AB971)),0,(R971*AB971))</f>
        <v>5054400</v>
      </c>
      <c r="AK971" s="2194"/>
      <c r="AL971" s="2194"/>
      <c r="AM971" s="2194"/>
      <c r="AN971" s="2194"/>
      <c r="AO971" s="2194"/>
      <c r="AP971" s="2194"/>
      <c r="AQ971" s="219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212" t="s">
        <v>169</v>
      </c>
      <c r="E972" s="2213"/>
      <c r="F972" s="2213"/>
      <c r="G972" s="2213"/>
      <c r="H972" s="2213"/>
      <c r="I972" s="2213"/>
      <c r="J972" s="2213"/>
      <c r="K972" s="2213"/>
      <c r="L972" s="2213"/>
      <c r="M972" s="2213"/>
      <c r="N972" s="2213"/>
      <c r="O972" s="2213"/>
      <c r="P972" s="2213"/>
      <c r="Q972" s="2214"/>
      <c r="R972" s="2211">
        <f>IF(ISNA(IF($BN$799="4%",(INDEX($BP$809:$BT$866,MATCH($CB$799,$BO$809:$BO$866,0),MATCH(D972,$BP$808:$BT$808,0))),(INDEX($BW$809:$CA$866,MATCH($CB$799,$BV$809:$BV$866,0),MATCH(D972,$BW$808:$CA$808,0))))),0,IF($BN$799="4%",(INDEX($BP$809:$BT$866,MATCH($CB$799,$BO$809:$BO$866,0),MATCH(D972,$BP$808:$BT$808,0))),(INDEX($BW$809:$CA$866,MATCH($CB$799,$BV$809:$BV$866,0),MATCH(D972,$BW$808:$CA$808,0)))))</f>
        <v>497664</v>
      </c>
      <c r="S972" s="2211"/>
      <c r="T972" s="2211"/>
      <c r="U972" s="2211"/>
      <c r="V972" s="2211"/>
      <c r="W972" s="2211"/>
      <c r="X972" s="2211"/>
      <c r="Y972" s="2211"/>
      <c r="Z972" s="2211"/>
      <c r="AA972" s="2211"/>
      <c r="AB972" s="2096">
        <f>CC663</f>
        <v>0</v>
      </c>
      <c r="AC972" s="2097"/>
      <c r="AD972" s="2097"/>
      <c r="AE972" s="2097"/>
      <c r="AF972" s="2097"/>
      <c r="AG972" s="2097"/>
      <c r="AH972" s="2097"/>
      <c r="AI972" s="2098"/>
      <c r="AJ972" s="2193">
        <f>IF(ISERROR((R972*AB972)),0,(R972*AB972))</f>
        <v>0</v>
      </c>
      <c r="AK972" s="2194"/>
      <c r="AL972" s="2194"/>
      <c r="AM972" s="2194"/>
      <c r="AN972" s="2194"/>
      <c r="AO972" s="2194"/>
      <c r="AP972" s="2194"/>
      <c r="AQ972" s="219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12" t="s">
        <v>493</v>
      </c>
      <c r="E973" s="2213"/>
      <c r="F973" s="2213"/>
      <c r="G973" s="2213"/>
      <c r="H973" s="2213"/>
      <c r="I973" s="2213"/>
      <c r="J973" s="2213"/>
      <c r="K973" s="2213"/>
      <c r="L973" s="2213"/>
      <c r="M973" s="2213"/>
      <c r="N973" s="2213"/>
      <c r="O973" s="2213"/>
      <c r="P973" s="2213"/>
      <c r="Q973" s="2214"/>
      <c r="R973" s="2211">
        <f>IF(ISNA(IF($BN$799="4%",(INDEX($BP$809:$BT$866,MATCH($CB$799,$BO$809:$BO$866,0),MATCH(D973,$BP$808:$BT$808,0))),(INDEX($BW$809:$CA$866,MATCH($CB$799,$BV$809:$BV$866,0),MATCH(D973,$BW$808:$CA$808,0))))),0,IF($BN$799="4%",(INDEX($BP$809:$BT$866,MATCH($CB$799,$BO$809:$BO$866,0),MATCH(D973,$BP$808:$BT$808,0))),(INDEX($BW$809:$CA$866,MATCH($CB$799,$BV$809:$BV$866,0),MATCH(D973,$BW$808:$CA$808,0)))))</f>
        <v>554429</v>
      </c>
      <c r="S973" s="2211"/>
      <c r="T973" s="2211"/>
      <c r="U973" s="2211"/>
      <c r="V973" s="2211"/>
      <c r="W973" s="2211"/>
      <c r="X973" s="2211"/>
      <c r="Y973" s="2211"/>
      <c r="Z973" s="2211"/>
      <c r="AA973" s="2211"/>
      <c r="AB973" s="2096">
        <f>CM663+CH663</f>
        <v>0</v>
      </c>
      <c r="AC973" s="2097"/>
      <c r="AD973" s="2097"/>
      <c r="AE973" s="2097"/>
      <c r="AF973" s="2097"/>
      <c r="AG973" s="2097"/>
      <c r="AH973" s="2097"/>
      <c r="AI973" s="2098"/>
      <c r="AJ973" s="2193">
        <f>IF(ISERROR((R973*AB973)),0,(R973*AB973))</f>
        <v>0</v>
      </c>
      <c r="AK973" s="2194"/>
      <c r="AL973" s="2194"/>
      <c r="AM973" s="2194"/>
      <c r="AN973" s="2194"/>
      <c r="AO973" s="2194"/>
      <c r="AP973" s="2194"/>
      <c r="AQ973" s="219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51" t="s">
        <v>849</v>
      </c>
      <c r="C974" s="2152"/>
      <c r="D974" s="2152"/>
      <c r="E974" s="2152"/>
      <c r="F974" s="2152"/>
      <c r="G974" s="2152"/>
      <c r="H974" s="2152"/>
      <c r="I974" s="2152"/>
      <c r="J974" s="2152"/>
      <c r="K974" s="2152"/>
      <c r="L974" s="2152"/>
      <c r="M974" s="2152"/>
      <c r="N974" s="2152"/>
      <c r="O974" s="2152"/>
      <c r="P974" s="2152"/>
      <c r="Q974" s="2152"/>
      <c r="R974" s="2152"/>
      <c r="S974" s="2152"/>
      <c r="T974" s="2152"/>
      <c r="U974" s="2152"/>
      <c r="V974" s="2152"/>
      <c r="W974" s="2152"/>
      <c r="X974" s="2152"/>
      <c r="Y974" s="2152"/>
      <c r="Z974" s="2152"/>
      <c r="AA974" s="2153"/>
      <c r="AB974" s="2096">
        <f>SUM(AB969:AI973)</f>
        <v>65</v>
      </c>
      <c r="AC974" s="2097"/>
      <c r="AD974" s="2097"/>
      <c r="AE974" s="2097"/>
      <c r="AF974" s="2097"/>
      <c r="AG974" s="2097"/>
      <c r="AH974" s="2097"/>
      <c r="AI974" s="2098"/>
      <c r="AJ974" s="2193"/>
      <c r="AK974" s="2194"/>
      <c r="AL974" s="2194"/>
      <c r="AM974" s="2194"/>
      <c r="AN974" s="2194"/>
      <c r="AO974" s="2194"/>
      <c r="AP974" s="2194"/>
      <c r="AQ974" s="219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90" t="s">
        <v>545</v>
      </c>
      <c r="C975" s="2191"/>
      <c r="D975" s="2191"/>
      <c r="E975" s="2191"/>
      <c r="F975" s="2191"/>
      <c r="G975" s="2191"/>
      <c r="H975" s="2191"/>
      <c r="I975" s="2191"/>
      <c r="J975" s="2191"/>
      <c r="K975" s="2191"/>
      <c r="L975" s="2191"/>
      <c r="M975" s="2191"/>
      <c r="N975" s="2191"/>
      <c r="O975" s="2191"/>
      <c r="P975" s="2191"/>
      <c r="Q975" s="2191"/>
      <c r="R975" s="2191"/>
      <c r="S975" s="2191"/>
      <c r="T975" s="2191"/>
      <c r="U975" s="2191"/>
      <c r="V975" s="2191"/>
      <c r="W975" s="2191"/>
      <c r="X975" s="2191"/>
      <c r="Y975" s="2191"/>
      <c r="Z975" s="2191"/>
      <c r="AA975" s="2191"/>
      <c r="AB975" s="2191"/>
      <c r="AC975" s="2191"/>
      <c r="AD975" s="2191"/>
      <c r="AE975" s="2191"/>
      <c r="AF975" s="2191"/>
      <c r="AG975" s="2191"/>
      <c r="AH975" s="2191"/>
      <c r="AI975" s="2192"/>
      <c r="AJ975" s="2193">
        <f>SUM(AJ969:AQ973)</f>
        <v>21814780</v>
      </c>
      <c r="AK975" s="2194"/>
      <c r="AL975" s="2194"/>
      <c r="AM975" s="2194"/>
      <c r="AN975" s="2194"/>
      <c r="AO975" s="2194"/>
      <c r="AP975" s="2194"/>
      <c r="AQ975" s="219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96"/>
      <c r="C976" s="2197"/>
      <c r="D976" s="2197"/>
      <c r="E976" s="2197"/>
      <c r="F976" s="2197"/>
      <c r="G976" s="2197"/>
      <c r="H976" s="2197"/>
      <c r="I976" s="2197"/>
      <c r="J976" s="2197"/>
      <c r="K976" s="2197"/>
      <c r="L976" s="2197"/>
      <c r="M976" s="2197"/>
      <c r="N976" s="2197"/>
      <c r="O976" s="2197"/>
      <c r="P976" s="2197"/>
      <c r="Q976" s="2197"/>
      <c r="R976" s="2197"/>
      <c r="S976" s="2197"/>
      <c r="T976" s="2197"/>
      <c r="U976" s="2197"/>
      <c r="V976" s="2197"/>
      <c r="W976" s="2197"/>
      <c r="X976" s="2197"/>
      <c r="Y976" s="2197"/>
      <c r="Z976" s="2197"/>
      <c r="AA976" s="2197"/>
      <c r="AB976" s="2197"/>
      <c r="AC976" s="2197"/>
      <c r="AD976" s="2197"/>
      <c r="AE976" s="2198"/>
      <c r="AF976" s="2086" t="s">
        <v>703</v>
      </c>
      <c r="AG976" s="2087"/>
      <c r="AH976" s="2087"/>
      <c r="AI976" s="2088"/>
      <c r="AJ976" s="2196"/>
      <c r="AK976" s="2197"/>
      <c r="AL976" s="2197"/>
      <c r="AM976" s="2197"/>
      <c r="AN976" s="2197"/>
      <c r="AO976" s="2197"/>
      <c r="AP976" s="2197"/>
      <c r="AQ976" s="21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93" t="s">
        <v>1430</v>
      </c>
      <c r="E977" s="2094"/>
      <c r="F977" s="2094"/>
      <c r="G977" s="2094"/>
      <c r="H977" s="2094"/>
      <c r="I977" s="2094"/>
      <c r="J977" s="2094"/>
      <c r="K977" s="2094"/>
      <c r="L977" s="2094"/>
      <c r="M977" s="2094"/>
      <c r="N977" s="2094"/>
      <c r="O977" s="2094"/>
      <c r="P977" s="2094"/>
      <c r="Q977" s="2094"/>
      <c r="R977" s="2094"/>
      <c r="S977" s="2094"/>
      <c r="T977" s="2094"/>
      <c r="U977" s="2094"/>
      <c r="V977" s="2094"/>
      <c r="W977" s="2094"/>
      <c r="X977" s="2094"/>
      <c r="Y977" s="2094"/>
      <c r="Z977" s="2094"/>
      <c r="AA977" s="2094"/>
      <c r="AB977" s="2094"/>
      <c r="AC977" s="2094"/>
      <c r="AD977" s="2094"/>
      <c r="AE977" s="2095"/>
      <c r="AF977" s="117"/>
      <c r="AG977" s="2089" t="s">
        <v>706</v>
      </c>
      <c r="AH977" s="2090"/>
      <c r="AI977" s="125"/>
      <c r="AJ977" s="2130">
        <f>ROUND(IF(AND(AG977="yes",D979&gt;0),AJ975*0.2,0),0)</f>
        <v>0</v>
      </c>
      <c r="AK977" s="2131"/>
      <c r="AL977" s="2131"/>
      <c r="AM977" s="2131"/>
      <c r="AN977" s="2131"/>
      <c r="AO977" s="2131"/>
      <c r="AP977" s="2131"/>
      <c r="AQ977" s="213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54" t="s">
        <v>1431</v>
      </c>
      <c r="E978" s="2155"/>
      <c r="F978" s="2155"/>
      <c r="G978" s="2155"/>
      <c r="H978" s="2155"/>
      <c r="I978" s="2155"/>
      <c r="J978" s="2155"/>
      <c r="K978" s="2155"/>
      <c r="L978" s="2155"/>
      <c r="M978" s="2155"/>
      <c r="N978" s="2155"/>
      <c r="O978" s="2155"/>
      <c r="P978" s="2155"/>
      <c r="Q978" s="2155"/>
      <c r="R978" s="2155"/>
      <c r="S978" s="2155"/>
      <c r="T978" s="2155"/>
      <c r="U978" s="2155"/>
      <c r="V978" s="2155"/>
      <c r="W978" s="2155"/>
      <c r="X978" s="2155"/>
      <c r="Y978" s="2155"/>
      <c r="Z978" s="2155"/>
      <c r="AA978" s="2155"/>
      <c r="AB978" s="2155"/>
      <c r="AC978" s="2155"/>
      <c r="AD978" s="2155"/>
      <c r="AE978" s="2156"/>
      <c r="AF978" s="110"/>
      <c r="AG978" s="112"/>
      <c r="AH978" s="112"/>
      <c r="AI978" s="121"/>
      <c r="AJ978" s="2133"/>
      <c r="AK978" s="2134"/>
      <c r="AL978" s="2134"/>
      <c r="AM978" s="2134"/>
      <c r="AN978" s="2134"/>
      <c r="AO978" s="2134"/>
      <c r="AP978" s="2134"/>
      <c r="AQ978" s="213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57"/>
      <c r="E979" s="2158"/>
      <c r="F979" s="2158"/>
      <c r="G979" s="2158"/>
      <c r="H979" s="2158"/>
      <c r="I979" s="2158"/>
      <c r="J979" s="2158"/>
      <c r="K979" s="2158"/>
      <c r="L979" s="2158"/>
      <c r="M979" s="2158"/>
      <c r="N979" s="2158"/>
      <c r="O979" s="2158"/>
      <c r="P979" s="2158"/>
      <c r="Q979" s="2158"/>
      <c r="R979" s="2158"/>
      <c r="S979" s="2158"/>
      <c r="T979" s="2158"/>
      <c r="U979" s="2158"/>
      <c r="V979" s="2158"/>
      <c r="W979" s="2158"/>
      <c r="X979" s="2158"/>
      <c r="Y979" s="2158"/>
      <c r="Z979" s="2158"/>
      <c r="AA979" s="2158"/>
      <c r="AB979" s="2158"/>
      <c r="AC979" s="2158"/>
      <c r="AD979" s="2158"/>
      <c r="AE979" s="2159"/>
      <c r="AF979" s="115"/>
      <c r="AG979" s="11"/>
      <c r="AH979" s="11"/>
      <c r="AI979" s="116"/>
      <c r="AJ979" s="2136"/>
      <c r="AK979" s="2137"/>
      <c r="AL979" s="2137"/>
      <c r="AM979" s="2137"/>
      <c r="AN979" s="2137"/>
      <c r="AO979" s="2137"/>
      <c r="AP979" s="2137"/>
      <c r="AQ979" s="213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21" t="s">
        <v>1530</v>
      </c>
      <c r="E980" s="2122"/>
      <c r="F980" s="2122"/>
      <c r="G980" s="2122"/>
      <c r="H980" s="2122"/>
      <c r="I980" s="2122"/>
      <c r="J980" s="2122"/>
      <c r="K980" s="2122"/>
      <c r="L980" s="2122"/>
      <c r="M980" s="2122"/>
      <c r="N980" s="2122"/>
      <c r="O980" s="2122"/>
      <c r="P980" s="2122"/>
      <c r="Q980" s="2122"/>
      <c r="R980" s="2122"/>
      <c r="S980" s="2122"/>
      <c r="T980" s="2122"/>
      <c r="U980" s="2122"/>
      <c r="V980" s="2122"/>
      <c r="W980" s="2122"/>
      <c r="X980" s="2122"/>
      <c r="Y980" s="2122"/>
      <c r="Z980" s="2122"/>
      <c r="AA980" s="2122"/>
      <c r="AB980" s="2122"/>
      <c r="AC980" s="2122"/>
      <c r="AD980" s="2122"/>
      <c r="AE980" s="2123"/>
      <c r="AF980" s="117"/>
      <c r="AG980" s="2091" t="s">
        <v>706</v>
      </c>
      <c r="AH980" s="2092"/>
      <c r="AI980" s="125"/>
      <c r="AJ980" s="2130">
        <f>ROUND(IF(AG980="yes",AJ975*0.05,0),0)</f>
        <v>0</v>
      </c>
      <c r="AK980" s="2131"/>
      <c r="AL980" s="2131"/>
      <c r="AM980" s="2131"/>
      <c r="AN980" s="2131"/>
      <c r="AO980" s="2131"/>
      <c r="AP980" s="2131"/>
      <c r="AQ980" s="213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54" t="s">
        <v>1528</v>
      </c>
      <c r="E981" s="2155"/>
      <c r="F981" s="2155"/>
      <c r="G981" s="2155"/>
      <c r="H981" s="2155"/>
      <c r="I981" s="2155"/>
      <c r="J981" s="2155"/>
      <c r="K981" s="2155"/>
      <c r="L981" s="2155"/>
      <c r="M981" s="2155"/>
      <c r="N981" s="2155"/>
      <c r="O981" s="2155"/>
      <c r="P981" s="2155"/>
      <c r="Q981" s="2155"/>
      <c r="R981" s="2155"/>
      <c r="S981" s="2155"/>
      <c r="T981" s="2155"/>
      <c r="U981" s="2155"/>
      <c r="V981" s="2155"/>
      <c r="W981" s="2155"/>
      <c r="X981" s="2155"/>
      <c r="Y981" s="2155"/>
      <c r="Z981" s="2155"/>
      <c r="AA981" s="2155"/>
      <c r="AB981" s="2155"/>
      <c r="AC981" s="2155"/>
      <c r="AD981" s="2155"/>
      <c r="AE981" s="2156"/>
      <c r="AF981" s="110"/>
      <c r="AG981" s="112"/>
      <c r="AH981" s="112"/>
      <c r="AI981" s="121"/>
      <c r="AJ981" s="2133"/>
      <c r="AK981" s="2134"/>
      <c r="AL981" s="2134"/>
      <c r="AM981" s="2134"/>
      <c r="AN981" s="2134"/>
      <c r="AO981" s="2134"/>
      <c r="AP981" s="2134"/>
      <c r="AQ981" s="213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54"/>
      <c r="E982" s="2155"/>
      <c r="F982" s="2155"/>
      <c r="G982" s="2155"/>
      <c r="H982" s="2155"/>
      <c r="I982" s="2155"/>
      <c r="J982" s="2155"/>
      <c r="K982" s="2155"/>
      <c r="L982" s="2155"/>
      <c r="M982" s="2155"/>
      <c r="N982" s="2155"/>
      <c r="O982" s="2155"/>
      <c r="P982" s="2155"/>
      <c r="Q982" s="2155"/>
      <c r="R982" s="2155"/>
      <c r="S982" s="2155"/>
      <c r="T982" s="2155"/>
      <c r="U982" s="2155"/>
      <c r="V982" s="2155"/>
      <c r="W982" s="2155"/>
      <c r="X982" s="2155"/>
      <c r="Y982" s="2155"/>
      <c r="Z982" s="2155"/>
      <c r="AA982" s="2155"/>
      <c r="AB982" s="2155"/>
      <c r="AC982" s="2155"/>
      <c r="AD982" s="2155"/>
      <c r="AE982" s="2156"/>
      <c r="AF982" s="110"/>
      <c r="AG982" s="112"/>
      <c r="AH982" s="112"/>
      <c r="AI982" s="121"/>
      <c r="AJ982" s="2133"/>
      <c r="AK982" s="2134"/>
      <c r="AL982" s="2134"/>
      <c r="AM982" s="2134"/>
      <c r="AN982" s="2134"/>
      <c r="AO982" s="2134"/>
      <c r="AP982" s="2134"/>
      <c r="AQ982" s="213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4"/>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110"/>
      <c r="AG983" s="112"/>
      <c r="AH983" s="112"/>
      <c r="AI983" s="121"/>
      <c r="AJ983" s="2133"/>
      <c r="AK983" s="2134"/>
      <c r="AL983" s="2134"/>
      <c r="AM983" s="2134"/>
      <c r="AN983" s="2134"/>
      <c r="AO983" s="2134"/>
      <c r="AP983" s="2134"/>
      <c r="AQ983" s="213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4"/>
      <c r="E984" s="2155"/>
      <c r="F984" s="2155"/>
      <c r="G984" s="2155"/>
      <c r="H984" s="2155"/>
      <c r="I984" s="2155"/>
      <c r="J984" s="2155"/>
      <c r="K984" s="2155"/>
      <c r="L984" s="2155"/>
      <c r="M984" s="2155"/>
      <c r="N984" s="2155"/>
      <c r="O984" s="2155"/>
      <c r="P984" s="2155"/>
      <c r="Q984" s="2155"/>
      <c r="R984" s="2155"/>
      <c r="S984" s="2155"/>
      <c r="T984" s="2155"/>
      <c r="U984" s="2155"/>
      <c r="V984" s="2155"/>
      <c r="W984" s="2155"/>
      <c r="X984" s="2155"/>
      <c r="Y984" s="2155"/>
      <c r="Z984" s="2155"/>
      <c r="AA984" s="2155"/>
      <c r="AB984" s="2155"/>
      <c r="AC984" s="2155"/>
      <c r="AD984" s="2155"/>
      <c r="AE984" s="2156"/>
      <c r="AF984" s="110"/>
      <c r="AG984" s="112"/>
      <c r="AH984" s="112"/>
      <c r="AI984" s="121"/>
      <c r="AJ984" s="2133"/>
      <c r="AK984" s="2134"/>
      <c r="AL984" s="2134"/>
      <c r="AM984" s="2134"/>
      <c r="AN984" s="2134"/>
      <c r="AO984" s="2134"/>
      <c r="AP984" s="2134"/>
      <c r="AQ984" s="213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60"/>
      <c r="E985" s="2161"/>
      <c r="F985" s="2161"/>
      <c r="G985" s="2161"/>
      <c r="H985" s="2161"/>
      <c r="I985" s="2161"/>
      <c r="J985" s="2161"/>
      <c r="K985" s="2161"/>
      <c r="L985" s="2161"/>
      <c r="M985" s="2161"/>
      <c r="N985" s="2161"/>
      <c r="O985" s="2161"/>
      <c r="P985" s="2161"/>
      <c r="Q985" s="2161"/>
      <c r="R985" s="2161"/>
      <c r="S985" s="2161"/>
      <c r="T985" s="2161"/>
      <c r="U985" s="2161"/>
      <c r="V985" s="2161"/>
      <c r="W985" s="2161"/>
      <c r="X985" s="2161"/>
      <c r="Y985" s="2161"/>
      <c r="Z985" s="2161"/>
      <c r="AA985" s="2161"/>
      <c r="AB985" s="2161"/>
      <c r="AC985" s="2161"/>
      <c r="AD985" s="2161"/>
      <c r="AE985" s="2162"/>
      <c r="AF985" s="115"/>
      <c r="AG985" s="11"/>
      <c r="AH985" s="11"/>
      <c r="AI985" s="116"/>
      <c r="AJ985" s="2136"/>
      <c r="AK985" s="2137"/>
      <c r="AL985" s="2137"/>
      <c r="AM985" s="2137"/>
      <c r="AN985" s="2137"/>
      <c r="AO985" s="2137"/>
      <c r="AP985" s="2137"/>
      <c r="AQ985" s="213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21" t="s">
        <v>2171</v>
      </c>
      <c r="E986" s="2122"/>
      <c r="F986" s="2122"/>
      <c r="G986" s="2122"/>
      <c r="H986" s="2122"/>
      <c r="I986" s="2122"/>
      <c r="J986" s="2122"/>
      <c r="K986" s="2122"/>
      <c r="L986" s="2122"/>
      <c r="M986" s="2122"/>
      <c r="N986" s="2122"/>
      <c r="O986" s="2122"/>
      <c r="P986" s="2122"/>
      <c r="Q986" s="2122"/>
      <c r="R986" s="2122"/>
      <c r="S986" s="2122"/>
      <c r="T986" s="2122"/>
      <c r="U986" s="2122"/>
      <c r="V986" s="2122"/>
      <c r="W986" s="2122"/>
      <c r="X986" s="2122"/>
      <c r="Y986" s="2122"/>
      <c r="Z986" s="2122"/>
      <c r="AA986" s="2122"/>
      <c r="AB986" s="2122"/>
      <c r="AC986" s="2122"/>
      <c r="AD986" s="2122"/>
      <c r="AE986" s="2123"/>
      <c r="AF986" s="124"/>
      <c r="AG986" s="2091" t="s">
        <v>706</v>
      </c>
      <c r="AH986" s="2092"/>
      <c r="AI986" s="125"/>
      <c r="AJ986" s="2130">
        <f>ROUND(IF(AG986="yes",AJ975*0.1,0),0)</f>
        <v>0</v>
      </c>
      <c r="AK986" s="2131"/>
      <c r="AL986" s="2131"/>
      <c r="AM986" s="2131"/>
      <c r="AN986" s="2131"/>
      <c r="AO986" s="2131"/>
      <c r="AP986" s="2131"/>
      <c r="AQ986" s="213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84" t="s">
        <v>1529</v>
      </c>
      <c r="E987" s="2185"/>
      <c r="F987" s="2185"/>
      <c r="G987" s="2185"/>
      <c r="H987" s="2185"/>
      <c r="I987" s="2185"/>
      <c r="J987" s="2185"/>
      <c r="K987" s="2185"/>
      <c r="L987" s="2185"/>
      <c r="M987" s="2185"/>
      <c r="N987" s="2185"/>
      <c r="O987" s="2185"/>
      <c r="P987" s="2185"/>
      <c r="Q987" s="2185"/>
      <c r="R987" s="2185"/>
      <c r="S987" s="2185"/>
      <c r="T987" s="2185"/>
      <c r="U987" s="2185"/>
      <c r="V987" s="2185"/>
      <c r="W987" s="2185"/>
      <c r="X987" s="2185"/>
      <c r="Y987" s="2185"/>
      <c r="Z987" s="2185"/>
      <c r="AA987" s="2185"/>
      <c r="AB987" s="2185"/>
      <c r="AC987" s="2185"/>
      <c r="AD987" s="2185"/>
      <c r="AE987" s="2186"/>
      <c r="AF987" s="110"/>
      <c r="AG987" s="25"/>
      <c r="AH987" s="25"/>
      <c r="AI987" s="121"/>
      <c r="AJ987" s="2133"/>
      <c r="AK987" s="2134"/>
      <c r="AL987" s="2134"/>
      <c r="AM987" s="2134"/>
      <c r="AN987" s="2134"/>
      <c r="AO987" s="2134"/>
      <c r="AP987" s="2134"/>
      <c r="AQ987" s="2135"/>
      <c r="AR987" s="1583"/>
      <c r="AS987" s="1583"/>
      <c r="AT987" s="1583"/>
      <c r="AU987" s="1583"/>
      <c r="AV987" s="1583"/>
      <c r="AW987" s="1583"/>
      <c r="AX987" s="1583"/>
      <c r="AY987" s="1583"/>
      <c r="AZ987" s="61"/>
      <c r="BA987" s="1612">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84"/>
      <c r="E988" s="2185"/>
      <c r="F988" s="2185"/>
      <c r="G988" s="2185"/>
      <c r="H988" s="2185"/>
      <c r="I988" s="2185"/>
      <c r="J988" s="2185"/>
      <c r="K988" s="2185"/>
      <c r="L988" s="2185"/>
      <c r="M988" s="2185"/>
      <c r="N988" s="2185"/>
      <c r="O988" s="2185"/>
      <c r="P988" s="2185"/>
      <c r="Q988" s="2185"/>
      <c r="R988" s="2185"/>
      <c r="S988" s="2185"/>
      <c r="T988" s="2185"/>
      <c r="U988" s="2185"/>
      <c r="V988" s="2185"/>
      <c r="W988" s="2185"/>
      <c r="X988" s="2185"/>
      <c r="Y988" s="2185"/>
      <c r="Z988" s="2185"/>
      <c r="AA988" s="2185"/>
      <c r="AB988" s="2185"/>
      <c r="AC988" s="2185"/>
      <c r="AD988" s="2185"/>
      <c r="AE988" s="2186"/>
      <c r="AF988" s="110"/>
      <c r="AG988" s="112"/>
      <c r="AH988" s="112"/>
      <c r="AI988" s="121"/>
      <c r="AJ988" s="2133"/>
      <c r="AK988" s="2134"/>
      <c r="AL988" s="2134"/>
      <c r="AM988" s="2134"/>
      <c r="AN988" s="2134"/>
      <c r="AO988" s="2134"/>
      <c r="AP988" s="2134"/>
      <c r="AQ988" s="213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63"/>
      <c r="E989" s="2164"/>
      <c r="F989" s="2164"/>
      <c r="G989" s="2164"/>
      <c r="H989" s="2164"/>
      <c r="I989" s="2164"/>
      <c r="J989" s="2164"/>
      <c r="K989" s="2164"/>
      <c r="L989" s="2164"/>
      <c r="M989" s="2164"/>
      <c r="N989" s="2164"/>
      <c r="O989" s="2164"/>
      <c r="P989" s="2164"/>
      <c r="Q989" s="2164"/>
      <c r="R989" s="2164"/>
      <c r="S989" s="2164"/>
      <c r="T989" s="2164"/>
      <c r="U989" s="2164"/>
      <c r="V989" s="2164"/>
      <c r="W989" s="2164"/>
      <c r="X989" s="2164"/>
      <c r="Y989" s="2164"/>
      <c r="Z989" s="2164"/>
      <c r="AA989" s="2164"/>
      <c r="AB989" s="2164"/>
      <c r="AC989" s="2164"/>
      <c r="AD989" s="2164"/>
      <c r="AE989" s="2165"/>
      <c r="AF989" s="115"/>
      <c r="AG989" s="11"/>
      <c r="AH989" s="11"/>
      <c r="AI989" s="116"/>
      <c r="AJ989" s="2136"/>
      <c r="AK989" s="2137"/>
      <c r="AL989" s="2137"/>
      <c r="AM989" s="2137"/>
      <c r="AN989" s="2137"/>
      <c r="AO989" s="2137"/>
      <c r="AP989" s="2137"/>
      <c r="AQ989" s="213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21" t="s">
        <v>1531</v>
      </c>
      <c r="E990" s="2122"/>
      <c r="F990" s="2122"/>
      <c r="G990" s="2122"/>
      <c r="H990" s="2122"/>
      <c r="I990" s="2122"/>
      <c r="J990" s="2122"/>
      <c r="K990" s="2122"/>
      <c r="L990" s="2122"/>
      <c r="M990" s="2122"/>
      <c r="N990" s="2122"/>
      <c r="O990" s="2122"/>
      <c r="P990" s="2122"/>
      <c r="Q990" s="2122"/>
      <c r="R990" s="2122"/>
      <c r="S990" s="2122"/>
      <c r="T990" s="2122"/>
      <c r="U990" s="2122"/>
      <c r="V990" s="2122"/>
      <c r="W990" s="2122"/>
      <c r="X990" s="2122"/>
      <c r="Y990" s="2122"/>
      <c r="Z990" s="2122"/>
      <c r="AA990" s="2122"/>
      <c r="AB990" s="2122"/>
      <c r="AC990" s="2122"/>
      <c r="AD990" s="2122"/>
      <c r="AE990" s="2123"/>
      <c r="AF990" s="117"/>
      <c r="AG990" s="2091" t="s">
        <v>706</v>
      </c>
      <c r="AH990" s="2092"/>
      <c r="AI990" s="125"/>
      <c r="AJ990" s="2130">
        <f>ROUND(IF(AG990="yes",AJ975*0.02,0),0)</f>
        <v>0</v>
      </c>
      <c r="AK990" s="2131"/>
      <c r="AL990" s="2131"/>
      <c r="AM990" s="2131"/>
      <c r="AN990" s="2131"/>
      <c r="AO990" s="2131"/>
      <c r="AP990" s="2131"/>
      <c r="AQ990" s="2132"/>
      <c r="AR990" s="1583"/>
      <c r="AS990" s="1583"/>
      <c r="AT990" s="1583"/>
      <c r="AU990" s="1583"/>
      <c r="AV990" s="1583"/>
      <c r="AW990" s="1583"/>
      <c r="AX990" s="1583"/>
      <c r="AY990" s="1583"/>
      <c r="AZ990" s="61"/>
      <c r="BA990" s="1611">
        <f>ROUNDDOWN(X1031/I1031,2)</f>
        <v>0.14000000000000001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3" t="s">
        <v>1532</v>
      </c>
      <c r="E991" s="2164"/>
      <c r="F991" s="2164"/>
      <c r="G991" s="2164"/>
      <c r="H991" s="2164"/>
      <c r="I991" s="2164"/>
      <c r="J991" s="2164"/>
      <c r="K991" s="2164"/>
      <c r="L991" s="2164"/>
      <c r="M991" s="2164"/>
      <c r="N991" s="2164"/>
      <c r="O991" s="2164"/>
      <c r="P991" s="2164"/>
      <c r="Q991" s="2164"/>
      <c r="R991" s="2164"/>
      <c r="S991" s="2164"/>
      <c r="T991" s="2164"/>
      <c r="U991" s="2164"/>
      <c r="V991" s="2164"/>
      <c r="W991" s="2164"/>
      <c r="X991" s="2164"/>
      <c r="Y991" s="2164"/>
      <c r="Z991" s="2164"/>
      <c r="AA991" s="2164"/>
      <c r="AB991" s="2164"/>
      <c r="AC991" s="2164"/>
      <c r="AD991" s="2164"/>
      <c r="AE991" s="2165"/>
      <c r="AF991" s="115"/>
      <c r="AG991" s="11"/>
      <c r="AH991" s="11"/>
      <c r="AI991" s="116"/>
      <c r="AJ991" s="2136"/>
      <c r="AK991" s="2137"/>
      <c r="AL991" s="2137"/>
      <c r="AM991" s="2137"/>
      <c r="AN991" s="2137"/>
      <c r="AO991" s="2137"/>
      <c r="AP991" s="2137"/>
      <c r="AQ991" s="213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21" t="s">
        <v>1533</v>
      </c>
      <c r="E992" s="2122"/>
      <c r="F992" s="2122"/>
      <c r="G992" s="2122"/>
      <c r="H992" s="2122"/>
      <c r="I992" s="2122"/>
      <c r="J992" s="2122"/>
      <c r="K992" s="2122"/>
      <c r="L992" s="2122"/>
      <c r="M992" s="2122"/>
      <c r="N992" s="2122"/>
      <c r="O992" s="2122"/>
      <c r="P992" s="2122"/>
      <c r="Q992" s="2122"/>
      <c r="R992" s="2122"/>
      <c r="S992" s="2122"/>
      <c r="T992" s="2122"/>
      <c r="U992" s="2122"/>
      <c r="V992" s="2122"/>
      <c r="W992" s="2122"/>
      <c r="X992" s="2122"/>
      <c r="Y992" s="2122"/>
      <c r="Z992" s="2122"/>
      <c r="AA992" s="2122"/>
      <c r="AB992" s="2122"/>
      <c r="AC992" s="2122"/>
      <c r="AD992" s="2122"/>
      <c r="AE992" s="2123"/>
      <c r="AF992" s="117"/>
      <c r="AG992" s="2091" t="s">
        <v>706</v>
      </c>
      <c r="AH992" s="2092"/>
      <c r="AI992" s="117"/>
      <c r="AJ992" s="2130">
        <f>ROUND(IF(AG992="yes",AJ975*0.02,0),0)</f>
        <v>0</v>
      </c>
      <c r="AK992" s="2131"/>
      <c r="AL992" s="2131"/>
      <c r="AM992" s="2131"/>
      <c r="AN992" s="2131"/>
      <c r="AO992" s="2131"/>
      <c r="AP992" s="2131"/>
      <c r="AQ992" s="213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84" t="s">
        <v>1534</v>
      </c>
      <c r="E993" s="2185"/>
      <c r="F993" s="2185"/>
      <c r="G993" s="2185"/>
      <c r="H993" s="2185"/>
      <c r="I993" s="2185"/>
      <c r="J993" s="2185"/>
      <c r="K993" s="2185"/>
      <c r="L993" s="2185"/>
      <c r="M993" s="2185"/>
      <c r="N993" s="2185"/>
      <c r="O993" s="2185"/>
      <c r="P993" s="2185"/>
      <c r="Q993" s="2185"/>
      <c r="R993" s="2185"/>
      <c r="S993" s="2185"/>
      <c r="T993" s="2185"/>
      <c r="U993" s="2185"/>
      <c r="V993" s="2185"/>
      <c r="W993" s="2185"/>
      <c r="X993" s="2185"/>
      <c r="Y993" s="2185"/>
      <c r="Z993" s="2185"/>
      <c r="AA993" s="2185"/>
      <c r="AB993" s="2185"/>
      <c r="AC993" s="2185"/>
      <c r="AD993" s="2185"/>
      <c r="AE993" s="2186"/>
      <c r="AF993" s="110"/>
      <c r="AG993" s="25"/>
      <c r="AH993" s="25"/>
      <c r="AI993" s="112"/>
      <c r="AJ993" s="2133"/>
      <c r="AK993" s="2134"/>
      <c r="AL993" s="2134"/>
      <c r="AM993" s="2134"/>
      <c r="AN993" s="2134"/>
      <c r="AO993" s="2134"/>
      <c r="AP993" s="2134"/>
      <c r="AQ993" s="213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63"/>
      <c r="E994" s="2164"/>
      <c r="F994" s="2164"/>
      <c r="G994" s="2164"/>
      <c r="H994" s="2164"/>
      <c r="I994" s="2164"/>
      <c r="J994" s="2164"/>
      <c r="K994" s="2164"/>
      <c r="L994" s="2164"/>
      <c r="M994" s="2164"/>
      <c r="N994" s="2164"/>
      <c r="O994" s="2164"/>
      <c r="P994" s="2164"/>
      <c r="Q994" s="2164"/>
      <c r="R994" s="2164"/>
      <c r="S994" s="2164"/>
      <c r="T994" s="2164"/>
      <c r="U994" s="2164"/>
      <c r="V994" s="2164"/>
      <c r="W994" s="2164"/>
      <c r="X994" s="2164"/>
      <c r="Y994" s="2164"/>
      <c r="Z994" s="2164"/>
      <c r="AA994" s="2164"/>
      <c r="AB994" s="2164"/>
      <c r="AC994" s="2164"/>
      <c r="AD994" s="2164"/>
      <c r="AE994" s="2165"/>
      <c r="AF994" s="115"/>
      <c r="AG994" s="11"/>
      <c r="AH994" s="11"/>
      <c r="AI994" s="116"/>
      <c r="AJ994" s="2136"/>
      <c r="AK994" s="2137"/>
      <c r="AL994" s="2137"/>
      <c r="AM994" s="2137"/>
      <c r="AN994" s="2137"/>
      <c r="AO994" s="2137"/>
      <c r="AP994" s="2137"/>
      <c r="AQ994" s="2138"/>
      <c r="AR994" s="1583"/>
      <c r="AS994" s="1583"/>
      <c r="AT994" s="1583"/>
      <c r="AU994" s="1583"/>
      <c r="AV994" s="1583"/>
      <c r="AW994" s="1583"/>
      <c r="AX994" s="1583"/>
      <c r="AY994" s="1583"/>
    </row>
    <row r="995" spans="1:96" s="719" customFormat="1" ht="12.75" customHeight="1">
      <c r="A995" s="51"/>
      <c r="B995" s="117"/>
      <c r="C995" s="118" t="s">
        <v>224</v>
      </c>
      <c r="D995" s="2093" t="s">
        <v>1535</v>
      </c>
      <c r="E995" s="2094"/>
      <c r="F995" s="2094"/>
      <c r="G995" s="2094"/>
      <c r="H995" s="2094"/>
      <c r="I995" s="2094"/>
      <c r="J995" s="2094"/>
      <c r="K995" s="2094"/>
      <c r="L995" s="2094"/>
      <c r="M995" s="2094"/>
      <c r="N995" s="2094"/>
      <c r="O995" s="2094"/>
      <c r="P995" s="2094"/>
      <c r="Q995" s="2094"/>
      <c r="R995" s="2094"/>
      <c r="S995" s="2094"/>
      <c r="T995" s="2094"/>
      <c r="U995" s="2094"/>
      <c r="V995" s="2094"/>
      <c r="W995" s="2094"/>
      <c r="X995" s="2094"/>
      <c r="Y995" s="2094"/>
      <c r="Z995" s="2094"/>
      <c r="AA995" s="2094"/>
      <c r="AB995" s="2094"/>
      <c r="AC995" s="2094"/>
      <c r="AD995" s="2094"/>
      <c r="AE995" s="2095"/>
      <c r="AF995" s="117"/>
      <c r="AG995" s="2091" t="s">
        <v>706</v>
      </c>
      <c r="AH995" s="2092"/>
      <c r="AI995" s="125"/>
      <c r="AJ995" s="2130">
        <f>IF(AG995="yes",AJ975*BA995,0)</f>
        <v>0</v>
      </c>
      <c r="AK995" s="2131"/>
      <c r="AL995" s="2131"/>
      <c r="AM995" s="2131"/>
      <c r="AN995" s="2131"/>
      <c r="AO995" s="2131"/>
      <c r="AP995" s="2131"/>
      <c r="AQ995" s="213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84" t="s">
        <v>1536</v>
      </c>
      <c r="E996" s="2185"/>
      <c r="F996" s="2185"/>
      <c r="G996" s="2185"/>
      <c r="H996" s="2185"/>
      <c r="I996" s="2185"/>
      <c r="J996" s="2185"/>
      <c r="K996" s="2185"/>
      <c r="L996" s="2185"/>
      <c r="M996" s="2185"/>
      <c r="N996" s="2185"/>
      <c r="O996" s="2185"/>
      <c r="P996" s="2185"/>
      <c r="Q996" s="2185"/>
      <c r="R996" s="2185"/>
      <c r="S996" s="2185"/>
      <c r="T996" s="2185"/>
      <c r="U996" s="2185"/>
      <c r="V996" s="2185"/>
      <c r="W996" s="2185"/>
      <c r="X996" s="2185"/>
      <c r="Y996" s="2185"/>
      <c r="Z996" s="2185"/>
      <c r="AA996" s="2185"/>
      <c r="AB996" s="2185"/>
      <c r="AC996" s="2185"/>
      <c r="AD996" s="2185"/>
      <c r="AE996" s="2186"/>
      <c r="AF996" s="110"/>
      <c r="AG996" s="112"/>
      <c r="AH996" s="112"/>
      <c r="AI996" s="121"/>
      <c r="AJ996" s="2133"/>
      <c r="AK996" s="2134"/>
      <c r="AL996" s="2134"/>
      <c r="AM996" s="2134"/>
      <c r="AN996" s="2134"/>
      <c r="AO996" s="2134"/>
      <c r="AP996" s="2134"/>
      <c r="AQ996" s="2135"/>
      <c r="AR996" s="1583"/>
      <c r="AS996" s="1583"/>
      <c r="AT996" s="1583"/>
      <c r="AU996" s="1583"/>
      <c r="AV996" s="1583"/>
      <c r="AW996" s="1583"/>
      <c r="AX996" s="1583"/>
      <c r="AY996" s="1583"/>
    </row>
    <row r="997" spans="1:96" ht="12.75" customHeight="1">
      <c r="A997" s="51"/>
      <c r="B997" s="110"/>
      <c r="C997" s="111"/>
      <c r="D997" s="2184"/>
      <c r="E997" s="2185"/>
      <c r="F997" s="2185"/>
      <c r="G997" s="2185"/>
      <c r="H997" s="2185"/>
      <c r="I997" s="2185"/>
      <c r="J997" s="2185"/>
      <c r="K997" s="2185"/>
      <c r="L997" s="2185"/>
      <c r="M997" s="2185"/>
      <c r="N997" s="2185"/>
      <c r="O997" s="2185"/>
      <c r="P997" s="2185"/>
      <c r="Q997" s="2185"/>
      <c r="R997" s="2185"/>
      <c r="S997" s="2185"/>
      <c r="T997" s="2185"/>
      <c r="U997" s="2185"/>
      <c r="V997" s="2185"/>
      <c r="W997" s="2185"/>
      <c r="X997" s="2185"/>
      <c r="Y997" s="2185"/>
      <c r="Z997" s="2185"/>
      <c r="AA997" s="2185"/>
      <c r="AB997" s="2185"/>
      <c r="AC997" s="2185"/>
      <c r="AD997" s="2185"/>
      <c r="AE997" s="2186"/>
      <c r="AF997" s="110"/>
      <c r="AG997" s="112"/>
      <c r="AH997" s="112"/>
      <c r="AI997" s="121"/>
      <c r="AJ997" s="2133"/>
      <c r="AK997" s="2134"/>
      <c r="AL997" s="2134"/>
      <c r="AM997" s="2134"/>
      <c r="AN997" s="2134"/>
      <c r="AO997" s="2134"/>
      <c r="AP997" s="2134"/>
      <c r="AQ997" s="2135"/>
      <c r="AR997" s="1583"/>
      <c r="AS997" s="1583"/>
      <c r="AT997" s="1583"/>
      <c r="AU997" s="1583"/>
      <c r="AV997" s="1583"/>
      <c r="AW997" s="1583"/>
      <c r="AX997" s="1583"/>
      <c r="AY997" s="1583"/>
      <c r="BA997" s="320">
        <f>IF(A1044="Yes",0.05,0)</f>
        <v>0</v>
      </c>
    </row>
    <row r="998" spans="1:96" ht="15" customHeight="1">
      <c r="A998" s="51"/>
      <c r="B998" s="119"/>
      <c r="C998" s="120"/>
      <c r="D998" s="2163"/>
      <c r="E998" s="2164"/>
      <c r="F998" s="2164"/>
      <c r="G998" s="2164"/>
      <c r="H998" s="2164"/>
      <c r="I998" s="2164"/>
      <c r="J998" s="2164"/>
      <c r="K998" s="2164"/>
      <c r="L998" s="2164"/>
      <c r="M998" s="2164"/>
      <c r="N998" s="2164"/>
      <c r="O998" s="2164"/>
      <c r="P998" s="2164"/>
      <c r="Q998" s="2164"/>
      <c r="R998" s="2164"/>
      <c r="S998" s="2164"/>
      <c r="T998" s="2164"/>
      <c r="U998" s="2164"/>
      <c r="V998" s="2164"/>
      <c r="W998" s="2164"/>
      <c r="X998" s="2164"/>
      <c r="Y998" s="2164"/>
      <c r="Z998" s="2164"/>
      <c r="AA998" s="2164"/>
      <c r="AB998" s="2164"/>
      <c r="AC998" s="2164"/>
      <c r="AD998" s="2164"/>
      <c r="AE998" s="2165"/>
      <c r="AF998" s="115"/>
      <c r="AG998" s="11"/>
      <c r="AH998" s="11"/>
      <c r="AI998" s="116"/>
      <c r="AJ998" s="2136"/>
      <c r="AK998" s="2137"/>
      <c r="AL998" s="2137"/>
      <c r="AM998" s="2137"/>
      <c r="AN998" s="2137"/>
      <c r="AO998" s="2137"/>
      <c r="AP998" s="2137"/>
      <c r="AQ998" s="2138"/>
      <c r="AR998" s="1583"/>
      <c r="AS998" s="1583"/>
      <c r="AT998" s="1583"/>
      <c r="AU998" s="1583"/>
      <c r="AV998" s="1583"/>
      <c r="AW998" s="1583"/>
      <c r="AX998" s="1583"/>
      <c r="AY998" s="1583"/>
      <c r="BA998" s="320">
        <f>IF(A1050="Yes",0.02,0)</f>
        <v>0</v>
      </c>
    </row>
    <row r="999" spans="1:96" s="719" customFormat="1" ht="15" customHeight="1">
      <c r="A999" s="51"/>
      <c r="B999" s="117"/>
      <c r="C999" s="118" t="s">
        <v>229</v>
      </c>
      <c r="D999" s="2178" t="s">
        <v>1537</v>
      </c>
      <c r="E999" s="2179"/>
      <c r="F999" s="2179"/>
      <c r="G999" s="2179"/>
      <c r="H999" s="2179"/>
      <c r="I999" s="2179"/>
      <c r="J999" s="2179"/>
      <c r="K999" s="2179"/>
      <c r="L999" s="2179"/>
      <c r="M999" s="2179"/>
      <c r="N999" s="2179"/>
      <c r="O999" s="2179"/>
      <c r="P999" s="2179"/>
      <c r="Q999" s="2179"/>
      <c r="R999" s="2179"/>
      <c r="S999" s="2179"/>
      <c r="T999" s="2179"/>
      <c r="U999" s="2179"/>
      <c r="V999" s="2179"/>
      <c r="W999" s="2179"/>
      <c r="X999" s="2179"/>
      <c r="Y999" s="2179"/>
      <c r="Z999" s="2179"/>
      <c r="AA999" s="2179"/>
      <c r="AB999" s="2179"/>
      <c r="AC999" s="2179"/>
      <c r="AD999" s="2179"/>
      <c r="AE999" s="2180"/>
      <c r="AF999" s="117"/>
      <c r="AG999" s="2091" t="s">
        <v>706</v>
      </c>
      <c r="AH999" s="2092"/>
      <c r="AI999" s="125"/>
      <c r="AJ999" s="2139"/>
      <c r="AK999" s="2140"/>
      <c r="AL999" s="2140"/>
      <c r="AM999" s="2140"/>
      <c r="AN999" s="2140"/>
      <c r="AO999" s="2140"/>
      <c r="AP999" s="2140"/>
      <c r="AQ999" s="2141"/>
      <c r="AR999" s="1583"/>
      <c r="AS999" s="1583"/>
      <c r="AT999" s="1583"/>
      <c r="AU999" s="1583"/>
      <c r="AV999" s="1583"/>
      <c r="AW999" s="1583"/>
      <c r="AX999" s="1583"/>
      <c r="AY999" s="1583"/>
      <c r="BA999" s="320">
        <f>IF(A1056="Yes",0.04,0)</f>
        <v>0</v>
      </c>
      <c r="CR999" s="25"/>
    </row>
    <row r="1000" spans="1:96" ht="12.5">
      <c r="A1000" s="51"/>
      <c r="B1000" s="119"/>
      <c r="C1000" s="122"/>
      <c r="D1000" s="2181"/>
      <c r="E1000" s="2182"/>
      <c r="F1000" s="2182"/>
      <c r="G1000" s="2182"/>
      <c r="H1000" s="2182"/>
      <c r="I1000" s="2182"/>
      <c r="J1000" s="2182"/>
      <c r="K1000" s="2182"/>
      <c r="L1000" s="2182"/>
      <c r="M1000" s="2182"/>
      <c r="N1000" s="2182"/>
      <c r="O1000" s="2182"/>
      <c r="P1000" s="2182"/>
      <c r="Q1000" s="2182"/>
      <c r="R1000" s="2182"/>
      <c r="S1000" s="2182"/>
      <c r="T1000" s="2182"/>
      <c r="U1000" s="2182"/>
      <c r="V1000" s="2182"/>
      <c r="W1000" s="2182"/>
      <c r="X1000" s="2182"/>
      <c r="Y1000" s="2182"/>
      <c r="Z1000" s="2182"/>
      <c r="AA1000" s="2182"/>
      <c r="AB1000" s="2182"/>
      <c r="AC1000" s="2182"/>
      <c r="AD1000" s="2182"/>
      <c r="AE1000" s="2183"/>
      <c r="AF1000" s="2166">
        <f>IF(AG999="yes","Please Select Type and Enter Amount:",0)</f>
        <v>0</v>
      </c>
      <c r="AG1000" s="2167"/>
      <c r="AH1000" s="2167"/>
      <c r="AI1000" s="2168"/>
      <c r="AJ1000" s="2142"/>
      <c r="AK1000" s="2143"/>
      <c r="AL1000" s="2143"/>
      <c r="AM1000" s="2143"/>
      <c r="AN1000" s="2143"/>
      <c r="AO1000" s="2143"/>
      <c r="AP1000" s="2143"/>
      <c r="AQ1000" s="2144"/>
      <c r="AR1000" s="1583"/>
      <c r="AS1000" s="1583"/>
      <c r="AT1000" s="1583"/>
      <c r="AU1000" s="1583"/>
      <c r="AV1000" s="1583"/>
      <c r="AW1000" s="1583"/>
      <c r="AX1000" s="1583"/>
      <c r="AY1000" s="1583"/>
      <c r="BA1000" s="320">
        <f>IF(A1063="Yes",0.04,0)</f>
        <v>0</v>
      </c>
    </row>
    <row r="1001" spans="1:96" ht="12.75" customHeight="1">
      <c r="A1001" s="51"/>
      <c r="B1001" s="119"/>
      <c r="C1001" s="122"/>
      <c r="D1001" s="2184" t="s">
        <v>1538</v>
      </c>
      <c r="E1001" s="2185"/>
      <c r="F1001" s="2185"/>
      <c r="G1001" s="2185"/>
      <c r="H1001" s="2185"/>
      <c r="I1001" s="2185"/>
      <c r="J1001" s="2185"/>
      <c r="K1001" s="2185"/>
      <c r="L1001" s="2185"/>
      <c r="M1001" s="2185"/>
      <c r="N1001" s="2185"/>
      <c r="O1001" s="2185"/>
      <c r="P1001" s="2185"/>
      <c r="Q1001" s="2185"/>
      <c r="R1001" s="2185"/>
      <c r="S1001" s="2185"/>
      <c r="T1001" s="2185"/>
      <c r="U1001" s="2185"/>
      <c r="V1001" s="2185"/>
      <c r="W1001" s="2185"/>
      <c r="X1001" s="2185"/>
      <c r="Y1001" s="2185"/>
      <c r="Z1001" s="2185"/>
      <c r="AA1001" s="2185"/>
      <c r="AB1001" s="2185"/>
      <c r="AC1001" s="2185"/>
      <c r="AD1001" s="2185"/>
      <c r="AE1001" s="2186"/>
      <c r="AF1001" s="2166"/>
      <c r="AG1001" s="2167"/>
      <c r="AH1001" s="2167"/>
      <c r="AI1001" s="2168"/>
      <c r="AJ1001" s="2142"/>
      <c r="AK1001" s="2143"/>
      <c r="AL1001" s="2143"/>
      <c r="AM1001" s="2143"/>
      <c r="AN1001" s="2143"/>
      <c r="AO1001" s="2143"/>
      <c r="AP1001" s="2143"/>
      <c r="AQ1001" s="2144"/>
      <c r="AR1001" s="1583"/>
      <c r="AS1001" s="1583"/>
      <c r="AT1001" s="1583"/>
      <c r="AU1001" s="1583"/>
      <c r="AV1001" s="1583"/>
      <c r="AW1001" s="1583"/>
      <c r="AX1001" s="1583"/>
      <c r="AY1001" s="1583"/>
      <c r="BA1001" s="320">
        <f>IF(A1066="Yes",0.01,0)</f>
        <v>0</v>
      </c>
    </row>
    <row r="1002" spans="1:96" ht="12.75" customHeight="1">
      <c r="A1002" s="51"/>
      <c r="B1002" s="119"/>
      <c r="C1002" s="122"/>
      <c r="D1002" s="2184"/>
      <c r="E1002" s="2185"/>
      <c r="F1002" s="2185"/>
      <c r="G1002" s="2185"/>
      <c r="H1002" s="2185"/>
      <c r="I1002" s="2185"/>
      <c r="J1002" s="2185"/>
      <c r="K1002" s="2185"/>
      <c r="L1002" s="2185"/>
      <c r="M1002" s="2185"/>
      <c r="N1002" s="2185"/>
      <c r="O1002" s="2185"/>
      <c r="P1002" s="2185"/>
      <c r="Q1002" s="2185"/>
      <c r="R1002" s="2185"/>
      <c r="S1002" s="2185"/>
      <c r="T1002" s="2185"/>
      <c r="U1002" s="2185"/>
      <c r="V1002" s="2185"/>
      <c r="W1002" s="2185"/>
      <c r="X1002" s="2185"/>
      <c r="Y1002" s="2185"/>
      <c r="Z1002" s="2185"/>
      <c r="AA1002" s="2185"/>
      <c r="AB1002" s="2185"/>
      <c r="AC1002" s="2185"/>
      <c r="AD1002" s="2185"/>
      <c r="AE1002" s="2186"/>
      <c r="AF1002" s="2166"/>
      <c r="AG1002" s="2167"/>
      <c r="AH1002" s="2167"/>
      <c r="AI1002" s="2168"/>
      <c r="AJ1002" s="2142"/>
      <c r="AK1002" s="2143"/>
      <c r="AL1002" s="2143"/>
      <c r="AM1002" s="2143"/>
      <c r="AN1002" s="2143"/>
      <c r="AO1002" s="2143"/>
      <c r="AP1002" s="2143"/>
      <c r="AQ1002" s="214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87" t="s">
        <v>626</v>
      </c>
      <c r="K1003" s="2188"/>
      <c r="L1003" s="2188"/>
      <c r="M1003" s="2188"/>
      <c r="N1003" s="2188"/>
      <c r="O1003" s="2188"/>
      <c r="P1003" s="2188"/>
      <c r="Q1003" s="2188"/>
      <c r="R1003" s="2188"/>
      <c r="S1003" s="2188"/>
      <c r="T1003" s="2188"/>
      <c r="U1003" s="2188"/>
      <c r="V1003" s="2188"/>
      <c r="W1003" s="2188"/>
      <c r="X1003" s="2188"/>
      <c r="Y1003" s="2188"/>
      <c r="Z1003" s="2188"/>
      <c r="AA1003" s="2188"/>
      <c r="AB1003" s="2188"/>
      <c r="AC1003" s="2188"/>
      <c r="AD1003" s="2188"/>
      <c r="AE1003" s="2189"/>
      <c r="AF1003" s="2169"/>
      <c r="AG1003" s="2170"/>
      <c r="AH1003" s="2170"/>
      <c r="AI1003" s="2171"/>
      <c r="AJ1003" s="2145"/>
      <c r="AK1003" s="2146"/>
      <c r="AL1003" s="2146"/>
      <c r="AM1003" s="2146"/>
      <c r="AN1003" s="2146"/>
      <c r="AO1003" s="2146"/>
      <c r="AP1003" s="2146"/>
      <c r="AQ1003" s="214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21" t="s">
        <v>1539</v>
      </c>
      <c r="E1004" s="2122"/>
      <c r="F1004" s="2122"/>
      <c r="G1004" s="2122"/>
      <c r="H1004" s="2122"/>
      <c r="I1004" s="2122"/>
      <c r="J1004" s="2122"/>
      <c r="K1004" s="2122"/>
      <c r="L1004" s="2122"/>
      <c r="M1004" s="2122"/>
      <c r="N1004" s="2122"/>
      <c r="O1004" s="2122"/>
      <c r="P1004" s="2122"/>
      <c r="Q1004" s="2122"/>
      <c r="R1004" s="2122"/>
      <c r="S1004" s="2122"/>
      <c r="T1004" s="2122"/>
      <c r="U1004" s="2122"/>
      <c r="V1004" s="2122"/>
      <c r="W1004" s="2122"/>
      <c r="X1004" s="2122"/>
      <c r="Y1004" s="2122"/>
      <c r="Z1004" s="2122"/>
      <c r="AA1004" s="2122"/>
      <c r="AB1004" s="2122"/>
      <c r="AC1004" s="2122"/>
      <c r="AD1004" s="2122"/>
      <c r="AE1004" s="2123"/>
      <c r="AF1004" s="117"/>
      <c r="AG1004" s="2091" t="s">
        <v>706</v>
      </c>
      <c r="AH1004" s="2092"/>
      <c r="AI1004" s="125"/>
      <c r="AJ1004" s="2139"/>
      <c r="AK1004" s="2140"/>
      <c r="AL1004" s="2140"/>
      <c r="AM1004" s="2140"/>
      <c r="AN1004" s="2140"/>
      <c r="AO1004" s="2140"/>
      <c r="AP1004" s="2140"/>
      <c r="AQ1004" s="2141"/>
      <c r="AR1004" s="1583"/>
      <c r="AS1004" s="1583"/>
      <c r="AT1004" s="1583"/>
      <c r="AU1004" s="1583"/>
      <c r="AV1004" s="1583"/>
      <c r="AW1004" s="1583"/>
      <c r="AX1004" s="1583"/>
      <c r="AY1004" s="1583"/>
      <c r="BA1004" s="320">
        <f>IF(A1078="Yes",0.02,0)</f>
        <v>0</v>
      </c>
    </row>
    <row r="1005" spans="1:96" ht="12.75" customHeight="1">
      <c r="A1005" s="51"/>
      <c r="B1005" s="110"/>
      <c r="C1005" s="111"/>
      <c r="D1005" s="2184" t="s">
        <v>2178</v>
      </c>
      <c r="E1005" s="2185"/>
      <c r="F1005" s="2185"/>
      <c r="G1005" s="2185"/>
      <c r="H1005" s="2185"/>
      <c r="I1005" s="2185"/>
      <c r="J1005" s="2185"/>
      <c r="K1005" s="2185"/>
      <c r="L1005" s="2185"/>
      <c r="M1005" s="2185"/>
      <c r="N1005" s="2185"/>
      <c r="O1005" s="2185"/>
      <c r="P1005" s="2185"/>
      <c r="Q1005" s="2185"/>
      <c r="R1005" s="2185"/>
      <c r="S1005" s="2185"/>
      <c r="T1005" s="2185"/>
      <c r="U1005" s="2185"/>
      <c r="V1005" s="2185"/>
      <c r="W1005" s="2185"/>
      <c r="X1005" s="2185"/>
      <c r="Y1005" s="2185"/>
      <c r="Z1005" s="2185"/>
      <c r="AA1005" s="2185"/>
      <c r="AB1005" s="2185"/>
      <c r="AC1005" s="2185"/>
      <c r="AD1005" s="2185"/>
      <c r="AE1005" s="2186"/>
      <c r="AF1005" s="2172">
        <f>IF(AG1004="yes","Please Enter Amount:",0)</f>
        <v>0</v>
      </c>
      <c r="AG1005" s="2173"/>
      <c r="AH1005" s="2173"/>
      <c r="AI1005" s="2174"/>
      <c r="AJ1005" s="2142"/>
      <c r="AK1005" s="2143"/>
      <c r="AL1005" s="2143"/>
      <c r="AM1005" s="2143"/>
      <c r="AN1005" s="2143"/>
      <c r="AO1005" s="2143"/>
      <c r="AP1005" s="2143"/>
      <c r="AQ1005" s="2144"/>
      <c r="AR1005" s="1583"/>
      <c r="AS1005" s="1583"/>
      <c r="AT1005" s="1583"/>
      <c r="AU1005" s="1583"/>
      <c r="AV1005" s="1583"/>
      <c r="AW1005" s="1583"/>
      <c r="AX1005" s="1583"/>
      <c r="AY1005" s="1583"/>
      <c r="BA1005" s="321">
        <f>IF(A1082="Yes",0.02,0)</f>
        <v>0</v>
      </c>
    </row>
    <row r="1006" spans="1:96" ht="12.75" customHeight="1">
      <c r="A1006" s="51"/>
      <c r="B1006" s="110"/>
      <c r="C1006" s="111"/>
      <c r="D1006" s="2184"/>
      <c r="E1006" s="2185"/>
      <c r="F1006" s="2185"/>
      <c r="G1006" s="2185"/>
      <c r="H1006" s="2185"/>
      <c r="I1006" s="2185"/>
      <c r="J1006" s="2185"/>
      <c r="K1006" s="2185"/>
      <c r="L1006" s="2185"/>
      <c r="M1006" s="2185"/>
      <c r="N1006" s="2185"/>
      <c r="O1006" s="2185"/>
      <c r="P1006" s="2185"/>
      <c r="Q1006" s="2185"/>
      <c r="R1006" s="2185"/>
      <c r="S1006" s="2185"/>
      <c r="T1006" s="2185"/>
      <c r="U1006" s="2185"/>
      <c r="V1006" s="2185"/>
      <c r="W1006" s="2185"/>
      <c r="X1006" s="2185"/>
      <c r="Y1006" s="2185"/>
      <c r="Z1006" s="2185"/>
      <c r="AA1006" s="2185"/>
      <c r="AB1006" s="2185"/>
      <c r="AC1006" s="2185"/>
      <c r="AD1006" s="2185"/>
      <c r="AE1006" s="2186"/>
      <c r="AF1006" s="2172"/>
      <c r="AG1006" s="2173"/>
      <c r="AH1006" s="2173"/>
      <c r="AI1006" s="2174"/>
      <c r="AJ1006" s="2142"/>
      <c r="AK1006" s="2143"/>
      <c r="AL1006" s="2143"/>
      <c r="AM1006" s="2143"/>
      <c r="AN1006" s="2143"/>
      <c r="AO1006" s="2143"/>
      <c r="AP1006" s="2143"/>
      <c r="AQ1006" s="2144"/>
      <c r="AR1006" s="1583"/>
      <c r="AS1006" s="1583"/>
      <c r="AT1006" s="1583"/>
      <c r="AU1006" s="1583"/>
      <c r="AV1006" s="1583"/>
      <c r="AW1006" s="1583"/>
      <c r="AX1006" s="1583"/>
      <c r="AY1006" s="1583"/>
    </row>
    <row r="1007" spans="1:96" ht="12.75" customHeight="1">
      <c r="A1007" s="51"/>
      <c r="B1007" s="123"/>
      <c r="C1007" s="122"/>
      <c r="D1007" s="2163"/>
      <c r="E1007" s="2164"/>
      <c r="F1007" s="2164"/>
      <c r="G1007" s="2164"/>
      <c r="H1007" s="2164"/>
      <c r="I1007" s="2164"/>
      <c r="J1007" s="2164"/>
      <c r="K1007" s="2164"/>
      <c r="L1007" s="2164"/>
      <c r="M1007" s="2164"/>
      <c r="N1007" s="2164"/>
      <c r="O1007" s="2164"/>
      <c r="P1007" s="2164"/>
      <c r="Q1007" s="2164"/>
      <c r="R1007" s="2164"/>
      <c r="S1007" s="2164"/>
      <c r="T1007" s="2164"/>
      <c r="U1007" s="2164"/>
      <c r="V1007" s="2164"/>
      <c r="W1007" s="2164"/>
      <c r="X1007" s="2164"/>
      <c r="Y1007" s="2164"/>
      <c r="Z1007" s="2164"/>
      <c r="AA1007" s="2164"/>
      <c r="AB1007" s="2164"/>
      <c r="AC1007" s="2164"/>
      <c r="AD1007" s="2164"/>
      <c r="AE1007" s="2165"/>
      <c r="AF1007" s="2175"/>
      <c r="AG1007" s="2176"/>
      <c r="AH1007" s="2176"/>
      <c r="AI1007" s="2177"/>
      <c r="AJ1007" s="2145"/>
      <c r="AK1007" s="2146"/>
      <c r="AL1007" s="2146"/>
      <c r="AM1007" s="2146"/>
      <c r="AN1007" s="2146"/>
      <c r="AO1007" s="2146"/>
      <c r="AP1007" s="2146"/>
      <c r="AQ1007" s="2147"/>
      <c r="AR1007" s="1583"/>
      <c r="AS1007" s="1583"/>
      <c r="AT1007" s="1583"/>
      <c r="AU1007" s="1583"/>
      <c r="AV1007" s="1583"/>
      <c r="AW1007" s="1583"/>
      <c r="AX1007" s="1583"/>
      <c r="AY1007" s="1583"/>
    </row>
    <row r="1008" spans="1:96" s="719" customFormat="1" ht="12.75" customHeight="1">
      <c r="A1008" s="51"/>
      <c r="B1008" s="117"/>
      <c r="C1008" s="118" t="s">
        <v>240</v>
      </c>
      <c r="D1008" s="2093" t="s">
        <v>1540</v>
      </c>
      <c r="E1008" s="2094"/>
      <c r="F1008" s="2094"/>
      <c r="G1008" s="2094"/>
      <c r="H1008" s="2094"/>
      <c r="I1008" s="2094"/>
      <c r="J1008" s="2094"/>
      <c r="K1008" s="2094"/>
      <c r="L1008" s="2094"/>
      <c r="M1008" s="2094"/>
      <c r="N1008" s="2094"/>
      <c r="O1008" s="2094"/>
      <c r="P1008" s="2094"/>
      <c r="Q1008" s="2094"/>
      <c r="R1008" s="2094"/>
      <c r="S1008" s="2094"/>
      <c r="T1008" s="2094"/>
      <c r="U1008" s="2094"/>
      <c r="V1008" s="2094"/>
      <c r="W1008" s="2094"/>
      <c r="X1008" s="2094"/>
      <c r="Y1008" s="2094"/>
      <c r="Z1008" s="2094"/>
      <c r="AA1008" s="2094"/>
      <c r="AB1008" s="2094"/>
      <c r="AC1008" s="2094"/>
      <c r="AD1008" s="2094"/>
      <c r="AE1008" s="2095"/>
      <c r="AF1008" s="117"/>
      <c r="AG1008" s="2091" t="s">
        <v>706</v>
      </c>
      <c r="AH1008" s="2092"/>
      <c r="AI1008" s="125"/>
      <c r="AJ1008" s="2130">
        <f>ROUND(IF(AG1008="yes",(AJ975*0.1),0),0)</f>
        <v>0</v>
      </c>
      <c r="AK1008" s="2131"/>
      <c r="AL1008" s="2131"/>
      <c r="AM1008" s="2131"/>
      <c r="AN1008" s="2131"/>
      <c r="AO1008" s="2131"/>
      <c r="AP1008" s="2131"/>
      <c r="AQ1008" s="2132"/>
      <c r="AR1008" s="1583"/>
      <c r="AS1008" s="1583"/>
      <c r="AT1008" s="1583"/>
      <c r="AU1008" s="1583"/>
      <c r="AV1008" s="1583"/>
      <c r="AW1008" s="1583"/>
      <c r="AX1008" s="1583"/>
      <c r="AY1008" s="1583"/>
      <c r="CR1008" s="25"/>
    </row>
    <row r="1009" spans="1:96" ht="12.75" customHeight="1">
      <c r="A1009" s="51"/>
      <c r="B1009" s="110"/>
      <c r="C1009" s="111"/>
      <c r="D1009" s="2184" t="s">
        <v>1541</v>
      </c>
      <c r="E1009" s="2185"/>
      <c r="F1009" s="2185"/>
      <c r="G1009" s="2185"/>
      <c r="H1009" s="2185"/>
      <c r="I1009" s="2185"/>
      <c r="J1009" s="2185"/>
      <c r="K1009" s="2185"/>
      <c r="L1009" s="2185"/>
      <c r="M1009" s="2185"/>
      <c r="N1009" s="2185"/>
      <c r="O1009" s="2185"/>
      <c r="P1009" s="2185"/>
      <c r="Q1009" s="2185"/>
      <c r="R1009" s="2185"/>
      <c r="S1009" s="2185"/>
      <c r="T1009" s="2185"/>
      <c r="U1009" s="2185"/>
      <c r="V1009" s="2185"/>
      <c r="W1009" s="2185"/>
      <c r="X1009" s="2185"/>
      <c r="Y1009" s="2185"/>
      <c r="Z1009" s="2185"/>
      <c r="AA1009" s="2185"/>
      <c r="AB1009" s="2185"/>
      <c r="AC1009" s="2185"/>
      <c r="AD1009" s="2185"/>
      <c r="AE1009" s="2186"/>
      <c r="AF1009" s="110"/>
      <c r="AG1009" s="112"/>
      <c r="AH1009" s="112"/>
      <c r="AI1009" s="121"/>
      <c r="AJ1009" s="2133"/>
      <c r="AK1009" s="2134"/>
      <c r="AL1009" s="2134"/>
      <c r="AM1009" s="2134"/>
      <c r="AN1009" s="2134"/>
      <c r="AO1009" s="2134"/>
      <c r="AP1009" s="2134"/>
      <c r="AQ1009" s="2135"/>
      <c r="AR1009" s="1583"/>
      <c r="AS1009" s="1583"/>
      <c r="AT1009" s="1583"/>
      <c r="AU1009" s="1583"/>
      <c r="AV1009" s="1583"/>
      <c r="AW1009" s="1583"/>
      <c r="AX1009" s="1583"/>
      <c r="AY1009" s="1583"/>
    </row>
    <row r="1010" spans="1:96" ht="12.75" customHeight="1">
      <c r="A1010" s="51"/>
      <c r="B1010" s="115"/>
      <c r="C1010" s="111"/>
      <c r="D1010" s="2163"/>
      <c r="E1010" s="2164"/>
      <c r="F1010" s="2164"/>
      <c r="G1010" s="2164"/>
      <c r="H1010" s="2164"/>
      <c r="I1010" s="2164"/>
      <c r="J1010" s="2164"/>
      <c r="K1010" s="2164"/>
      <c r="L1010" s="2164"/>
      <c r="M1010" s="2164"/>
      <c r="N1010" s="2164"/>
      <c r="O1010" s="2164"/>
      <c r="P1010" s="2164"/>
      <c r="Q1010" s="2164"/>
      <c r="R1010" s="2164"/>
      <c r="S1010" s="2164"/>
      <c r="T1010" s="2164"/>
      <c r="U1010" s="2164"/>
      <c r="V1010" s="2164"/>
      <c r="W1010" s="2164"/>
      <c r="X1010" s="2164"/>
      <c r="Y1010" s="2164"/>
      <c r="Z1010" s="2164"/>
      <c r="AA1010" s="2164"/>
      <c r="AB1010" s="2164"/>
      <c r="AC1010" s="2164"/>
      <c r="AD1010" s="2164"/>
      <c r="AE1010" s="2165"/>
      <c r="AF1010" s="110"/>
      <c r="AG1010" s="112"/>
      <c r="AH1010" s="112"/>
      <c r="AI1010" s="121"/>
      <c r="AJ1010" s="2136"/>
      <c r="AK1010" s="2137"/>
      <c r="AL1010" s="2137"/>
      <c r="AM1010" s="2137"/>
      <c r="AN1010" s="2137"/>
      <c r="AO1010" s="2137"/>
      <c r="AP1010" s="2137"/>
      <c r="AQ1010" s="2138"/>
      <c r="AR1010" s="1583"/>
      <c r="AS1010" s="1583"/>
      <c r="AT1010" s="1583"/>
      <c r="AU1010" s="1583"/>
      <c r="AV1010" s="1583"/>
      <c r="AW1010" s="1583"/>
      <c r="AX1010" s="1583"/>
      <c r="AY1010" s="1583"/>
    </row>
    <row r="1011" spans="1:96" s="719" customFormat="1" ht="12.75" customHeight="1">
      <c r="A1011" s="51"/>
      <c r="B1011" s="110"/>
      <c r="C1011" s="531" t="s">
        <v>725</v>
      </c>
      <c r="D1011" s="2121" t="s">
        <v>2174</v>
      </c>
      <c r="E1011" s="2122"/>
      <c r="F1011" s="2122"/>
      <c r="G1011" s="2122"/>
      <c r="H1011" s="2122"/>
      <c r="I1011" s="2122"/>
      <c r="J1011" s="2122"/>
      <c r="K1011" s="2122"/>
      <c r="L1011" s="2122"/>
      <c r="M1011" s="2122"/>
      <c r="N1011" s="2122"/>
      <c r="O1011" s="2122"/>
      <c r="P1011" s="2122"/>
      <c r="Q1011" s="2122"/>
      <c r="R1011" s="2122"/>
      <c r="S1011" s="2122"/>
      <c r="T1011" s="2122"/>
      <c r="U1011" s="2122"/>
      <c r="V1011" s="2122"/>
      <c r="W1011" s="2122"/>
      <c r="X1011" s="2122"/>
      <c r="Y1011" s="2122"/>
      <c r="Z1011" s="2122"/>
      <c r="AA1011" s="2122"/>
      <c r="AB1011" s="2122"/>
      <c r="AC1011" s="2122"/>
      <c r="AD1011" s="2122"/>
      <c r="AE1011" s="2123"/>
      <c r="AF1011" s="117"/>
      <c r="AG1011" s="2091" t="s">
        <v>706</v>
      </c>
      <c r="AH1011" s="2092"/>
      <c r="AI1011" s="125"/>
      <c r="AJ1011" s="2130">
        <f>ROUND(IF(AG1011="yes",(AJ975*0.15),0),0)</f>
        <v>0</v>
      </c>
      <c r="AK1011" s="2131"/>
      <c r="AL1011" s="2131"/>
      <c r="AM1011" s="2131"/>
      <c r="AN1011" s="2131"/>
      <c r="AO1011" s="2131"/>
      <c r="AP1011" s="2131"/>
      <c r="AQ1011" s="2132"/>
      <c r="AR1011" s="1583"/>
      <c r="AS1011" s="1583"/>
      <c r="AT1011" s="1583"/>
      <c r="AU1011" s="1583"/>
      <c r="AV1011" s="1583"/>
      <c r="AW1011" s="1583"/>
      <c r="AX1011" s="1583"/>
      <c r="AY1011" s="1583"/>
      <c r="CR1011" s="25"/>
    </row>
    <row r="1012" spans="1:96" s="719" customFormat="1" ht="12.75" customHeight="1">
      <c r="A1012" s="51"/>
      <c r="B1012" s="110"/>
      <c r="C1012" s="111"/>
      <c r="D1012" s="2124" t="s">
        <v>2175</v>
      </c>
      <c r="E1012" s="2125"/>
      <c r="F1012" s="2125"/>
      <c r="G1012" s="2125"/>
      <c r="H1012" s="2125"/>
      <c r="I1012" s="2125"/>
      <c r="J1012" s="2125"/>
      <c r="K1012" s="2125"/>
      <c r="L1012" s="2125"/>
      <c r="M1012" s="2125"/>
      <c r="N1012" s="2125"/>
      <c r="O1012" s="2125"/>
      <c r="P1012" s="2125"/>
      <c r="Q1012" s="2125"/>
      <c r="R1012" s="2125"/>
      <c r="S1012" s="2125"/>
      <c r="T1012" s="2125"/>
      <c r="U1012" s="2125"/>
      <c r="V1012" s="2125"/>
      <c r="W1012" s="2125"/>
      <c r="X1012" s="2125"/>
      <c r="Y1012" s="2125"/>
      <c r="Z1012" s="2125"/>
      <c r="AA1012" s="2125"/>
      <c r="AB1012" s="2125"/>
      <c r="AC1012" s="2125"/>
      <c r="AD1012" s="2125"/>
      <c r="AE1012" s="2126"/>
      <c r="AF1012" s="1613"/>
      <c r="AG1012" s="1614"/>
      <c r="AH1012" s="1614"/>
      <c r="AI1012" s="1615"/>
      <c r="AJ1012" s="2133"/>
      <c r="AK1012" s="2134"/>
      <c r="AL1012" s="2134"/>
      <c r="AM1012" s="2134"/>
      <c r="AN1012" s="2134"/>
      <c r="AO1012" s="2134"/>
      <c r="AP1012" s="2134"/>
      <c r="AQ1012" s="2135"/>
      <c r="AR1012" s="1583"/>
      <c r="AS1012" s="1583"/>
      <c r="AT1012" s="1583"/>
      <c r="AU1012" s="1583"/>
      <c r="AV1012" s="1583"/>
      <c r="AW1012" s="1583"/>
      <c r="AX1012" s="1583"/>
      <c r="AY1012" s="1583"/>
      <c r="CR1012" s="25"/>
    </row>
    <row r="1013" spans="1:96" s="719" customFormat="1" ht="12.75" customHeight="1">
      <c r="A1013" s="51"/>
      <c r="B1013" s="110"/>
      <c r="C1013" s="111"/>
      <c r="D1013" s="2124"/>
      <c r="E1013" s="2125"/>
      <c r="F1013" s="2125"/>
      <c r="G1013" s="2125"/>
      <c r="H1013" s="2125"/>
      <c r="I1013" s="2125"/>
      <c r="J1013" s="2125"/>
      <c r="K1013" s="2125"/>
      <c r="L1013" s="2125"/>
      <c r="M1013" s="2125"/>
      <c r="N1013" s="2125"/>
      <c r="O1013" s="2125"/>
      <c r="P1013" s="2125"/>
      <c r="Q1013" s="2125"/>
      <c r="R1013" s="2125"/>
      <c r="S1013" s="2125"/>
      <c r="T1013" s="2125"/>
      <c r="U1013" s="2125"/>
      <c r="V1013" s="2125"/>
      <c r="W1013" s="2125"/>
      <c r="X1013" s="2125"/>
      <c r="Y1013" s="2125"/>
      <c r="Z1013" s="2125"/>
      <c r="AA1013" s="2125"/>
      <c r="AB1013" s="2125"/>
      <c r="AC1013" s="2125"/>
      <c r="AD1013" s="2125"/>
      <c r="AE1013" s="2126"/>
      <c r="AF1013" s="1613"/>
      <c r="AG1013" s="1614"/>
      <c r="AH1013" s="1614"/>
      <c r="AI1013" s="1615"/>
      <c r="AJ1013" s="2133"/>
      <c r="AK1013" s="2134"/>
      <c r="AL1013" s="2134"/>
      <c r="AM1013" s="2134"/>
      <c r="AN1013" s="2134"/>
      <c r="AO1013" s="2134"/>
      <c r="AP1013" s="2134"/>
      <c r="AQ1013" s="2135"/>
      <c r="AR1013" s="1583"/>
      <c r="AS1013" s="1583"/>
      <c r="AT1013" s="1583"/>
      <c r="AU1013" s="1583"/>
      <c r="AV1013" s="1583"/>
      <c r="AW1013" s="1583"/>
      <c r="AX1013" s="1583"/>
      <c r="AY1013" s="1583"/>
      <c r="CR1013" s="25"/>
    </row>
    <row r="1014" spans="1:96" s="719" customFormat="1" ht="12.75" customHeight="1">
      <c r="A1014" s="51"/>
      <c r="B1014" s="110"/>
      <c r="C1014" s="111"/>
      <c r="D1014" s="2127"/>
      <c r="E1014" s="2128"/>
      <c r="F1014" s="2128"/>
      <c r="G1014" s="2128"/>
      <c r="H1014" s="2128"/>
      <c r="I1014" s="2128"/>
      <c r="J1014" s="2128"/>
      <c r="K1014" s="2128"/>
      <c r="L1014" s="2128"/>
      <c r="M1014" s="2128"/>
      <c r="N1014" s="2128"/>
      <c r="O1014" s="2128"/>
      <c r="P1014" s="2128"/>
      <c r="Q1014" s="2128"/>
      <c r="R1014" s="2128"/>
      <c r="S1014" s="2128"/>
      <c r="T1014" s="2128"/>
      <c r="U1014" s="2128"/>
      <c r="V1014" s="2128"/>
      <c r="W1014" s="2128"/>
      <c r="X1014" s="2128"/>
      <c r="Y1014" s="2128"/>
      <c r="Z1014" s="2128"/>
      <c r="AA1014" s="2128"/>
      <c r="AB1014" s="2128"/>
      <c r="AC1014" s="2128"/>
      <c r="AD1014" s="2128"/>
      <c r="AE1014" s="2129"/>
      <c r="AF1014" s="1616"/>
      <c r="AG1014" s="1617"/>
      <c r="AH1014" s="1617"/>
      <c r="AI1014" s="1618"/>
      <c r="AJ1014" s="2136"/>
      <c r="AK1014" s="2137"/>
      <c r="AL1014" s="2137"/>
      <c r="AM1014" s="2137"/>
      <c r="AN1014" s="2137"/>
      <c r="AO1014" s="2137"/>
      <c r="AP1014" s="2137"/>
      <c r="AQ1014" s="2138"/>
      <c r="AR1014" s="1583"/>
      <c r="AS1014" s="1583"/>
      <c r="AT1014" s="1583"/>
      <c r="AU1014" s="1583"/>
      <c r="AV1014" s="1583"/>
      <c r="AW1014" s="1583"/>
      <c r="AX1014" s="1583"/>
      <c r="AY1014" s="1583"/>
      <c r="CR1014" s="25"/>
    </row>
    <row r="1015" spans="1:96" s="719" customFormat="1" ht="12.75" customHeight="1">
      <c r="A1015" s="51"/>
      <c r="B1015" s="110"/>
      <c r="C1015" s="531" t="s">
        <v>725</v>
      </c>
      <c r="D1015" s="2093" t="s">
        <v>2176</v>
      </c>
      <c r="E1015" s="2094"/>
      <c r="F1015" s="2094"/>
      <c r="G1015" s="2094"/>
      <c r="H1015" s="2094"/>
      <c r="I1015" s="2094"/>
      <c r="J1015" s="2094"/>
      <c r="K1015" s="2094"/>
      <c r="L1015" s="2094"/>
      <c r="M1015" s="2094"/>
      <c r="N1015" s="2094"/>
      <c r="O1015" s="2094"/>
      <c r="P1015" s="2094"/>
      <c r="Q1015" s="2094"/>
      <c r="R1015" s="2094"/>
      <c r="S1015" s="2094"/>
      <c r="T1015" s="2094"/>
      <c r="U1015" s="2094"/>
      <c r="V1015" s="2094"/>
      <c r="W1015" s="2094"/>
      <c r="X1015" s="2094"/>
      <c r="Y1015" s="2094"/>
      <c r="Z1015" s="2094"/>
      <c r="AA1015" s="2094"/>
      <c r="AB1015" s="2094"/>
      <c r="AC1015" s="2094"/>
      <c r="AD1015" s="2094"/>
      <c r="AE1015" s="2095"/>
      <c r="AF1015" s="110"/>
      <c r="AG1015" s="2265" t="s">
        <v>706</v>
      </c>
      <c r="AH1015" s="2266"/>
      <c r="AI1015" s="121"/>
      <c r="AJ1015" s="2130">
        <f>ROUND(IF(AG1015="yes",(AJ975*0.1),0),0)</f>
        <v>0</v>
      </c>
      <c r="AK1015" s="2131"/>
      <c r="AL1015" s="2131"/>
      <c r="AM1015" s="2131"/>
      <c r="AN1015" s="2131"/>
      <c r="AO1015" s="2131"/>
      <c r="AP1015" s="2131"/>
      <c r="AQ1015" s="2132"/>
      <c r="AR1015" s="1583"/>
      <c r="AS1015" s="1583"/>
      <c r="AT1015" s="1583"/>
      <c r="AU1015" s="1583"/>
      <c r="AV1015" s="1583"/>
      <c r="AW1015" s="1583"/>
      <c r="AX1015" s="1583"/>
      <c r="AY1015" s="1583"/>
      <c r="CR1015" s="25"/>
    </row>
    <row r="1016" spans="1:96" s="719" customFormat="1" ht="12.75" customHeight="1">
      <c r="A1016" s="51"/>
      <c r="B1016" s="110"/>
      <c r="C1016" s="111"/>
      <c r="D1016" s="2124" t="s">
        <v>2177</v>
      </c>
      <c r="E1016" s="2125"/>
      <c r="F1016" s="2125"/>
      <c r="G1016" s="2125"/>
      <c r="H1016" s="2125"/>
      <c r="I1016" s="2125"/>
      <c r="J1016" s="2125"/>
      <c r="K1016" s="2125"/>
      <c r="L1016" s="2125"/>
      <c r="M1016" s="2125"/>
      <c r="N1016" s="2125"/>
      <c r="O1016" s="2125"/>
      <c r="P1016" s="2125"/>
      <c r="Q1016" s="2125"/>
      <c r="R1016" s="2125"/>
      <c r="S1016" s="2125"/>
      <c r="T1016" s="2125"/>
      <c r="U1016" s="2125"/>
      <c r="V1016" s="2125"/>
      <c r="W1016" s="2125"/>
      <c r="X1016" s="2125"/>
      <c r="Y1016" s="2125"/>
      <c r="Z1016" s="2125"/>
      <c r="AA1016" s="2125"/>
      <c r="AB1016" s="2125"/>
      <c r="AC1016" s="2125"/>
      <c r="AD1016" s="2125"/>
      <c r="AE1016" s="2126"/>
      <c r="AF1016" s="110"/>
      <c r="AG1016" s="112"/>
      <c r="AH1016" s="112"/>
      <c r="AI1016" s="121"/>
      <c r="AJ1016" s="2133"/>
      <c r="AK1016" s="2134"/>
      <c r="AL1016" s="2134"/>
      <c r="AM1016" s="2134"/>
      <c r="AN1016" s="2134"/>
      <c r="AO1016" s="2134"/>
      <c r="AP1016" s="2134"/>
      <c r="AQ1016" s="2135"/>
      <c r="AR1016" s="1583"/>
      <c r="AS1016" s="1583"/>
      <c r="AT1016" s="1583"/>
      <c r="AU1016" s="1583"/>
      <c r="AV1016" s="1583"/>
      <c r="AW1016" s="1583"/>
      <c r="AX1016" s="1583"/>
      <c r="AY1016" s="1583"/>
      <c r="CR1016" s="25"/>
    </row>
    <row r="1017" spans="1:96" s="719" customFormat="1" ht="12.75" customHeight="1">
      <c r="A1017" s="51"/>
      <c r="B1017" s="110"/>
      <c r="C1017" s="111"/>
      <c r="D1017" s="2124"/>
      <c r="E1017" s="2125"/>
      <c r="F1017" s="2125"/>
      <c r="G1017" s="2125"/>
      <c r="H1017" s="2125"/>
      <c r="I1017" s="2125"/>
      <c r="J1017" s="2125"/>
      <c r="K1017" s="2125"/>
      <c r="L1017" s="2125"/>
      <c r="M1017" s="2125"/>
      <c r="N1017" s="2125"/>
      <c r="O1017" s="2125"/>
      <c r="P1017" s="2125"/>
      <c r="Q1017" s="2125"/>
      <c r="R1017" s="2125"/>
      <c r="S1017" s="2125"/>
      <c r="T1017" s="2125"/>
      <c r="U1017" s="2125"/>
      <c r="V1017" s="2125"/>
      <c r="W1017" s="2125"/>
      <c r="X1017" s="2125"/>
      <c r="Y1017" s="2125"/>
      <c r="Z1017" s="2125"/>
      <c r="AA1017" s="2125"/>
      <c r="AB1017" s="2125"/>
      <c r="AC1017" s="2125"/>
      <c r="AD1017" s="2125"/>
      <c r="AE1017" s="2126"/>
      <c r="AF1017" s="110"/>
      <c r="AG1017" s="112"/>
      <c r="AH1017" s="112"/>
      <c r="AI1017" s="121"/>
      <c r="AJ1017" s="2133"/>
      <c r="AK1017" s="2134"/>
      <c r="AL1017" s="2134"/>
      <c r="AM1017" s="2134"/>
      <c r="AN1017" s="2134"/>
      <c r="AO1017" s="2134"/>
      <c r="AP1017" s="2134"/>
      <c r="AQ1017" s="2135"/>
      <c r="AR1017" s="1583"/>
      <c r="AS1017" s="1583"/>
      <c r="AT1017" s="1583"/>
      <c r="AU1017" s="1583"/>
      <c r="AV1017" s="1583"/>
      <c r="AW1017" s="1583"/>
      <c r="AX1017" s="1583"/>
      <c r="AY1017" s="1583"/>
      <c r="CR1017" s="25"/>
    </row>
    <row r="1018" spans="1:96" s="719" customFormat="1" ht="12.75" customHeight="1">
      <c r="A1018" s="51"/>
      <c r="B1018" s="110"/>
      <c r="C1018" s="111"/>
      <c r="D1018" s="2124"/>
      <c r="E1018" s="2125"/>
      <c r="F1018" s="2125"/>
      <c r="G1018" s="2125"/>
      <c r="H1018" s="2125"/>
      <c r="I1018" s="2125"/>
      <c r="J1018" s="2125"/>
      <c r="K1018" s="2125"/>
      <c r="L1018" s="2125"/>
      <c r="M1018" s="2125"/>
      <c r="N1018" s="2125"/>
      <c r="O1018" s="2125"/>
      <c r="P1018" s="2125"/>
      <c r="Q1018" s="2125"/>
      <c r="R1018" s="2125"/>
      <c r="S1018" s="2125"/>
      <c r="T1018" s="2125"/>
      <c r="U1018" s="2125"/>
      <c r="V1018" s="2125"/>
      <c r="W1018" s="2125"/>
      <c r="X1018" s="2125"/>
      <c r="Y1018" s="2125"/>
      <c r="Z1018" s="2125"/>
      <c r="AA1018" s="2125"/>
      <c r="AB1018" s="2125"/>
      <c r="AC1018" s="2125"/>
      <c r="AD1018" s="2125"/>
      <c r="AE1018" s="2126"/>
      <c r="AF1018" s="110"/>
      <c r="AG1018" s="112"/>
      <c r="AH1018" s="112"/>
      <c r="AI1018" s="121"/>
      <c r="AJ1018" s="2133"/>
      <c r="AK1018" s="2134"/>
      <c r="AL1018" s="2134"/>
      <c r="AM1018" s="2134"/>
      <c r="AN1018" s="2134"/>
      <c r="AO1018" s="2134"/>
      <c r="AP1018" s="2134"/>
      <c r="AQ1018" s="2135"/>
      <c r="AR1018" s="1583"/>
      <c r="AS1018" s="1583"/>
      <c r="AT1018" s="1583"/>
      <c r="AU1018" s="1583"/>
      <c r="AV1018" s="1583"/>
      <c r="AW1018" s="1583"/>
      <c r="AX1018" s="1583"/>
      <c r="AY1018" s="1583"/>
      <c r="CR1018" s="25"/>
    </row>
    <row r="1019" spans="1:96" s="719" customFormat="1" ht="12.75" customHeight="1">
      <c r="A1019" s="51"/>
      <c r="B1019" s="110"/>
      <c r="C1019" s="111"/>
      <c r="D1019" s="2127"/>
      <c r="E1019" s="2128"/>
      <c r="F1019" s="2128"/>
      <c r="G1019" s="2128"/>
      <c r="H1019" s="2128"/>
      <c r="I1019" s="2128"/>
      <c r="J1019" s="2128"/>
      <c r="K1019" s="2128"/>
      <c r="L1019" s="2128"/>
      <c r="M1019" s="2128"/>
      <c r="N1019" s="2128"/>
      <c r="O1019" s="2128"/>
      <c r="P1019" s="2128"/>
      <c r="Q1019" s="2128"/>
      <c r="R1019" s="2128"/>
      <c r="S1019" s="2128"/>
      <c r="T1019" s="2128"/>
      <c r="U1019" s="2128"/>
      <c r="V1019" s="2128"/>
      <c r="W1019" s="2128"/>
      <c r="X1019" s="2128"/>
      <c r="Y1019" s="2128"/>
      <c r="Z1019" s="2128"/>
      <c r="AA1019" s="2128"/>
      <c r="AB1019" s="2128"/>
      <c r="AC1019" s="2128"/>
      <c r="AD1019" s="2128"/>
      <c r="AE1019" s="2129"/>
      <c r="AF1019" s="110"/>
      <c r="AG1019" s="112"/>
      <c r="AH1019" s="112"/>
      <c r="AI1019" s="121"/>
      <c r="AJ1019" s="2133"/>
      <c r="AK1019" s="2134"/>
      <c r="AL1019" s="2134"/>
      <c r="AM1019" s="2134"/>
      <c r="AN1019" s="2134"/>
      <c r="AO1019" s="2134"/>
      <c r="AP1019" s="2134"/>
      <c r="AQ1019" s="2135"/>
      <c r="AR1019" s="1583"/>
      <c r="AS1019" s="1583"/>
      <c r="AT1019" s="1583"/>
      <c r="AU1019" s="1583"/>
      <c r="AV1019" s="1583"/>
      <c r="AW1019" s="1583"/>
      <c r="AX1019" s="1583"/>
      <c r="AY1019" s="1583"/>
      <c r="CR1019" s="25"/>
    </row>
    <row r="1020" spans="1:96" s="719" customFormat="1" ht="12.75" customHeight="1">
      <c r="A1020" s="51"/>
      <c r="B1020" s="117"/>
      <c r="C1020" s="198" t="s">
        <v>1116</v>
      </c>
      <c r="D1020" s="2121" t="s">
        <v>1542</v>
      </c>
      <c r="E1020" s="2122"/>
      <c r="F1020" s="2122"/>
      <c r="G1020" s="2122"/>
      <c r="H1020" s="2122"/>
      <c r="I1020" s="2122"/>
      <c r="J1020" s="2122"/>
      <c r="K1020" s="2122"/>
      <c r="L1020" s="2122"/>
      <c r="M1020" s="2122"/>
      <c r="N1020" s="2122"/>
      <c r="O1020" s="2122"/>
      <c r="P1020" s="2122"/>
      <c r="Q1020" s="2122"/>
      <c r="R1020" s="2122"/>
      <c r="S1020" s="2122"/>
      <c r="T1020" s="2122"/>
      <c r="U1020" s="2122"/>
      <c r="V1020" s="2122"/>
      <c r="W1020" s="2122"/>
      <c r="X1020" s="2122"/>
      <c r="Y1020" s="2122"/>
      <c r="Z1020" s="2122"/>
      <c r="AA1020" s="2122"/>
      <c r="AB1020" s="2122"/>
      <c r="AC1020" s="2122"/>
      <c r="AD1020" s="2122"/>
      <c r="AE1020" s="2123"/>
      <c r="AF1020" s="117"/>
      <c r="AG1020" s="2091" t="s">
        <v>706</v>
      </c>
      <c r="AH1020" s="2092"/>
      <c r="AI1020" s="125"/>
      <c r="AJ1020" s="2130">
        <f>ROUND(IF(AG1020="yes",(AJ975*0.1),0),0)</f>
        <v>0</v>
      </c>
      <c r="AK1020" s="2131"/>
      <c r="AL1020" s="2131"/>
      <c r="AM1020" s="2131"/>
      <c r="AN1020" s="2131"/>
      <c r="AO1020" s="2131"/>
      <c r="AP1020" s="2131"/>
      <c r="AQ1020" s="2132"/>
      <c r="AR1020" s="1583"/>
      <c r="AS1020" s="1583"/>
      <c r="AT1020" s="1583"/>
      <c r="AU1020" s="1583"/>
      <c r="AV1020" s="1583"/>
      <c r="AW1020" s="1583"/>
      <c r="AX1020" s="1583"/>
      <c r="AY1020" s="1583"/>
      <c r="CR1020" s="25"/>
    </row>
    <row r="1021" spans="1:96" ht="12.75" customHeight="1">
      <c r="A1021" s="51"/>
      <c r="B1021" s="110"/>
      <c r="C1021" s="111"/>
      <c r="D1021" s="2184" t="s">
        <v>1543</v>
      </c>
      <c r="E1021" s="2185"/>
      <c r="F1021" s="2185"/>
      <c r="G1021" s="2185"/>
      <c r="H1021" s="2185"/>
      <c r="I1021" s="2185"/>
      <c r="J1021" s="2185"/>
      <c r="K1021" s="2185"/>
      <c r="L1021" s="2185"/>
      <c r="M1021" s="2185"/>
      <c r="N1021" s="2185"/>
      <c r="O1021" s="2185"/>
      <c r="P1021" s="2185"/>
      <c r="Q1021" s="2185"/>
      <c r="R1021" s="2185"/>
      <c r="S1021" s="2185"/>
      <c r="T1021" s="2185"/>
      <c r="U1021" s="2185"/>
      <c r="V1021" s="2185"/>
      <c r="W1021" s="2185"/>
      <c r="X1021" s="2185"/>
      <c r="Y1021" s="2185"/>
      <c r="Z1021" s="2185"/>
      <c r="AA1021" s="2185"/>
      <c r="AB1021" s="2185"/>
      <c r="AC1021" s="2185"/>
      <c r="AD1021" s="2185"/>
      <c r="AE1021" s="2186"/>
      <c r="AF1021" s="110"/>
      <c r="AG1021" s="112"/>
      <c r="AH1021" s="112"/>
      <c r="AI1021" s="121"/>
      <c r="AJ1021" s="2133"/>
      <c r="AK1021" s="2134"/>
      <c r="AL1021" s="2134"/>
      <c r="AM1021" s="2134"/>
      <c r="AN1021" s="2134"/>
      <c r="AO1021" s="2134"/>
      <c r="AP1021" s="2134"/>
      <c r="AQ1021" s="2135"/>
      <c r="AR1021" s="1583"/>
      <c r="AS1021" s="1583"/>
      <c r="AT1021" s="1583"/>
      <c r="AU1021" s="1583"/>
      <c r="AV1021" s="1583"/>
      <c r="AW1021" s="1583"/>
      <c r="AX1021" s="1583"/>
      <c r="AY1021" s="1583"/>
    </row>
    <row r="1022" spans="1:96" ht="12.75" customHeight="1">
      <c r="A1022" s="51"/>
      <c r="B1022" s="110"/>
      <c r="C1022" s="111"/>
      <c r="D1022" s="2184"/>
      <c r="E1022" s="2185"/>
      <c r="F1022" s="2185"/>
      <c r="G1022" s="2185"/>
      <c r="H1022" s="2185"/>
      <c r="I1022" s="2185"/>
      <c r="J1022" s="2185"/>
      <c r="K1022" s="2185"/>
      <c r="L1022" s="2185"/>
      <c r="M1022" s="2185"/>
      <c r="N1022" s="2185"/>
      <c r="O1022" s="2185"/>
      <c r="P1022" s="2185"/>
      <c r="Q1022" s="2185"/>
      <c r="R1022" s="2185"/>
      <c r="S1022" s="2185"/>
      <c r="T1022" s="2185"/>
      <c r="U1022" s="2185"/>
      <c r="V1022" s="2185"/>
      <c r="W1022" s="2185"/>
      <c r="X1022" s="2185"/>
      <c r="Y1022" s="2185"/>
      <c r="Z1022" s="2185"/>
      <c r="AA1022" s="2185"/>
      <c r="AB1022" s="2185"/>
      <c r="AC1022" s="2185"/>
      <c r="AD1022" s="2185"/>
      <c r="AE1022" s="2186"/>
      <c r="AF1022" s="110"/>
      <c r="AG1022" s="112"/>
      <c r="AH1022" s="112"/>
      <c r="AI1022" s="121"/>
      <c r="AJ1022" s="2133"/>
      <c r="AK1022" s="2134"/>
      <c r="AL1022" s="2134"/>
      <c r="AM1022" s="2134"/>
      <c r="AN1022" s="2134"/>
      <c r="AO1022" s="2134"/>
      <c r="AP1022" s="2134"/>
      <c r="AQ1022" s="2135"/>
      <c r="AR1022" s="1583"/>
      <c r="AS1022" s="1583"/>
      <c r="AT1022" s="1583"/>
      <c r="AU1022" s="1583"/>
      <c r="AV1022" s="1583"/>
      <c r="AW1022" s="1583"/>
      <c r="AX1022" s="1583"/>
      <c r="AY1022" s="1583"/>
    </row>
    <row r="1023" spans="1:96" s="682" customFormat="1" ht="12.75" customHeight="1">
      <c r="A1023" s="51"/>
      <c r="B1023" s="110"/>
      <c r="C1023" s="111"/>
      <c r="D1023" s="2163"/>
      <c r="E1023" s="2164"/>
      <c r="F1023" s="2164"/>
      <c r="G1023" s="2164"/>
      <c r="H1023" s="2164"/>
      <c r="I1023" s="2164"/>
      <c r="J1023" s="2164"/>
      <c r="K1023" s="2164"/>
      <c r="L1023" s="2164"/>
      <c r="M1023" s="2164"/>
      <c r="N1023" s="2164"/>
      <c r="O1023" s="2164"/>
      <c r="P1023" s="2164"/>
      <c r="Q1023" s="2164"/>
      <c r="R1023" s="2164"/>
      <c r="S1023" s="2164"/>
      <c r="T1023" s="2164"/>
      <c r="U1023" s="2164"/>
      <c r="V1023" s="2164"/>
      <c r="W1023" s="2164"/>
      <c r="X1023" s="2164"/>
      <c r="Y1023" s="2164"/>
      <c r="Z1023" s="2164"/>
      <c r="AA1023" s="2164"/>
      <c r="AB1023" s="2164"/>
      <c r="AC1023" s="2164"/>
      <c r="AD1023" s="2164"/>
      <c r="AE1023" s="2165"/>
      <c r="AF1023" s="110"/>
      <c r="AG1023" s="112"/>
      <c r="AH1023" s="112"/>
      <c r="AI1023" s="121"/>
      <c r="AJ1023" s="2136"/>
      <c r="AK1023" s="2137"/>
      <c r="AL1023" s="2137"/>
      <c r="AM1023" s="2137"/>
      <c r="AN1023" s="2137"/>
      <c r="AO1023" s="2137"/>
      <c r="AP1023" s="2137"/>
      <c r="AQ1023" s="2138"/>
      <c r="AR1023" s="1583"/>
      <c r="AS1023" s="1583"/>
      <c r="AT1023" s="1583"/>
      <c r="AU1023" s="1583"/>
      <c r="AV1023" s="1583"/>
      <c r="AW1023" s="1583"/>
      <c r="AX1023" s="1583"/>
      <c r="AY1023" s="1583"/>
      <c r="CR1023" s="25"/>
    </row>
    <row r="1024" spans="1:96" ht="12.75" customHeight="1">
      <c r="A1024" s="51"/>
      <c r="B1024" s="117"/>
      <c r="C1024" s="198" t="s">
        <v>2172</v>
      </c>
      <c r="D1024" s="2093" t="s">
        <v>2393</v>
      </c>
      <c r="E1024" s="2094"/>
      <c r="F1024" s="2094"/>
      <c r="G1024" s="2094"/>
      <c r="H1024" s="2094"/>
      <c r="I1024" s="2094"/>
      <c r="J1024" s="2094"/>
      <c r="K1024" s="2094"/>
      <c r="L1024" s="2094"/>
      <c r="M1024" s="2094"/>
      <c r="N1024" s="2094"/>
      <c r="O1024" s="2094"/>
      <c r="P1024" s="2094"/>
      <c r="Q1024" s="2094"/>
      <c r="R1024" s="2094"/>
      <c r="S1024" s="2094"/>
      <c r="T1024" s="2094"/>
      <c r="U1024" s="2094"/>
      <c r="V1024" s="2094"/>
      <c r="W1024" s="2094"/>
      <c r="X1024" s="2094"/>
      <c r="Y1024" s="2094"/>
      <c r="Z1024" s="2094"/>
      <c r="AA1024" s="2094"/>
      <c r="AB1024" s="2094"/>
      <c r="AC1024" s="2094"/>
      <c r="AD1024" s="2094"/>
      <c r="AE1024" s="2095"/>
      <c r="AF1024" s="117"/>
      <c r="AG1024" s="2263" t="str">
        <f>IF(X1027&gt;0,"Yes","No")</f>
        <v>Yes</v>
      </c>
      <c r="AH1024" s="2264"/>
      <c r="AI1024" s="125"/>
      <c r="AJ1024" s="2267">
        <f>IF((X1027=0),0,BA989*AJ975)</f>
        <v>2181478</v>
      </c>
      <c r="AK1024" s="2268"/>
      <c r="AL1024" s="2268"/>
      <c r="AM1024" s="2268"/>
      <c r="AN1024" s="2268"/>
      <c r="AO1024" s="2268"/>
      <c r="AP1024" s="2268"/>
      <c r="AQ1024" s="2269"/>
      <c r="AR1024" s="1583"/>
      <c r="AS1024" s="1583"/>
      <c r="AT1024" s="1583"/>
      <c r="AU1024" s="1583"/>
      <c r="AV1024" s="1583"/>
      <c r="AW1024" s="1583"/>
      <c r="AX1024" s="1583"/>
      <c r="AY1024" s="1583"/>
    </row>
    <row r="1025" spans="1:96" ht="12.75" customHeight="1">
      <c r="A1025" s="51"/>
      <c r="B1025" s="110"/>
      <c r="C1025" s="702"/>
      <c r="D1025" s="2184" t="s">
        <v>1545</v>
      </c>
      <c r="E1025" s="2185"/>
      <c r="F1025" s="2185"/>
      <c r="G1025" s="2185"/>
      <c r="H1025" s="2185"/>
      <c r="I1025" s="2185"/>
      <c r="J1025" s="2185"/>
      <c r="K1025" s="2185"/>
      <c r="L1025" s="2185"/>
      <c r="M1025" s="2185"/>
      <c r="N1025" s="2185"/>
      <c r="O1025" s="2185"/>
      <c r="P1025" s="2185"/>
      <c r="Q1025" s="2185"/>
      <c r="R1025" s="2185"/>
      <c r="S1025" s="2185"/>
      <c r="T1025" s="2185"/>
      <c r="U1025" s="2185"/>
      <c r="V1025" s="2185"/>
      <c r="W1025" s="2185"/>
      <c r="X1025" s="2185"/>
      <c r="Y1025" s="2185"/>
      <c r="Z1025" s="2185"/>
      <c r="AA1025" s="2185"/>
      <c r="AB1025" s="2185"/>
      <c r="AC1025" s="2185"/>
      <c r="AD1025" s="2185"/>
      <c r="AE1025" s="2186"/>
      <c r="AF1025" s="110"/>
      <c r="AG1025" s="703"/>
      <c r="AH1025" s="703"/>
      <c r="AI1025" s="121"/>
      <c r="AJ1025" s="2270"/>
      <c r="AK1025" s="2271"/>
      <c r="AL1025" s="2271"/>
      <c r="AM1025" s="2271"/>
      <c r="AN1025" s="2271"/>
      <c r="AO1025" s="2271"/>
      <c r="AP1025" s="2271"/>
      <c r="AQ1025" s="2272"/>
      <c r="AR1025" s="1583"/>
      <c r="AS1025" s="1583"/>
      <c r="AT1025" s="1583"/>
      <c r="AU1025" s="1583"/>
      <c r="AV1025" s="1583"/>
      <c r="AW1025" s="1583"/>
      <c r="AX1025" s="1583"/>
      <c r="AY1025" s="1583"/>
    </row>
    <row r="1026" spans="1:96" ht="12.75" customHeight="1">
      <c r="A1026" s="51"/>
      <c r="B1026" s="110"/>
      <c r="C1026" s="702"/>
      <c r="D1026" s="2184"/>
      <c r="E1026" s="2185"/>
      <c r="F1026" s="2185"/>
      <c r="G1026" s="2185"/>
      <c r="H1026" s="2185"/>
      <c r="I1026" s="2185"/>
      <c r="J1026" s="2185"/>
      <c r="K1026" s="2185"/>
      <c r="L1026" s="2185"/>
      <c r="M1026" s="2185"/>
      <c r="N1026" s="2185"/>
      <c r="O1026" s="2185"/>
      <c r="P1026" s="2185"/>
      <c r="Q1026" s="2185"/>
      <c r="R1026" s="2185"/>
      <c r="S1026" s="2185"/>
      <c r="T1026" s="2185"/>
      <c r="U1026" s="2185"/>
      <c r="V1026" s="2185"/>
      <c r="W1026" s="2185"/>
      <c r="X1026" s="2185"/>
      <c r="Y1026" s="2185"/>
      <c r="Z1026" s="2185"/>
      <c r="AA1026" s="2185"/>
      <c r="AB1026" s="2185"/>
      <c r="AC1026" s="2185"/>
      <c r="AD1026" s="2185"/>
      <c r="AE1026" s="2186"/>
      <c r="AF1026" s="110"/>
      <c r="AG1026" s="703"/>
      <c r="AH1026" s="703"/>
      <c r="AI1026" s="121"/>
      <c r="AJ1026" s="2270"/>
      <c r="AK1026" s="2271"/>
      <c r="AL1026" s="2271"/>
      <c r="AM1026" s="2271"/>
      <c r="AN1026" s="2271"/>
      <c r="AO1026" s="2271"/>
      <c r="AP1026" s="2271"/>
      <c r="AQ1026" s="2272"/>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61">
        <f>BA987</f>
        <v>64</v>
      </c>
      <c r="J1027" s="2262"/>
      <c r="K1027" s="11"/>
      <c r="L1027" s="200"/>
      <c r="M1027" s="200"/>
      <c r="N1027" s="200"/>
      <c r="O1027" s="200"/>
      <c r="P1027" s="200"/>
      <c r="Q1027" s="200"/>
      <c r="R1027" s="200"/>
      <c r="S1027" s="200"/>
      <c r="T1027" s="200"/>
      <c r="U1027" s="200"/>
      <c r="V1027" s="201" t="s">
        <v>1051</v>
      </c>
      <c r="W1027" s="80"/>
      <c r="X1027" s="2259">
        <f>BG635</f>
        <v>7</v>
      </c>
      <c r="Y1027" s="2260"/>
      <c r="Z1027" s="80"/>
      <c r="AA1027" s="80"/>
      <c r="AB1027" s="80"/>
      <c r="AC1027" s="80"/>
      <c r="AD1027" s="80"/>
      <c r="AE1027" s="81"/>
      <c r="AF1027" s="1622"/>
      <c r="AG1027" s="1623"/>
      <c r="AH1027" s="1623"/>
      <c r="AI1027" s="1624"/>
      <c r="AJ1027" s="2273"/>
      <c r="AK1027" s="2274"/>
      <c r="AL1027" s="2274"/>
      <c r="AM1027" s="2274"/>
      <c r="AN1027" s="2274"/>
      <c r="AO1027" s="2274"/>
      <c r="AP1027" s="2274"/>
      <c r="AQ1027" s="2275"/>
      <c r="AR1027" s="1583"/>
      <c r="AS1027" s="1583"/>
      <c r="AT1027" s="1583"/>
      <c r="AU1027" s="1583"/>
      <c r="AV1027" s="1583"/>
      <c r="AW1027" s="1583"/>
      <c r="AX1027" s="1583"/>
      <c r="AY1027" s="1583"/>
      <c r="CR1027" s="25"/>
    </row>
    <row r="1028" spans="1:96" ht="12.75" customHeight="1">
      <c r="A1028" s="51"/>
      <c r="B1028" s="117"/>
      <c r="C1028" s="198" t="s">
        <v>2173</v>
      </c>
      <c r="D1028" s="2121" t="s">
        <v>2394</v>
      </c>
      <c r="E1028" s="2122"/>
      <c r="F1028" s="2122"/>
      <c r="G1028" s="2122"/>
      <c r="H1028" s="2122"/>
      <c r="I1028" s="2122"/>
      <c r="J1028" s="2122"/>
      <c r="K1028" s="2122"/>
      <c r="L1028" s="2122"/>
      <c r="M1028" s="2122"/>
      <c r="N1028" s="2122"/>
      <c r="O1028" s="2122"/>
      <c r="P1028" s="2122"/>
      <c r="Q1028" s="2122"/>
      <c r="R1028" s="2122"/>
      <c r="S1028" s="2122"/>
      <c r="T1028" s="2122"/>
      <c r="U1028" s="2122"/>
      <c r="V1028" s="2122"/>
      <c r="W1028" s="2122"/>
      <c r="X1028" s="2122"/>
      <c r="Y1028" s="2122"/>
      <c r="Z1028" s="2122"/>
      <c r="AA1028" s="2122"/>
      <c r="AB1028" s="2122"/>
      <c r="AC1028" s="2122"/>
      <c r="AD1028" s="2122"/>
      <c r="AE1028" s="2123"/>
      <c r="AF1028" s="110"/>
      <c r="AG1028" s="2263" t="str">
        <f>IF(X1031&gt;0,"Yes","No")</f>
        <v>Yes</v>
      </c>
      <c r="AH1028" s="2264"/>
      <c r="AI1028" s="121"/>
      <c r="AJ1028" s="2267">
        <f>IF((X1031=0),0,(2*BA990)*AJ975)</f>
        <v>6108138.4000000004</v>
      </c>
      <c r="AK1028" s="2268"/>
      <c r="AL1028" s="2268"/>
      <c r="AM1028" s="2268"/>
      <c r="AN1028" s="2268"/>
      <c r="AO1028" s="2268"/>
      <c r="AP1028" s="2268"/>
      <c r="AQ1028" s="2269"/>
      <c r="AR1028" s="1583"/>
      <c r="AS1028" s="1583"/>
      <c r="AT1028" s="1583"/>
      <c r="AU1028" s="1583"/>
      <c r="AV1028" s="1583"/>
      <c r="AW1028" s="1583"/>
      <c r="AX1028" s="1583"/>
      <c r="AY1028" s="1583"/>
    </row>
    <row r="1029" spans="1:96" ht="12.75" customHeight="1">
      <c r="A1029" s="51"/>
      <c r="B1029" s="110"/>
      <c r="C1029" s="702"/>
      <c r="D1029" s="2184" t="s">
        <v>1544</v>
      </c>
      <c r="E1029" s="2185"/>
      <c r="F1029" s="2185"/>
      <c r="G1029" s="2185"/>
      <c r="H1029" s="2185"/>
      <c r="I1029" s="2185"/>
      <c r="J1029" s="2185"/>
      <c r="K1029" s="2185"/>
      <c r="L1029" s="2185"/>
      <c r="M1029" s="2185"/>
      <c r="N1029" s="2185"/>
      <c r="O1029" s="2185"/>
      <c r="P1029" s="2185"/>
      <c r="Q1029" s="2185"/>
      <c r="R1029" s="2185"/>
      <c r="S1029" s="2185"/>
      <c r="T1029" s="2185"/>
      <c r="U1029" s="2185"/>
      <c r="V1029" s="2185"/>
      <c r="W1029" s="2185"/>
      <c r="X1029" s="2185"/>
      <c r="Y1029" s="2185"/>
      <c r="Z1029" s="2185"/>
      <c r="AA1029" s="2185"/>
      <c r="AB1029" s="2185"/>
      <c r="AC1029" s="2185"/>
      <c r="AD1029" s="2185"/>
      <c r="AE1029" s="2186"/>
      <c r="AF1029" s="110"/>
      <c r="AG1029" s="703"/>
      <c r="AH1029" s="703"/>
      <c r="AI1029" s="121"/>
      <c r="AJ1029" s="2270"/>
      <c r="AK1029" s="2271"/>
      <c r="AL1029" s="2271"/>
      <c r="AM1029" s="2271"/>
      <c r="AN1029" s="2271"/>
      <c r="AO1029" s="2271"/>
      <c r="AP1029" s="2271"/>
      <c r="AQ1029" s="2272"/>
      <c r="AR1029" s="1583"/>
      <c r="AS1029" s="1583"/>
      <c r="AT1029" s="1583"/>
      <c r="AU1029" s="1583"/>
      <c r="AV1029" s="1583"/>
      <c r="AW1029" s="1583"/>
      <c r="AX1029" s="1583"/>
      <c r="AY1029" s="1583"/>
    </row>
    <row r="1030" spans="1:96" ht="12.75" customHeight="1">
      <c r="A1030" s="51"/>
      <c r="B1030" s="110"/>
      <c r="C1030" s="121"/>
      <c r="D1030" s="2184"/>
      <c r="E1030" s="2185"/>
      <c r="F1030" s="2185"/>
      <c r="G1030" s="2185"/>
      <c r="H1030" s="2185"/>
      <c r="I1030" s="2185"/>
      <c r="J1030" s="2185"/>
      <c r="K1030" s="2185"/>
      <c r="L1030" s="2185"/>
      <c r="M1030" s="2185"/>
      <c r="N1030" s="2185"/>
      <c r="O1030" s="2185"/>
      <c r="P1030" s="2185"/>
      <c r="Q1030" s="2185"/>
      <c r="R1030" s="2185"/>
      <c r="S1030" s="2185"/>
      <c r="T1030" s="2185"/>
      <c r="U1030" s="2185"/>
      <c r="V1030" s="2185"/>
      <c r="W1030" s="2185"/>
      <c r="X1030" s="2185"/>
      <c r="Y1030" s="2185"/>
      <c r="Z1030" s="2185"/>
      <c r="AA1030" s="2185"/>
      <c r="AB1030" s="2185"/>
      <c r="AC1030" s="2185"/>
      <c r="AD1030" s="2185"/>
      <c r="AE1030" s="2186"/>
      <c r="AF1030" s="1619"/>
      <c r="AG1030" s="1620"/>
      <c r="AH1030" s="1620"/>
      <c r="AI1030" s="1621"/>
      <c r="AJ1030" s="2270"/>
      <c r="AK1030" s="2271"/>
      <c r="AL1030" s="2271"/>
      <c r="AM1030" s="2271"/>
      <c r="AN1030" s="2271"/>
      <c r="AO1030" s="2271"/>
      <c r="AP1030" s="2271"/>
      <c r="AQ1030" s="2272"/>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61">
        <f>BA987</f>
        <v>64</v>
      </c>
      <c r="J1031" s="2262"/>
      <c r="K1031" s="51"/>
      <c r="L1031" s="200"/>
      <c r="M1031" s="200"/>
      <c r="N1031" s="200"/>
      <c r="O1031" s="200"/>
      <c r="P1031" s="200"/>
      <c r="Q1031" s="200"/>
      <c r="R1031" s="200"/>
      <c r="S1031" s="200"/>
      <c r="T1031" s="200"/>
      <c r="U1031" s="200"/>
      <c r="V1031" s="201" t="s">
        <v>1052</v>
      </c>
      <c r="X1031" s="2259">
        <f>BK635</f>
        <v>9</v>
      </c>
      <c r="Y1031" s="2260"/>
      <c r="AF1031" s="1622"/>
      <c r="AG1031" s="1623"/>
      <c r="AH1031" s="1623"/>
      <c r="AI1031" s="1624"/>
      <c r="AJ1031" s="2273"/>
      <c r="AK1031" s="2274"/>
      <c r="AL1031" s="2274"/>
      <c r="AM1031" s="2274"/>
      <c r="AN1031" s="2274"/>
      <c r="AO1031" s="2274"/>
      <c r="AP1031" s="2274"/>
      <c r="AQ1031" s="2275"/>
      <c r="AR1031" s="1583"/>
      <c r="AS1031" s="1583"/>
      <c r="AT1031" s="1583"/>
      <c r="AU1031" s="1583"/>
      <c r="AV1031" s="1583"/>
      <c r="AW1031" s="1583"/>
      <c r="AX1031" s="1583"/>
      <c r="AY1031" s="1583"/>
      <c r="CR1031" s="25"/>
    </row>
    <row r="1032" spans="1:96" ht="12.75" customHeight="1">
      <c r="A1032" s="51"/>
      <c r="B1032" s="158"/>
      <c r="C1032" s="159"/>
      <c r="D1032" s="2257" t="s">
        <v>546</v>
      </c>
      <c r="E1032" s="2257"/>
      <c r="F1032" s="2257"/>
      <c r="G1032" s="2257"/>
      <c r="H1032" s="2257"/>
      <c r="I1032" s="2257"/>
      <c r="J1032" s="2257"/>
      <c r="K1032" s="2257"/>
      <c r="L1032" s="2257"/>
      <c r="M1032" s="2257"/>
      <c r="N1032" s="2257"/>
      <c r="O1032" s="2257"/>
      <c r="P1032" s="2257"/>
      <c r="Q1032" s="2257"/>
      <c r="R1032" s="2257"/>
      <c r="S1032" s="2257"/>
      <c r="T1032" s="2257"/>
      <c r="U1032" s="2257"/>
      <c r="V1032" s="2257"/>
      <c r="W1032" s="2257"/>
      <c r="X1032" s="2257"/>
      <c r="Y1032" s="2257"/>
      <c r="Z1032" s="2257"/>
      <c r="AA1032" s="2257"/>
      <c r="AB1032" s="2257"/>
      <c r="AC1032" s="2257"/>
      <c r="AD1032" s="2257"/>
      <c r="AE1032" s="2257"/>
      <c r="AF1032" s="2257"/>
      <c r="AG1032" s="2257"/>
      <c r="AH1032" s="2257"/>
      <c r="AI1032" s="2258"/>
      <c r="AJ1032" s="2276">
        <f>SUM(AJ975:AQ1031)</f>
        <v>30104396.399999999</v>
      </c>
      <c r="AK1032" s="2277"/>
      <c r="AL1032" s="2277"/>
      <c r="AM1032" s="2277"/>
      <c r="AN1032" s="2277"/>
      <c r="AO1032" s="2277"/>
      <c r="AP1032" s="2277"/>
      <c r="AQ1032" s="227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3" t="s">
        <v>1931</v>
      </c>
      <c r="C1034" s="2553"/>
      <c r="D1034" s="2553"/>
      <c r="E1034" s="2553"/>
      <c r="F1034" s="2553"/>
      <c r="G1034" s="2553"/>
      <c r="H1034" s="2553"/>
      <c r="I1034" s="2553"/>
      <c r="J1034" s="2553"/>
      <c r="K1034" s="2553"/>
      <c r="L1034" s="2553"/>
      <c r="M1034" s="2553"/>
      <c r="N1034" s="2553"/>
      <c r="O1034" s="2553"/>
      <c r="P1034" s="2553"/>
      <c r="Q1034" s="2553"/>
      <c r="R1034" s="2553"/>
      <c r="S1034" s="2553"/>
      <c r="T1034" s="2553"/>
      <c r="U1034" s="2553"/>
      <c r="V1034" s="2553"/>
      <c r="W1034" s="2553"/>
      <c r="X1034" s="2553"/>
      <c r="Y1034" s="255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1"/>
      <c r="Y1035" s="2351"/>
      <c r="Z1035" s="2351"/>
      <c r="AA1035" s="2351"/>
      <c r="AB1035" s="2351"/>
      <c r="AC1035" s="2351"/>
      <c r="AD1035" s="2548">
        <f>R971</f>
        <v>388800</v>
      </c>
      <c r="AE1035" s="2479"/>
      <c r="AF1035" s="2479"/>
      <c r="AG1035" s="2479"/>
      <c r="AH1035" s="2479"/>
      <c r="AI1035" s="2479"/>
      <c r="AJ1035" s="2479"/>
      <c r="AK1035" s="247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2"/>
      <c r="Y1036" s="2352"/>
      <c r="Z1036" s="2352"/>
      <c r="AA1036" s="2352"/>
      <c r="AB1036" s="2352"/>
      <c r="AC1036" s="2352"/>
      <c r="AD1036" s="2134">
        <f>MEDIAN((BR809:BR866))</f>
        <v>364800</v>
      </c>
      <c r="AE1036" s="2134"/>
      <c r="AF1036" s="2134"/>
      <c r="AG1036" s="2134"/>
      <c r="AH1036" s="2134"/>
      <c r="AI1036" s="2134"/>
      <c r="AJ1036" s="2134"/>
      <c r="AK1036" s="213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9" t="s">
        <v>1933</v>
      </c>
      <c r="C1037" s="2549"/>
      <c r="D1037" s="2549"/>
      <c r="E1037" s="2549"/>
      <c r="F1037" s="2549"/>
      <c r="G1037" s="2549"/>
      <c r="H1037" s="2549"/>
      <c r="I1037" s="2549"/>
      <c r="J1037" s="2549"/>
      <c r="K1037" s="2549"/>
      <c r="L1037" s="2549"/>
      <c r="M1037" s="2549"/>
      <c r="N1037" s="2549"/>
      <c r="O1037" s="2549"/>
      <c r="P1037" s="2549"/>
      <c r="Q1037" s="2549"/>
      <c r="R1037" s="2549"/>
      <c r="S1037" s="2549"/>
      <c r="T1037" s="2549"/>
      <c r="U1037" s="2549"/>
      <c r="V1037" s="2549"/>
      <c r="W1037" s="2549"/>
      <c r="X1037" s="2549"/>
      <c r="Y1037" s="2549"/>
      <c r="Z1037" s="1416"/>
      <c r="AA1037" s="1416"/>
      <c r="AB1037" s="1416"/>
      <c r="AC1037" s="1416"/>
      <c r="AD1037" s="2545">
        <f>IF(((AD1035-AD1036)/AD1036)&gt;0.3,0.3,((AD1035-AD1036)/AD1036))</f>
        <v>6.5789473684210523E-2</v>
      </c>
      <c r="AE1037" s="2546"/>
      <c r="AF1037" s="2546"/>
      <c r="AG1037" s="2546"/>
      <c r="AH1037" s="2546"/>
      <c r="AI1037" s="2546"/>
      <c r="AJ1037" s="2546"/>
      <c r="AK1037" s="254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75" t="s">
        <v>852</v>
      </c>
      <c r="B1040" s="2375"/>
      <c r="C1040" s="2375"/>
      <c r="D1040" s="2375"/>
      <c r="E1040" s="2375"/>
      <c r="F1040" s="2375"/>
      <c r="G1040" s="2375"/>
      <c r="H1040" s="2375"/>
      <c r="I1040" s="2375"/>
      <c r="J1040" s="2375"/>
      <c r="K1040" s="2375"/>
      <c r="L1040" s="2375"/>
      <c r="M1040" s="2375"/>
      <c r="N1040" s="2375"/>
      <c r="O1040" s="2375"/>
      <c r="P1040" s="2375"/>
      <c r="Q1040" s="2375"/>
      <c r="R1040" s="2375"/>
      <c r="S1040" s="2375"/>
      <c r="T1040" s="2375"/>
      <c r="U1040" s="2375"/>
      <c r="V1040" s="2375"/>
      <c r="W1040" s="2375"/>
      <c r="X1040" s="2375"/>
      <c r="Y1040" s="2375"/>
      <c r="Z1040" s="2375"/>
      <c r="AA1040" s="2375"/>
      <c r="AB1040" s="2375"/>
      <c r="AC1040" s="2375"/>
      <c r="AD1040" s="2375"/>
      <c r="AE1040" s="2375"/>
      <c r="AF1040" s="2375"/>
      <c r="AG1040" s="2375"/>
      <c r="AH1040" s="2375"/>
      <c r="AI1040" s="2375"/>
      <c r="AJ1040" s="2375"/>
      <c r="AK1040" s="2375"/>
      <c r="AL1040" s="2375"/>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6" t="s">
        <v>626</v>
      </c>
      <c r="B1044" s="2046"/>
      <c r="C1044" s="13">
        <v>1</v>
      </c>
      <c r="D1044" s="1911" t="s">
        <v>1222</v>
      </c>
      <c r="E1044" s="1911"/>
      <c r="F1044" s="1911"/>
      <c r="G1044" s="1911"/>
      <c r="H1044" s="1911"/>
      <c r="I1044" s="1911"/>
      <c r="J1044" s="1911"/>
      <c r="K1044" s="1911"/>
      <c r="L1044" s="1911"/>
      <c r="M1044" s="1911"/>
      <c r="N1044" s="1911"/>
      <c r="O1044" s="1911"/>
      <c r="P1044" s="1911"/>
      <c r="Q1044" s="1911"/>
      <c r="R1044" s="1911"/>
      <c r="S1044" s="1911"/>
      <c r="T1044" s="1911"/>
      <c r="U1044" s="1911"/>
      <c r="V1044" s="1911"/>
      <c r="W1044" s="1911"/>
      <c r="X1044" s="1911"/>
      <c r="Y1044" s="1911"/>
      <c r="Z1044" s="1911"/>
      <c r="AA1044" s="1911"/>
      <c r="AB1044" s="1911"/>
      <c r="AC1044" s="1911"/>
      <c r="AD1044" s="1911"/>
      <c r="AE1044" s="1911"/>
      <c r="AF1044" s="1911"/>
      <c r="AG1044" s="1911"/>
      <c r="AH1044" s="1911"/>
      <c r="AI1044" s="1911"/>
      <c r="AJ1044" s="1911"/>
      <c r="AK1044" s="191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911"/>
      <c r="E1045" s="1911"/>
      <c r="F1045" s="1911"/>
      <c r="G1045" s="1911"/>
      <c r="H1045" s="1911"/>
      <c r="I1045" s="1911"/>
      <c r="J1045" s="1911"/>
      <c r="K1045" s="1911"/>
      <c r="L1045" s="1911"/>
      <c r="M1045" s="1911"/>
      <c r="N1045" s="1911"/>
      <c r="O1045" s="1911"/>
      <c r="P1045" s="1911"/>
      <c r="Q1045" s="1911"/>
      <c r="R1045" s="1911"/>
      <c r="S1045" s="1911"/>
      <c r="T1045" s="1911"/>
      <c r="U1045" s="1911"/>
      <c r="V1045" s="1911"/>
      <c r="W1045" s="1911"/>
      <c r="X1045" s="1911"/>
      <c r="Y1045" s="1911"/>
      <c r="Z1045" s="1911"/>
      <c r="AA1045" s="1911"/>
      <c r="AB1045" s="1911"/>
      <c r="AC1045" s="1911"/>
      <c r="AD1045" s="1911"/>
      <c r="AE1045" s="1911"/>
      <c r="AF1045" s="1911"/>
      <c r="AG1045" s="1911"/>
      <c r="AH1045" s="1911"/>
      <c r="AI1045" s="1911"/>
      <c r="AJ1045" s="1911"/>
      <c r="AK1045" s="191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911"/>
      <c r="E1046" s="1911"/>
      <c r="F1046" s="1911"/>
      <c r="G1046" s="1911"/>
      <c r="H1046" s="1911"/>
      <c r="I1046" s="1911"/>
      <c r="J1046" s="1911"/>
      <c r="K1046" s="1911"/>
      <c r="L1046" s="1911"/>
      <c r="M1046" s="1911"/>
      <c r="N1046" s="1911"/>
      <c r="O1046" s="1911"/>
      <c r="P1046" s="1911"/>
      <c r="Q1046" s="1911"/>
      <c r="R1046" s="1911"/>
      <c r="S1046" s="1911"/>
      <c r="T1046" s="1911"/>
      <c r="U1046" s="1911"/>
      <c r="V1046" s="1911"/>
      <c r="W1046" s="1911"/>
      <c r="X1046" s="1911"/>
      <c r="Y1046" s="1911"/>
      <c r="Z1046" s="1911"/>
      <c r="AA1046" s="1911"/>
      <c r="AB1046" s="1911"/>
      <c r="AC1046" s="1911"/>
      <c r="AD1046" s="1911"/>
      <c r="AE1046" s="1911"/>
      <c r="AF1046" s="1911"/>
      <c r="AG1046" s="1911"/>
      <c r="AH1046" s="1911"/>
      <c r="AI1046" s="1911"/>
      <c r="AJ1046" s="1911"/>
      <c r="AK1046" s="191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911"/>
      <c r="E1047" s="1911"/>
      <c r="F1047" s="1911"/>
      <c r="G1047" s="1911"/>
      <c r="H1047" s="1911"/>
      <c r="I1047" s="1911"/>
      <c r="J1047" s="1911"/>
      <c r="K1047" s="1911"/>
      <c r="L1047" s="1911"/>
      <c r="M1047" s="1911"/>
      <c r="N1047" s="1911"/>
      <c r="O1047" s="1911"/>
      <c r="P1047" s="1911"/>
      <c r="Q1047" s="1911"/>
      <c r="R1047" s="1911"/>
      <c r="S1047" s="1911"/>
      <c r="T1047" s="1911"/>
      <c r="U1047" s="1911"/>
      <c r="V1047" s="1911"/>
      <c r="W1047" s="1911"/>
      <c r="X1047" s="1911"/>
      <c r="Y1047" s="1911"/>
      <c r="Z1047" s="1911"/>
      <c r="AA1047" s="1911"/>
      <c r="AB1047" s="1911"/>
      <c r="AC1047" s="1911"/>
      <c r="AD1047" s="1911"/>
      <c r="AE1047" s="1911"/>
      <c r="AF1047" s="1911"/>
      <c r="AG1047" s="1911"/>
      <c r="AH1047" s="1911"/>
      <c r="AI1047" s="1911"/>
      <c r="AJ1047" s="1911"/>
      <c r="AK1047" s="191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911"/>
      <c r="E1048" s="1911"/>
      <c r="F1048" s="1911"/>
      <c r="G1048" s="1911"/>
      <c r="H1048" s="1911"/>
      <c r="I1048" s="1911"/>
      <c r="J1048" s="1911"/>
      <c r="K1048" s="1911"/>
      <c r="L1048" s="1911"/>
      <c r="M1048" s="1911"/>
      <c r="N1048" s="1911"/>
      <c r="O1048" s="1911"/>
      <c r="P1048" s="1911"/>
      <c r="Q1048" s="1911"/>
      <c r="R1048" s="1911"/>
      <c r="S1048" s="1911"/>
      <c r="T1048" s="1911"/>
      <c r="U1048" s="1911"/>
      <c r="V1048" s="1911"/>
      <c r="W1048" s="1911"/>
      <c r="X1048" s="1911"/>
      <c r="Y1048" s="1911"/>
      <c r="Z1048" s="1911"/>
      <c r="AA1048" s="1911"/>
      <c r="AB1048" s="1911"/>
      <c r="AC1048" s="1911"/>
      <c r="AD1048" s="1911"/>
      <c r="AE1048" s="1911"/>
      <c r="AF1048" s="1911"/>
      <c r="AG1048" s="1911"/>
      <c r="AH1048" s="1911"/>
      <c r="AI1048" s="1911"/>
      <c r="AJ1048" s="1911"/>
      <c r="AK1048" s="191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911"/>
      <c r="E1049" s="1911"/>
      <c r="F1049" s="1911"/>
      <c r="G1049" s="1911"/>
      <c r="H1049" s="1911"/>
      <c r="I1049" s="1911"/>
      <c r="J1049" s="1911"/>
      <c r="K1049" s="1911"/>
      <c r="L1049" s="1911"/>
      <c r="M1049" s="1911"/>
      <c r="N1049" s="1911"/>
      <c r="O1049" s="1911"/>
      <c r="P1049" s="1911"/>
      <c r="Q1049" s="1911"/>
      <c r="R1049" s="1911"/>
      <c r="S1049" s="1911"/>
      <c r="T1049" s="1911"/>
      <c r="U1049" s="1911"/>
      <c r="V1049" s="1911"/>
      <c r="W1049" s="1911"/>
      <c r="X1049" s="1911"/>
      <c r="Y1049" s="1911"/>
      <c r="Z1049" s="1911"/>
      <c r="AA1049" s="1911"/>
      <c r="AB1049" s="1911"/>
      <c r="AC1049" s="1911"/>
      <c r="AD1049" s="1911"/>
      <c r="AE1049" s="1911"/>
      <c r="AF1049" s="1911"/>
      <c r="AG1049" s="1911"/>
      <c r="AH1049" s="1911"/>
      <c r="AI1049" s="1911"/>
      <c r="AJ1049" s="1911"/>
      <c r="AK1049" s="191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46" t="s">
        <v>626</v>
      </c>
      <c r="B1050" s="2046"/>
      <c r="C1050" s="13">
        <v>2</v>
      </c>
      <c r="D1050" s="1911" t="s">
        <v>1221</v>
      </c>
      <c r="E1050" s="1911"/>
      <c r="F1050" s="1911"/>
      <c r="G1050" s="1911"/>
      <c r="H1050" s="1911"/>
      <c r="I1050" s="1911"/>
      <c r="J1050" s="1911"/>
      <c r="K1050" s="1911"/>
      <c r="L1050" s="1911"/>
      <c r="M1050" s="1911"/>
      <c r="N1050" s="1911"/>
      <c r="O1050" s="1911"/>
      <c r="P1050" s="1911"/>
      <c r="Q1050" s="1911"/>
      <c r="R1050" s="1911"/>
      <c r="S1050" s="1911"/>
      <c r="T1050" s="1911"/>
      <c r="U1050" s="1911"/>
      <c r="V1050" s="1911"/>
      <c r="W1050" s="1911"/>
      <c r="X1050" s="1911"/>
      <c r="Y1050" s="1911"/>
      <c r="Z1050" s="1911"/>
      <c r="AA1050" s="1911"/>
      <c r="AB1050" s="1911"/>
      <c r="AC1050" s="1911"/>
      <c r="AD1050" s="1911"/>
      <c r="AE1050" s="1911"/>
      <c r="AF1050" s="1911"/>
      <c r="AG1050" s="1911"/>
      <c r="AH1050" s="1911"/>
      <c r="AI1050" s="1911"/>
      <c r="AJ1050" s="1911"/>
      <c r="AK1050" s="191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911"/>
      <c r="E1051" s="1911"/>
      <c r="F1051" s="1911"/>
      <c r="G1051" s="1911"/>
      <c r="H1051" s="1911"/>
      <c r="I1051" s="1911"/>
      <c r="J1051" s="1911"/>
      <c r="K1051" s="1911"/>
      <c r="L1051" s="1911"/>
      <c r="M1051" s="1911"/>
      <c r="N1051" s="1911"/>
      <c r="O1051" s="1911"/>
      <c r="P1051" s="1911"/>
      <c r="Q1051" s="1911"/>
      <c r="R1051" s="1911"/>
      <c r="S1051" s="1911"/>
      <c r="T1051" s="1911"/>
      <c r="U1051" s="1911"/>
      <c r="V1051" s="1911"/>
      <c r="W1051" s="1911"/>
      <c r="X1051" s="1911"/>
      <c r="Y1051" s="1911"/>
      <c r="Z1051" s="1911"/>
      <c r="AA1051" s="1911"/>
      <c r="AB1051" s="1911"/>
      <c r="AC1051" s="1911"/>
      <c r="AD1051" s="1911"/>
      <c r="AE1051" s="1911"/>
      <c r="AF1051" s="1911"/>
      <c r="AG1051" s="1911"/>
      <c r="AH1051" s="1911"/>
      <c r="AI1051" s="1911"/>
      <c r="AJ1051" s="1911"/>
      <c r="AK1051" s="191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911"/>
      <c r="E1052" s="1911"/>
      <c r="F1052" s="1911"/>
      <c r="G1052" s="1911"/>
      <c r="H1052" s="1911"/>
      <c r="I1052" s="1911"/>
      <c r="J1052" s="1911"/>
      <c r="K1052" s="1911"/>
      <c r="L1052" s="1911"/>
      <c r="M1052" s="1911"/>
      <c r="N1052" s="1911"/>
      <c r="O1052" s="1911"/>
      <c r="P1052" s="1911"/>
      <c r="Q1052" s="1911"/>
      <c r="R1052" s="1911"/>
      <c r="S1052" s="1911"/>
      <c r="T1052" s="1911"/>
      <c r="U1052" s="1911"/>
      <c r="V1052" s="1911"/>
      <c r="W1052" s="1911"/>
      <c r="X1052" s="1911"/>
      <c r="Y1052" s="1911"/>
      <c r="Z1052" s="1911"/>
      <c r="AA1052" s="1911"/>
      <c r="AB1052" s="1911"/>
      <c r="AC1052" s="1911"/>
      <c r="AD1052" s="1911"/>
      <c r="AE1052" s="1911"/>
      <c r="AF1052" s="1911"/>
      <c r="AG1052" s="1911"/>
      <c r="AH1052" s="1911"/>
      <c r="AI1052" s="1911"/>
      <c r="AJ1052" s="1911"/>
      <c r="AK1052" s="191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911"/>
      <c r="E1053" s="1911"/>
      <c r="F1053" s="1911"/>
      <c r="G1053" s="1911"/>
      <c r="H1053" s="1911"/>
      <c r="I1053" s="1911"/>
      <c r="J1053" s="1911"/>
      <c r="K1053" s="1911"/>
      <c r="L1053" s="1911"/>
      <c r="M1053" s="1911"/>
      <c r="N1053" s="1911"/>
      <c r="O1053" s="1911"/>
      <c r="P1053" s="1911"/>
      <c r="Q1053" s="1911"/>
      <c r="R1053" s="1911"/>
      <c r="S1053" s="1911"/>
      <c r="T1053" s="1911"/>
      <c r="U1053" s="1911"/>
      <c r="V1053" s="1911"/>
      <c r="W1053" s="1911"/>
      <c r="X1053" s="1911"/>
      <c r="Y1053" s="1911"/>
      <c r="Z1053" s="1911"/>
      <c r="AA1053" s="1911"/>
      <c r="AB1053" s="1911"/>
      <c r="AC1053" s="1911"/>
      <c r="AD1053" s="1911"/>
      <c r="AE1053" s="1911"/>
      <c r="AF1053" s="1911"/>
      <c r="AG1053" s="1911"/>
      <c r="AH1053" s="1911"/>
      <c r="AI1053" s="1911"/>
      <c r="AJ1053" s="1911"/>
      <c r="AK1053" s="191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911"/>
      <c r="E1054" s="1911"/>
      <c r="F1054" s="1911"/>
      <c r="G1054" s="1911"/>
      <c r="H1054" s="1911"/>
      <c r="I1054" s="1911"/>
      <c r="J1054" s="1911"/>
      <c r="K1054" s="1911"/>
      <c r="L1054" s="1911"/>
      <c r="M1054" s="1911"/>
      <c r="N1054" s="1911"/>
      <c r="O1054" s="1911"/>
      <c r="P1054" s="1911"/>
      <c r="Q1054" s="1911"/>
      <c r="R1054" s="1911"/>
      <c r="S1054" s="1911"/>
      <c r="T1054" s="1911"/>
      <c r="U1054" s="1911"/>
      <c r="V1054" s="1911"/>
      <c r="W1054" s="1911"/>
      <c r="X1054" s="1911"/>
      <c r="Y1054" s="1911"/>
      <c r="Z1054" s="1911"/>
      <c r="AA1054" s="1911"/>
      <c r="AB1054" s="1911"/>
      <c r="AC1054" s="1911"/>
      <c r="AD1054" s="1911"/>
      <c r="AE1054" s="1911"/>
      <c r="AF1054" s="1911"/>
      <c r="AG1054" s="1911"/>
      <c r="AH1054" s="1911"/>
      <c r="AI1054" s="1911"/>
      <c r="AJ1054" s="1911"/>
      <c r="AK1054" s="191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911"/>
      <c r="E1055" s="1911"/>
      <c r="F1055" s="1911"/>
      <c r="G1055" s="1911"/>
      <c r="H1055" s="1911"/>
      <c r="I1055" s="1911"/>
      <c r="J1055" s="1911"/>
      <c r="K1055" s="1911"/>
      <c r="L1055" s="1911"/>
      <c r="M1055" s="1911"/>
      <c r="N1055" s="1911"/>
      <c r="O1055" s="1911"/>
      <c r="P1055" s="1911"/>
      <c r="Q1055" s="1911"/>
      <c r="R1055" s="1911"/>
      <c r="S1055" s="1911"/>
      <c r="T1055" s="1911"/>
      <c r="U1055" s="1911"/>
      <c r="V1055" s="1911"/>
      <c r="W1055" s="1911"/>
      <c r="X1055" s="1911"/>
      <c r="Y1055" s="1911"/>
      <c r="Z1055" s="1911"/>
      <c r="AA1055" s="1911"/>
      <c r="AB1055" s="1911"/>
      <c r="AC1055" s="1911"/>
      <c r="AD1055" s="1911"/>
      <c r="AE1055" s="1911"/>
      <c r="AF1055" s="1911"/>
      <c r="AG1055" s="1911"/>
      <c r="AH1055" s="1911"/>
      <c r="AI1055" s="1911"/>
      <c r="AJ1055" s="1911"/>
      <c r="AK1055" s="1911"/>
    </row>
    <row r="1056" spans="1:51" ht="12.65" customHeight="1">
      <c r="A1056" s="2046" t="s">
        <v>626</v>
      </c>
      <c r="B1056" s="2046"/>
      <c r="C1056" s="13">
        <v>3</v>
      </c>
      <c r="D1056" s="1911" t="s">
        <v>1527</v>
      </c>
      <c r="E1056" s="1911"/>
      <c r="F1056" s="1911"/>
      <c r="G1056" s="1911"/>
      <c r="H1056" s="1911"/>
      <c r="I1056" s="1911"/>
      <c r="J1056" s="1911"/>
      <c r="K1056" s="1911"/>
      <c r="L1056" s="1911"/>
      <c r="M1056" s="1911"/>
      <c r="N1056" s="1911"/>
      <c r="O1056" s="1911"/>
      <c r="P1056" s="1911"/>
      <c r="Q1056" s="1911"/>
      <c r="R1056" s="1911"/>
      <c r="S1056" s="1911"/>
      <c r="T1056" s="1911"/>
      <c r="U1056" s="1911"/>
      <c r="V1056" s="1911"/>
      <c r="W1056" s="1911"/>
      <c r="X1056" s="1911"/>
      <c r="Y1056" s="1911"/>
      <c r="Z1056" s="1911"/>
      <c r="AA1056" s="1911"/>
      <c r="AB1056" s="1911"/>
      <c r="AC1056" s="1911"/>
      <c r="AD1056" s="1911"/>
      <c r="AE1056" s="1911"/>
      <c r="AF1056" s="1911"/>
      <c r="AG1056" s="1911"/>
      <c r="AH1056" s="1911"/>
      <c r="AI1056" s="1911"/>
      <c r="AJ1056" s="1911"/>
      <c r="AK1056" s="1911"/>
    </row>
    <row r="1057" spans="1:96" ht="12.65" customHeight="1">
      <c r="A1057" s="130"/>
      <c r="B1057" s="130"/>
      <c r="C1057" s="13"/>
      <c r="D1057" s="1911"/>
      <c r="E1057" s="1911"/>
      <c r="F1057" s="1911"/>
      <c r="G1057" s="1911"/>
      <c r="H1057" s="1911"/>
      <c r="I1057" s="1911"/>
      <c r="J1057" s="1911"/>
      <c r="K1057" s="1911"/>
      <c r="L1057" s="1911"/>
      <c r="M1057" s="1911"/>
      <c r="N1057" s="1911"/>
      <c r="O1057" s="1911"/>
      <c r="P1057" s="1911"/>
      <c r="Q1057" s="1911"/>
      <c r="R1057" s="1911"/>
      <c r="S1057" s="1911"/>
      <c r="T1057" s="1911"/>
      <c r="U1057" s="1911"/>
      <c r="V1057" s="1911"/>
      <c r="W1057" s="1911"/>
      <c r="X1057" s="1911"/>
      <c r="Y1057" s="1911"/>
      <c r="Z1057" s="1911"/>
      <c r="AA1057" s="1911"/>
      <c r="AB1057" s="1911"/>
      <c r="AC1057" s="1911"/>
      <c r="AD1057" s="1911"/>
      <c r="AE1057" s="1911"/>
      <c r="AF1057" s="1911"/>
      <c r="AG1057" s="1911"/>
      <c r="AH1057" s="1911"/>
      <c r="AI1057" s="1911"/>
      <c r="AJ1057" s="1911"/>
      <c r="AK1057" s="1911"/>
      <c r="AL1057" s="719"/>
    </row>
    <row r="1058" spans="1:96" ht="12.65" customHeight="1">
      <c r="A1058" s="130"/>
      <c r="B1058" s="130"/>
      <c r="C1058" s="13"/>
      <c r="D1058" s="1911"/>
      <c r="E1058" s="1911"/>
      <c r="F1058" s="1911"/>
      <c r="G1058" s="1911"/>
      <c r="H1058" s="1911"/>
      <c r="I1058" s="1911"/>
      <c r="J1058" s="1911"/>
      <c r="K1058" s="1911"/>
      <c r="L1058" s="1911"/>
      <c r="M1058" s="1911"/>
      <c r="N1058" s="1911"/>
      <c r="O1058" s="1911"/>
      <c r="P1058" s="1911"/>
      <c r="Q1058" s="1911"/>
      <c r="R1058" s="1911"/>
      <c r="S1058" s="1911"/>
      <c r="T1058" s="1911"/>
      <c r="U1058" s="1911"/>
      <c r="V1058" s="1911"/>
      <c r="W1058" s="1911"/>
      <c r="X1058" s="1911"/>
      <c r="Y1058" s="1911"/>
      <c r="Z1058" s="1911"/>
      <c r="AA1058" s="1911"/>
      <c r="AB1058" s="1911"/>
      <c r="AC1058" s="1911"/>
      <c r="AD1058" s="1911"/>
      <c r="AE1058" s="1911"/>
      <c r="AF1058" s="1911"/>
      <c r="AG1058" s="1911"/>
      <c r="AH1058" s="1911"/>
      <c r="AI1058" s="1911"/>
      <c r="AJ1058" s="1911"/>
      <c r="AK1058" s="1911"/>
    </row>
    <row r="1059" spans="1:96" s="719" customFormat="1" ht="12.65" customHeight="1">
      <c r="A1059" s="62"/>
      <c r="B1059" s="66"/>
      <c r="C1059" s="13"/>
      <c r="D1059" s="1911"/>
      <c r="E1059" s="1911"/>
      <c r="F1059" s="1911"/>
      <c r="G1059" s="1911"/>
      <c r="H1059" s="1911"/>
      <c r="I1059" s="1911"/>
      <c r="J1059" s="1911"/>
      <c r="K1059" s="1911"/>
      <c r="L1059" s="1911"/>
      <c r="M1059" s="1911"/>
      <c r="N1059" s="1911"/>
      <c r="O1059" s="1911"/>
      <c r="P1059" s="1911"/>
      <c r="Q1059" s="1911"/>
      <c r="R1059" s="1911"/>
      <c r="S1059" s="1911"/>
      <c r="T1059" s="1911"/>
      <c r="U1059" s="1911"/>
      <c r="V1059" s="1911"/>
      <c r="W1059" s="1911"/>
      <c r="X1059" s="1911"/>
      <c r="Y1059" s="1911"/>
      <c r="Z1059" s="1911"/>
      <c r="AA1059" s="1911"/>
      <c r="AB1059" s="1911"/>
      <c r="AC1059" s="1911"/>
      <c r="AD1059" s="1911"/>
      <c r="AE1059" s="1911"/>
      <c r="AF1059" s="1911"/>
      <c r="AG1059" s="1911"/>
      <c r="AH1059" s="1911"/>
      <c r="AI1059" s="1911"/>
      <c r="AJ1059" s="1911"/>
      <c r="AK1059" s="191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11"/>
      <c r="E1060" s="1911"/>
      <c r="F1060" s="1911"/>
      <c r="G1060" s="1911"/>
      <c r="H1060" s="1911"/>
      <c r="I1060" s="1911"/>
      <c r="J1060" s="1911"/>
      <c r="K1060" s="1911"/>
      <c r="L1060" s="1911"/>
      <c r="M1060" s="1911"/>
      <c r="N1060" s="1911"/>
      <c r="O1060" s="1911"/>
      <c r="P1060" s="1911"/>
      <c r="Q1060" s="1911"/>
      <c r="R1060" s="1911"/>
      <c r="S1060" s="1911"/>
      <c r="T1060" s="1911"/>
      <c r="U1060" s="1911"/>
      <c r="V1060" s="1911"/>
      <c r="W1060" s="1911"/>
      <c r="X1060" s="1911"/>
      <c r="Y1060" s="1911"/>
      <c r="Z1060" s="1911"/>
      <c r="AA1060" s="1911"/>
      <c r="AB1060" s="1911"/>
      <c r="AC1060" s="1911"/>
      <c r="AD1060" s="1911"/>
      <c r="AE1060" s="1911"/>
      <c r="AF1060" s="1911"/>
      <c r="AG1060" s="1911"/>
      <c r="AH1060" s="1911"/>
      <c r="AI1060" s="1911"/>
      <c r="AJ1060" s="1911"/>
      <c r="AK1060" s="1911"/>
    </row>
    <row r="1061" spans="1:96" ht="12.65" customHeight="1">
      <c r="A1061" s="62"/>
      <c r="B1061" s="66"/>
      <c r="C1061" s="13"/>
      <c r="D1061" s="1911"/>
      <c r="E1061" s="1911"/>
      <c r="F1061" s="1911"/>
      <c r="G1061" s="1911"/>
      <c r="H1061" s="1911"/>
      <c r="I1061" s="1911"/>
      <c r="J1061" s="1911"/>
      <c r="K1061" s="1911"/>
      <c r="L1061" s="1911"/>
      <c r="M1061" s="1911"/>
      <c r="N1061" s="1911"/>
      <c r="O1061" s="1911"/>
      <c r="P1061" s="1911"/>
      <c r="Q1061" s="1911"/>
      <c r="R1061" s="1911"/>
      <c r="S1061" s="1911"/>
      <c r="T1061" s="1911"/>
      <c r="U1061" s="1911"/>
      <c r="V1061" s="1911"/>
      <c r="W1061" s="1911"/>
      <c r="X1061" s="1911"/>
      <c r="Y1061" s="1911"/>
      <c r="Z1061" s="1911"/>
      <c r="AA1061" s="1911"/>
      <c r="AB1061" s="1911"/>
      <c r="AC1061" s="1911"/>
      <c r="AD1061" s="1911"/>
      <c r="AE1061" s="1911"/>
      <c r="AF1061" s="1911"/>
      <c r="AG1061" s="1911"/>
      <c r="AH1061" s="1911"/>
      <c r="AI1061" s="1911"/>
      <c r="AJ1061" s="1911"/>
      <c r="AK1061" s="1911"/>
    </row>
    <row r="1062" spans="1:96" ht="12.65" customHeight="1">
      <c r="A1062" s="62"/>
      <c r="B1062" s="66"/>
      <c r="C1062" s="13"/>
      <c r="D1062" s="1911"/>
      <c r="E1062" s="1911"/>
      <c r="F1062" s="1911"/>
      <c r="G1062" s="1911"/>
      <c r="H1062" s="1911"/>
      <c r="I1062" s="1911"/>
      <c r="J1062" s="1911"/>
      <c r="K1062" s="1911"/>
      <c r="L1062" s="1911"/>
      <c r="M1062" s="1911"/>
      <c r="N1062" s="1911"/>
      <c r="O1062" s="1911"/>
      <c r="P1062" s="1911"/>
      <c r="Q1062" s="1911"/>
      <c r="R1062" s="1911"/>
      <c r="S1062" s="1911"/>
      <c r="T1062" s="1911"/>
      <c r="U1062" s="1911"/>
      <c r="V1062" s="1911"/>
      <c r="W1062" s="1911"/>
      <c r="X1062" s="1911"/>
      <c r="Y1062" s="1911"/>
      <c r="Z1062" s="1911"/>
      <c r="AA1062" s="1911"/>
      <c r="AB1062" s="1911"/>
      <c r="AC1062" s="1911"/>
      <c r="AD1062" s="1911"/>
      <c r="AE1062" s="1911"/>
      <c r="AF1062" s="1911"/>
      <c r="AG1062" s="1911"/>
      <c r="AH1062" s="1911"/>
      <c r="AI1062" s="1911"/>
      <c r="AJ1062" s="1911"/>
      <c r="AK1062" s="1911"/>
    </row>
    <row r="1063" spans="1:96" ht="12.65" customHeight="1">
      <c r="A1063" s="2046" t="s">
        <v>626</v>
      </c>
      <c r="B1063" s="2046"/>
      <c r="C1063" s="13">
        <v>4</v>
      </c>
      <c r="D1063" s="1911" t="s">
        <v>1207</v>
      </c>
      <c r="E1063" s="1911"/>
      <c r="F1063" s="1911"/>
      <c r="G1063" s="1911"/>
      <c r="H1063" s="1911"/>
      <c r="I1063" s="1911"/>
      <c r="J1063" s="1911"/>
      <c r="K1063" s="1911"/>
      <c r="L1063" s="1911"/>
      <c r="M1063" s="1911"/>
      <c r="N1063" s="1911"/>
      <c r="O1063" s="1911"/>
      <c r="P1063" s="1911"/>
      <c r="Q1063" s="1911"/>
      <c r="R1063" s="1911"/>
      <c r="S1063" s="1911"/>
      <c r="T1063" s="1911"/>
      <c r="U1063" s="1911"/>
      <c r="V1063" s="1911"/>
      <c r="W1063" s="1911"/>
      <c r="X1063" s="1911"/>
      <c r="Y1063" s="1911"/>
      <c r="Z1063" s="1911"/>
      <c r="AA1063" s="1911"/>
      <c r="AB1063" s="1911"/>
      <c r="AC1063" s="1911"/>
      <c r="AD1063" s="1911"/>
      <c r="AE1063" s="1911"/>
      <c r="AF1063" s="1911"/>
      <c r="AG1063" s="1911"/>
      <c r="AH1063" s="1911"/>
      <c r="AI1063" s="1911"/>
      <c r="AJ1063" s="1911"/>
      <c r="AK1063" s="1911"/>
    </row>
    <row r="1064" spans="1:96" ht="12.65" customHeight="1">
      <c r="A1064" s="235"/>
      <c r="B1064" s="235"/>
      <c r="C1064" s="13"/>
      <c r="D1064" s="1911"/>
      <c r="E1064" s="1911"/>
      <c r="F1064" s="1911"/>
      <c r="G1064" s="1911"/>
      <c r="H1064" s="1911"/>
      <c r="I1064" s="1911"/>
      <c r="J1064" s="1911"/>
      <c r="K1064" s="1911"/>
      <c r="L1064" s="1911"/>
      <c r="M1064" s="1911"/>
      <c r="N1064" s="1911"/>
      <c r="O1064" s="1911"/>
      <c r="P1064" s="1911"/>
      <c r="Q1064" s="1911"/>
      <c r="R1064" s="1911"/>
      <c r="S1064" s="1911"/>
      <c r="T1064" s="1911"/>
      <c r="U1064" s="1911"/>
      <c r="V1064" s="1911"/>
      <c r="W1064" s="1911"/>
      <c r="X1064" s="1911"/>
      <c r="Y1064" s="1911"/>
      <c r="Z1064" s="1911"/>
      <c r="AA1064" s="1911"/>
      <c r="AB1064" s="1911"/>
      <c r="AC1064" s="1911"/>
      <c r="AD1064" s="1911"/>
      <c r="AE1064" s="1911"/>
      <c r="AF1064" s="1911"/>
      <c r="AG1064" s="1911"/>
      <c r="AH1064" s="1911"/>
      <c r="AI1064" s="1911"/>
      <c r="AJ1064" s="1911"/>
      <c r="AK1064" s="1911"/>
    </row>
    <row r="1065" spans="1:96" ht="12.65" customHeight="1">
      <c r="A1065" s="62"/>
      <c r="B1065" s="66"/>
      <c r="C1065" s="13"/>
      <c r="D1065" s="1911"/>
      <c r="E1065" s="1911"/>
      <c r="F1065" s="1911"/>
      <c r="G1065" s="1911"/>
      <c r="H1065" s="1911"/>
      <c r="I1065" s="1911"/>
      <c r="J1065" s="1911"/>
      <c r="K1065" s="1911"/>
      <c r="L1065" s="1911"/>
      <c r="M1065" s="1911"/>
      <c r="N1065" s="1911"/>
      <c r="O1065" s="1911"/>
      <c r="P1065" s="1911"/>
      <c r="Q1065" s="1911"/>
      <c r="R1065" s="1911"/>
      <c r="S1065" s="1911"/>
      <c r="T1065" s="1911"/>
      <c r="U1065" s="1911"/>
      <c r="V1065" s="1911"/>
      <c r="W1065" s="1911"/>
      <c r="X1065" s="1911"/>
      <c r="Y1065" s="1911"/>
      <c r="Z1065" s="1911"/>
      <c r="AA1065" s="1911"/>
      <c r="AB1065" s="1911"/>
      <c r="AC1065" s="1911"/>
      <c r="AD1065" s="1911"/>
      <c r="AE1065" s="1911"/>
      <c r="AF1065" s="1911"/>
      <c r="AG1065" s="1911"/>
      <c r="AH1065" s="1911"/>
      <c r="AI1065" s="1911"/>
      <c r="AJ1065" s="1911"/>
      <c r="AK1065" s="1911"/>
    </row>
    <row r="1066" spans="1:96" s="682" customFormat="1" ht="12.65" customHeight="1">
      <c r="A1066" s="2046" t="s">
        <v>626</v>
      </c>
      <c r="B1066" s="2046"/>
      <c r="C1066" s="13">
        <v>5</v>
      </c>
      <c r="D1066" s="1911" t="s">
        <v>1416</v>
      </c>
      <c r="E1066" s="1911"/>
      <c r="F1066" s="1911"/>
      <c r="G1066" s="1911"/>
      <c r="H1066" s="1911"/>
      <c r="I1066" s="1911"/>
      <c r="J1066" s="1911"/>
      <c r="K1066" s="1911"/>
      <c r="L1066" s="1911"/>
      <c r="M1066" s="1911"/>
      <c r="N1066" s="1911"/>
      <c r="O1066" s="1911"/>
      <c r="P1066" s="1911"/>
      <c r="Q1066" s="1911"/>
      <c r="R1066" s="1911"/>
      <c r="S1066" s="1911"/>
      <c r="T1066" s="1911"/>
      <c r="U1066" s="1911"/>
      <c r="V1066" s="1911"/>
      <c r="W1066" s="1911"/>
      <c r="X1066" s="1911"/>
      <c r="Y1066" s="1911"/>
      <c r="Z1066" s="1911"/>
      <c r="AA1066" s="1911"/>
      <c r="AB1066" s="1911"/>
      <c r="AC1066" s="1911"/>
      <c r="AD1066" s="1911"/>
      <c r="AE1066" s="1911"/>
      <c r="AF1066" s="1911"/>
      <c r="AG1066" s="1911"/>
      <c r="AH1066" s="1911"/>
      <c r="AI1066" s="1911"/>
      <c r="AJ1066" s="1911"/>
      <c r="AK1066" s="191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11"/>
      <c r="E1067" s="1911"/>
      <c r="F1067" s="1911"/>
      <c r="G1067" s="1911"/>
      <c r="H1067" s="1911"/>
      <c r="I1067" s="1911"/>
      <c r="J1067" s="1911"/>
      <c r="K1067" s="1911"/>
      <c r="L1067" s="1911"/>
      <c r="M1067" s="1911"/>
      <c r="N1067" s="1911"/>
      <c r="O1067" s="1911"/>
      <c r="P1067" s="1911"/>
      <c r="Q1067" s="1911"/>
      <c r="R1067" s="1911"/>
      <c r="S1067" s="1911"/>
      <c r="T1067" s="1911"/>
      <c r="U1067" s="1911"/>
      <c r="V1067" s="1911"/>
      <c r="W1067" s="1911"/>
      <c r="X1067" s="1911"/>
      <c r="Y1067" s="1911"/>
      <c r="Z1067" s="1911"/>
      <c r="AA1067" s="1911"/>
      <c r="AB1067" s="1911"/>
      <c r="AC1067" s="1911"/>
      <c r="AD1067" s="1911"/>
      <c r="AE1067" s="1911"/>
      <c r="AF1067" s="1911"/>
      <c r="AG1067" s="1911"/>
      <c r="AH1067" s="1911"/>
      <c r="AI1067" s="1911"/>
      <c r="AJ1067" s="1911"/>
      <c r="AK1067" s="1911"/>
    </row>
    <row r="1068" spans="1:96" ht="12.65" customHeight="1">
      <c r="A1068" s="235"/>
      <c r="B1068" s="235"/>
      <c r="C1068" s="13"/>
      <c r="D1068" s="1911"/>
      <c r="E1068" s="1911"/>
      <c r="F1068" s="1911"/>
      <c r="G1068" s="1911"/>
      <c r="H1068" s="1911"/>
      <c r="I1068" s="1911"/>
      <c r="J1068" s="1911"/>
      <c r="K1068" s="1911"/>
      <c r="L1068" s="1911"/>
      <c r="M1068" s="1911"/>
      <c r="N1068" s="1911"/>
      <c r="O1068" s="1911"/>
      <c r="P1068" s="1911"/>
      <c r="Q1068" s="1911"/>
      <c r="R1068" s="1911"/>
      <c r="S1068" s="1911"/>
      <c r="T1068" s="1911"/>
      <c r="U1068" s="1911"/>
      <c r="V1068" s="1911"/>
      <c r="W1068" s="1911"/>
      <c r="X1068" s="1911"/>
      <c r="Y1068" s="1911"/>
      <c r="Z1068" s="1911"/>
      <c r="AA1068" s="1911"/>
      <c r="AB1068" s="1911"/>
      <c r="AC1068" s="1911"/>
      <c r="AD1068" s="1911"/>
      <c r="AE1068" s="1911"/>
      <c r="AF1068" s="1911"/>
      <c r="AG1068" s="1911"/>
      <c r="AH1068" s="1911"/>
      <c r="AI1068" s="1911"/>
      <c r="AJ1068" s="1911"/>
      <c r="AK1068" s="1911"/>
    </row>
    <row r="1069" spans="1:96" ht="12.65" customHeight="1">
      <c r="A1069" s="235"/>
      <c r="B1069" s="235"/>
      <c r="C1069" s="13"/>
      <c r="D1069" s="1911"/>
      <c r="E1069" s="1911"/>
      <c r="F1069" s="1911"/>
      <c r="G1069" s="1911"/>
      <c r="H1069" s="1911"/>
      <c r="I1069" s="1911"/>
      <c r="J1069" s="1911"/>
      <c r="K1069" s="1911"/>
      <c r="L1069" s="1911"/>
      <c r="M1069" s="1911"/>
      <c r="N1069" s="1911"/>
      <c r="O1069" s="1911"/>
      <c r="P1069" s="1911"/>
      <c r="Q1069" s="1911"/>
      <c r="R1069" s="1911"/>
      <c r="S1069" s="1911"/>
      <c r="T1069" s="1911"/>
      <c r="U1069" s="1911"/>
      <c r="V1069" s="1911"/>
      <c r="W1069" s="1911"/>
      <c r="X1069" s="1911"/>
      <c r="Y1069" s="1911"/>
      <c r="Z1069" s="1911"/>
      <c r="AA1069" s="1911"/>
      <c r="AB1069" s="1911"/>
      <c r="AC1069" s="1911"/>
      <c r="AD1069" s="1911"/>
      <c r="AE1069" s="1911"/>
      <c r="AF1069" s="1911"/>
      <c r="AG1069" s="1911"/>
      <c r="AH1069" s="1911"/>
      <c r="AI1069" s="1911"/>
      <c r="AJ1069" s="1911"/>
      <c r="AK1069" s="1911"/>
      <c r="AL1069" s="682"/>
    </row>
    <row r="1070" spans="1:96" ht="12.65" customHeight="1">
      <c r="A1070" s="62"/>
      <c r="B1070" s="66"/>
      <c r="C1070" s="13"/>
      <c r="D1070" s="1911"/>
      <c r="E1070" s="1911"/>
      <c r="F1070" s="1911"/>
      <c r="G1070" s="1911"/>
      <c r="H1070" s="1911"/>
      <c r="I1070" s="1911"/>
      <c r="J1070" s="1911"/>
      <c r="K1070" s="1911"/>
      <c r="L1070" s="1911"/>
      <c r="M1070" s="1911"/>
      <c r="N1070" s="1911"/>
      <c r="O1070" s="1911"/>
      <c r="P1070" s="1911"/>
      <c r="Q1070" s="1911"/>
      <c r="R1070" s="1911"/>
      <c r="S1070" s="1911"/>
      <c r="T1070" s="1911"/>
      <c r="U1070" s="1911"/>
      <c r="V1070" s="1911"/>
      <c r="W1070" s="1911"/>
      <c r="X1070" s="1911"/>
      <c r="Y1070" s="1911"/>
      <c r="Z1070" s="1911"/>
      <c r="AA1070" s="1911"/>
      <c r="AB1070" s="1911"/>
      <c r="AC1070" s="1911"/>
      <c r="AD1070" s="1911"/>
      <c r="AE1070" s="1911"/>
      <c r="AF1070" s="1911"/>
      <c r="AG1070" s="1911"/>
      <c r="AH1070" s="1911"/>
      <c r="AI1070" s="1911"/>
      <c r="AJ1070" s="1911"/>
      <c r="AK1070" s="1911"/>
    </row>
    <row r="1071" spans="1:96" ht="12.65" customHeight="1">
      <c r="A1071" s="2046" t="s">
        <v>626</v>
      </c>
      <c r="B1071" s="2046"/>
      <c r="C1071" s="13">
        <v>6</v>
      </c>
      <c r="D1071" s="1911" t="s">
        <v>1208</v>
      </c>
      <c r="E1071" s="1911"/>
      <c r="F1071" s="1911"/>
      <c r="G1071" s="1911"/>
      <c r="H1071" s="1911"/>
      <c r="I1071" s="1911"/>
      <c r="J1071" s="1911"/>
      <c r="K1071" s="1911"/>
      <c r="L1071" s="1911"/>
      <c r="M1071" s="1911"/>
      <c r="N1071" s="1911"/>
      <c r="O1071" s="1911"/>
      <c r="P1071" s="1911"/>
      <c r="Q1071" s="1911"/>
      <c r="R1071" s="1911"/>
      <c r="S1071" s="1911"/>
      <c r="T1071" s="1911"/>
      <c r="U1071" s="1911"/>
      <c r="V1071" s="1911"/>
      <c r="W1071" s="1911"/>
      <c r="X1071" s="1911"/>
      <c r="Y1071" s="1911"/>
      <c r="Z1071" s="1911"/>
      <c r="AA1071" s="1911"/>
      <c r="AB1071" s="1911"/>
      <c r="AC1071" s="1911"/>
      <c r="AD1071" s="1911"/>
      <c r="AE1071" s="1911"/>
      <c r="AF1071" s="1911"/>
      <c r="AG1071" s="1911"/>
      <c r="AH1071" s="1911"/>
      <c r="AI1071" s="1911"/>
      <c r="AJ1071" s="1911"/>
      <c r="AK1071" s="1911"/>
    </row>
    <row r="1072" spans="1:96" ht="12.65" customHeight="1">
      <c r="A1072" s="62"/>
      <c r="B1072" s="317"/>
      <c r="C1072" s="13"/>
      <c r="D1072" s="1911"/>
      <c r="E1072" s="1911"/>
      <c r="F1072" s="1911"/>
      <c r="G1072" s="1911"/>
      <c r="H1072" s="1911"/>
      <c r="I1072" s="1911"/>
      <c r="J1072" s="1911"/>
      <c r="K1072" s="1911"/>
      <c r="L1072" s="1911"/>
      <c r="M1072" s="1911"/>
      <c r="N1072" s="1911"/>
      <c r="O1072" s="1911"/>
      <c r="P1072" s="1911"/>
      <c r="Q1072" s="1911"/>
      <c r="R1072" s="1911"/>
      <c r="S1072" s="1911"/>
      <c r="T1072" s="1911"/>
      <c r="U1072" s="1911"/>
      <c r="V1072" s="1911"/>
      <c r="W1072" s="1911"/>
      <c r="X1072" s="1911"/>
      <c r="Y1072" s="1911"/>
      <c r="Z1072" s="1911"/>
      <c r="AA1072" s="1911"/>
      <c r="AB1072" s="1911"/>
      <c r="AC1072" s="1911"/>
      <c r="AD1072" s="1911"/>
      <c r="AE1072" s="1911"/>
      <c r="AF1072" s="1911"/>
      <c r="AG1072" s="1911"/>
      <c r="AH1072" s="1911"/>
      <c r="AI1072" s="1911"/>
      <c r="AJ1072" s="1911"/>
      <c r="AK1072" s="1911"/>
    </row>
    <row r="1073" spans="1:96" ht="12.65" customHeight="1">
      <c r="A1073" s="62"/>
      <c r="B1073" s="66"/>
      <c r="C1073" s="13"/>
      <c r="D1073" s="1911"/>
      <c r="E1073" s="1911"/>
      <c r="F1073" s="1911"/>
      <c r="G1073" s="1911"/>
      <c r="H1073" s="1911"/>
      <c r="I1073" s="1911"/>
      <c r="J1073" s="1911"/>
      <c r="K1073" s="1911"/>
      <c r="L1073" s="1911"/>
      <c r="M1073" s="1911"/>
      <c r="N1073" s="1911"/>
      <c r="O1073" s="1911"/>
      <c r="P1073" s="1911"/>
      <c r="Q1073" s="1911"/>
      <c r="R1073" s="1911"/>
      <c r="S1073" s="1911"/>
      <c r="T1073" s="1911"/>
      <c r="U1073" s="1911"/>
      <c r="V1073" s="1911"/>
      <c r="W1073" s="1911"/>
      <c r="X1073" s="1911"/>
      <c r="Y1073" s="1911"/>
      <c r="Z1073" s="1911"/>
      <c r="AA1073" s="1911"/>
      <c r="AB1073" s="1911"/>
      <c r="AC1073" s="1911"/>
      <c r="AD1073" s="1911"/>
      <c r="AE1073" s="1911"/>
      <c r="AF1073" s="1911"/>
      <c r="AG1073" s="1911"/>
      <c r="AH1073" s="1911"/>
      <c r="AI1073" s="1911"/>
      <c r="AJ1073" s="1911"/>
      <c r="AK1073" s="1911"/>
    </row>
    <row r="1074" spans="1:96" ht="12.65" customHeight="1">
      <c r="A1074" s="2046" t="s">
        <v>626</v>
      </c>
      <c r="B1074" s="2046"/>
      <c r="C1074" s="318">
        <v>7</v>
      </c>
      <c r="D1074" s="1911" t="s">
        <v>1210</v>
      </c>
      <c r="E1074" s="1911"/>
      <c r="F1074" s="1911"/>
      <c r="G1074" s="1911"/>
      <c r="H1074" s="1911"/>
      <c r="I1074" s="1911"/>
      <c r="J1074" s="1911"/>
      <c r="K1074" s="1911"/>
      <c r="L1074" s="1911"/>
      <c r="M1074" s="1911"/>
      <c r="N1074" s="1911"/>
      <c r="O1074" s="1911"/>
      <c r="P1074" s="1911"/>
      <c r="Q1074" s="1911"/>
      <c r="R1074" s="1911"/>
      <c r="S1074" s="1911"/>
      <c r="T1074" s="1911"/>
      <c r="U1074" s="1911"/>
      <c r="V1074" s="1911"/>
      <c r="W1074" s="1911"/>
      <c r="X1074" s="1911"/>
      <c r="Y1074" s="1911"/>
      <c r="Z1074" s="1911"/>
      <c r="AA1074" s="1911"/>
      <c r="AB1074" s="1911"/>
      <c r="AC1074" s="1911"/>
      <c r="AD1074" s="1911"/>
      <c r="AE1074" s="1911"/>
      <c r="AF1074" s="1911"/>
      <c r="AG1074" s="1911"/>
      <c r="AH1074" s="1911"/>
      <c r="AI1074" s="1911"/>
      <c r="AJ1074" s="1911"/>
      <c r="AK1074" s="191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911"/>
      <c r="E1075" s="1911"/>
      <c r="F1075" s="1911"/>
      <c r="G1075" s="1911"/>
      <c r="H1075" s="1911"/>
      <c r="I1075" s="1911"/>
      <c r="J1075" s="1911"/>
      <c r="K1075" s="1911"/>
      <c r="L1075" s="1911"/>
      <c r="M1075" s="1911"/>
      <c r="N1075" s="1911"/>
      <c r="O1075" s="1911"/>
      <c r="P1075" s="1911"/>
      <c r="Q1075" s="1911"/>
      <c r="R1075" s="1911"/>
      <c r="S1075" s="1911"/>
      <c r="T1075" s="1911"/>
      <c r="U1075" s="1911"/>
      <c r="V1075" s="1911"/>
      <c r="W1075" s="1911"/>
      <c r="X1075" s="1911"/>
      <c r="Y1075" s="1911"/>
      <c r="Z1075" s="1911"/>
      <c r="AA1075" s="1911"/>
      <c r="AB1075" s="1911"/>
      <c r="AC1075" s="1911"/>
      <c r="AD1075" s="1911"/>
      <c r="AE1075" s="1911"/>
      <c r="AF1075" s="1911"/>
      <c r="AG1075" s="1911"/>
      <c r="AH1075" s="1911"/>
      <c r="AI1075" s="1911"/>
      <c r="AJ1075" s="1911"/>
      <c r="AK1075" s="1911"/>
    </row>
    <row r="1076" spans="1:96" ht="12.65" customHeight="1">
      <c r="A1076" s="235"/>
      <c r="B1076" s="235"/>
      <c r="C1076" s="319"/>
      <c r="D1076" s="1911"/>
      <c r="E1076" s="1911"/>
      <c r="F1076" s="1911"/>
      <c r="G1076" s="1911"/>
      <c r="H1076" s="1911"/>
      <c r="I1076" s="1911"/>
      <c r="J1076" s="1911"/>
      <c r="K1076" s="1911"/>
      <c r="L1076" s="1911"/>
      <c r="M1076" s="1911"/>
      <c r="N1076" s="1911"/>
      <c r="O1076" s="1911"/>
      <c r="P1076" s="1911"/>
      <c r="Q1076" s="1911"/>
      <c r="R1076" s="1911"/>
      <c r="S1076" s="1911"/>
      <c r="T1076" s="1911"/>
      <c r="U1076" s="1911"/>
      <c r="V1076" s="1911"/>
      <c r="W1076" s="1911"/>
      <c r="X1076" s="1911"/>
      <c r="Y1076" s="1911"/>
      <c r="Z1076" s="1911"/>
      <c r="AA1076" s="1911"/>
      <c r="AB1076" s="1911"/>
      <c r="AC1076" s="1911"/>
      <c r="AD1076" s="1911"/>
      <c r="AE1076" s="1911"/>
      <c r="AF1076" s="1911"/>
      <c r="AG1076" s="1911"/>
      <c r="AH1076" s="1911"/>
      <c r="AI1076" s="1911"/>
      <c r="AJ1076" s="1911"/>
      <c r="AK1076" s="1911"/>
    </row>
    <row r="1077" spans="1:96" s="682" customFormat="1" ht="12.65" customHeight="1">
      <c r="A1077" s="62"/>
      <c r="B1077" s="66"/>
      <c r="C1077" s="318"/>
      <c r="D1077" s="1911"/>
      <c r="E1077" s="1911"/>
      <c r="F1077" s="1911"/>
      <c r="G1077" s="1911"/>
      <c r="H1077" s="1911"/>
      <c r="I1077" s="1911"/>
      <c r="J1077" s="1911"/>
      <c r="K1077" s="1911"/>
      <c r="L1077" s="1911"/>
      <c r="M1077" s="1911"/>
      <c r="N1077" s="1911"/>
      <c r="O1077" s="1911"/>
      <c r="P1077" s="1911"/>
      <c r="Q1077" s="1911"/>
      <c r="R1077" s="1911"/>
      <c r="S1077" s="1911"/>
      <c r="T1077" s="1911"/>
      <c r="U1077" s="1911"/>
      <c r="V1077" s="1911"/>
      <c r="W1077" s="1911"/>
      <c r="X1077" s="1911"/>
      <c r="Y1077" s="1911"/>
      <c r="Z1077" s="1911"/>
      <c r="AA1077" s="1911"/>
      <c r="AB1077" s="1911"/>
      <c r="AC1077" s="1911"/>
      <c r="AD1077" s="1911"/>
      <c r="AE1077" s="1911"/>
      <c r="AF1077" s="1911"/>
      <c r="AG1077" s="1911"/>
      <c r="AH1077" s="1911"/>
      <c r="AI1077" s="1911"/>
      <c r="AJ1077" s="1911"/>
      <c r="AK1077" s="1911"/>
      <c r="AL1077" s="12"/>
      <c r="AM1077" s="39"/>
      <c r="AN1077" s="39"/>
      <c r="AO1077" s="39"/>
      <c r="AP1077" s="39"/>
      <c r="AQ1077" s="39"/>
      <c r="AR1077" s="39"/>
      <c r="AS1077" s="39"/>
      <c r="AT1077" s="39"/>
      <c r="AU1077" s="39"/>
      <c r="AV1077" s="39"/>
      <c r="AW1077" s="39"/>
      <c r="AX1077" s="39"/>
      <c r="AY1077" s="39"/>
      <c r="CR1077" s="25"/>
    </row>
    <row r="1078" spans="1:96" ht="12.65" customHeight="1">
      <c r="A1078" s="2046" t="s">
        <v>626</v>
      </c>
      <c r="B1078" s="2046"/>
      <c r="C1078" s="318">
        <v>8</v>
      </c>
      <c r="D1078" s="2350" t="s">
        <v>2168</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65"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65"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82"/>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65" customHeight="1">
      <c r="A1082" s="2046" t="s">
        <v>626</v>
      </c>
      <c r="B1082" s="2046"/>
      <c r="C1082" s="318">
        <v>9</v>
      </c>
      <c r="D1082" s="1911" t="s">
        <v>1209</v>
      </c>
      <c r="E1082" s="1911"/>
      <c r="F1082" s="1911"/>
      <c r="G1082" s="1911"/>
      <c r="H1082" s="1911"/>
      <c r="I1082" s="1911"/>
      <c r="J1082" s="1911"/>
      <c r="K1082" s="1911"/>
      <c r="L1082" s="1911"/>
      <c r="M1082" s="1911"/>
      <c r="N1082" s="1911"/>
      <c r="O1082" s="1911"/>
      <c r="P1082" s="1911"/>
      <c r="Q1082" s="1911"/>
      <c r="R1082" s="1911"/>
      <c r="S1082" s="1911"/>
      <c r="T1082" s="1911"/>
      <c r="U1082" s="1911"/>
      <c r="V1082" s="1911"/>
      <c r="W1082" s="1911"/>
      <c r="X1082" s="1911"/>
      <c r="Y1082" s="1911"/>
      <c r="Z1082" s="1911"/>
      <c r="AA1082" s="1911"/>
      <c r="AB1082" s="1911"/>
      <c r="AC1082" s="1911"/>
      <c r="AD1082" s="1911"/>
      <c r="AE1082" s="1911"/>
      <c r="AF1082" s="1911"/>
      <c r="AG1082" s="1911"/>
      <c r="AH1082" s="1911"/>
      <c r="AI1082" s="1911"/>
      <c r="AJ1082" s="1911"/>
      <c r="AK1082" s="1911"/>
    </row>
    <row r="1083" spans="1:96" ht="15" customHeight="1">
      <c r="A1083" s="62"/>
      <c r="B1083" s="66"/>
      <c r="C1083" s="318"/>
      <c r="D1083" s="1911"/>
      <c r="E1083" s="1911"/>
      <c r="F1083" s="1911"/>
      <c r="G1083" s="1911"/>
      <c r="H1083" s="1911"/>
      <c r="I1083" s="1911"/>
      <c r="J1083" s="1911"/>
      <c r="K1083" s="1911"/>
      <c r="L1083" s="1911"/>
      <c r="M1083" s="1911"/>
      <c r="N1083" s="1911"/>
      <c r="O1083" s="1911"/>
      <c r="P1083" s="1911"/>
      <c r="Q1083" s="1911"/>
      <c r="R1083" s="1911"/>
      <c r="S1083" s="1911"/>
      <c r="T1083" s="1911"/>
      <c r="U1083" s="1911"/>
      <c r="V1083" s="1911"/>
      <c r="W1083" s="1911"/>
      <c r="X1083" s="1911"/>
      <c r="Y1083" s="1911"/>
      <c r="Z1083" s="1911"/>
      <c r="AA1083" s="1911"/>
      <c r="AB1083" s="1911"/>
      <c r="AC1083" s="1911"/>
      <c r="AD1083" s="1911"/>
      <c r="AE1083" s="1911"/>
      <c r="AF1083" s="1911"/>
      <c r="AG1083" s="1911"/>
      <c r="AH1083" s="1911"/>
      <c r="AI1083" s="1911"/>
      <c r="AJ1083" s="1911"/>
      <c r="AK1083" s="1911"/>
    </row>
    <row r="1084" spans="1:96" ht="15" customHeight="1">
      <c r="D1084" s="1911"/>
      <c r="E1084" s="1911"/>
      <c r="F1084" s="1911"/>
      <c r="G1084" s="1911"/>
      <c r="H1084" s="1911"/>
      <c r="I1084" s="1911"/>
      <c r="J1084" s="1911"/>
      <c r="K1084" s="1911"/>
      <c r="L1084" s="1911"/>
      <c r="M1084" s="1911"/>
      <c r="N1084" s="1911"/>
      <c r="O1084" s="1911"/>
      <c r="P1084" s="1911"/>
      <c r="Q1084" s="1911"/>
      <c r="R1084" s="1911"/>
      <c r="S1084" s="1911"/>
      <c r="T1084" s="1911"/>
      <c r="U1084" s="1911"/>
      <c r="V1084" s="1911"/>
      <c r="W1084" s="1911"/>
      <c r="X1084" s="1911"/>
      <c r="Y1084" s="1911"/>
      <c r="Z1084" s="1911"/>
      <c r="AA1084" s="1911"/>
      <c r="AB1084" s="1911"/>
      <c r="AC1084" s="1911"/>
      <c r="AD1084" s="1911"/>
      <c r="AE1084" s="1911"/>
      <c r="AF1084" s="1911"/>
      <c r="AG1084" s="1911"/>
      <c r="AH1084" s="1911"/>
      <c r="AI1084" s="1911"/>
      <c r="AJ1084" s="1911"/>
      <c r="AK1084" s="1911"/>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G394:AJ394"/>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BE613:BF613"/>
    <mergeCell ref="BE612:BF612"/>
    <mergeCell ref="N601:O601"/>
    <mergeCell ref="AA583:AK583"/>
    <mergeCell ref="Z604:AK604"/>
    <mergeCell ref="Z588:AK588"/>
    <mergeCell ref="G587:R587"/>
    <mergeCell ref="G598:R598"/>
    <mergeCell ref="G580:R580"/>
    <mergeCell ref="G581:R581"/>
    <mergeCell ref="G595:R595"/>
    <mergeCell ref="AG585:AH585"/>
    <mergeCell ref="G607:L607"/>
    <mergeCell ref="E419:AJ419"/>
    <mergeCell ref="AC384:AJ384"/>
    <mergeCell ref="AG376:AH376"/>
    <mergeCell ref="E417:G417"/>
    <mergeCell ref="AD410:AE410"/>
    <mergeCell ref="F426:AH427"/>
    <mergeCell ref="D448:AF448"/>
    <mergeCell ref="J386:U386"/>
    <mergeCell ref="G612:R612"/>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BE610:BF610"/>
    <mergeCell ref="AC386:AJ386"/>
    <mergeCell ref="V387:AJ387"/>
    <mergeCell ref="D442:AF442"/>
    <mergeCell ref="R411:S411"/>
    <mergeCell ref="AF429:AG429"/>
    <mergeCell ref="N369:Q369"/>
    <mergeCell ref="V376:W376"/>
    <mergeCell ref="S376:T376"/>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Z603:AK603"/>
    <mergeCell ref="A350:AL351"/>
    <mergeCell ref="S412:T412"/>
    <mergeCell ref="Z566:AD566"/>
    <mergeCell ref="AE567:AH567"/>
    <mergeCell ref="AE565:AH565"/>
    <mergeCell ref="B532:H554"/>
    <mergeCell ref="AH553:AK553"/>
    <mergeCell ref="AC547:AF547"/>
    <mergeCell ref="Z607:AE60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P424:Q424"/>
    <mergeCell ref="I417:K417"/>
    <mergeCell ref="Z431:AA431"/>
    <mergeCell ref="AC455:AF455"/>
    <mergeCell ref="D443:AF443"/>
    <mergeCell ref="AI574:AL574"/>
    <mergeCell ref="AH513:AK513"/>
    <mergeCell ref="P615:R615"/>
    <mergeCell ref="W566:Y566"/>
    <mergeCell ref="AI564:AL564"/>
    <mergeCell ref="AI566:AL566"/>
    <mergeCell ref="W568:Y568"/>
    <mergeCell ref="AH534:AK534"/>
    <mergeCell ref="AH551:AK551"/>
    <mergeCell ref="AE569:AH569"/>
    <mergeCell ref="AI569:AL569"/>
    <mergeCell ref="AH549:AK549"/>
    <mergeCell ref="AI575:AL575"/>
    <mergeCell ref="Z597:AK597"/>
    <mergeCell ref="W564:Y564"/>
    <mergeCell ref="W565:Y565"/>
    <mergeCell ref="Q564:S564"/>
    <mergeCell ref="W567:Y567"/>
    <mergeCell ref="T571:V571"/>
    <mergeCell ref="T572:V572"/>
    <mergeCell ref="AE564:AH564"/>
    <mergeCell ref="W573:Y573"/>
    <mergeCell ref="AE575:AH575"/>
    <mergeCell ref="AI568:AL568"/>
    <mergeCell ref="T567:V567"/>
    <mergeCell ref="AH554:AK554"/>
    <mergeCell ref="Q563:S563"/>
    <mergeCell ref="B1034:Y1034"/>
    <mergeCell ref="AE574:AH574"/>
    <mergeCell ref="AG439:AJ439"/>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AC768:AG771"/>
    <mergeCell ref="K402:AJ402"/>
    <mergeCell ref="AD489:AH489"/>
    <mergeCell ref="W466:Y466"/>
    <mergeCell ref="AD491:AH491"/>
    <mergeCell ref="AD495:AH495"/>
    <mergeCell ref="Q569:S569"/>
    <mergeCell ref="Q570:S570"/>
    <mergeCell ref="Q565:S565"/>
    <mergeCell ref="H583:R583"/>
    <mergeCell ref="AG593:AH593"/>
    <mergeCell ref="AI591:AK591"/>
    <mergeCell ref="W570:Y570"/>
    <mergeCell ref="C568:P568"/>
    <mergeCell ref="C569:P569"/>
    <mergeCell ref="C570:P570"/>
    <mergeCell ref="AE571:AH571"/>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E568:AH568"/>
    <mergeCell ref="AD1036:AK1036"/>
    <mergeCell ref="Z578:AK578"/>
    <mergeCell ref="Z580:AK580"/>
    <mergeCell ref="C573:P573"/>
    <mergeCell ref="AI565:AL565"/>
    <mergeCell ref="AC554:AF554"/>
    <mergeCell ref="AM576:AS576"/>
    <mergeCell ref="AM571:AS571"/>
    <mergeCell ref="AM575:AS575"/>
    <mergeCell ref="AM569:AS569"/>
    <mergeCell ref="C566:P566"/>
    <mergeCell ref="C567:P567"/>
    <mergeCell ref="Z568:AD568"/>
    <mergeCell ref="AE566:AH566"/>
    <mergeCell ref="AI570:AL570"/>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BE619:BF619"/>
    <mergeCell ref="P599:R599"/>
    <mergeCell ref="BE614:BF614"/>
    <mergeCell ref="G611:R611"/>
    <mergeCell ref="Z570:AD570"/>
    <mergeCell ref="Z567:AD567"/>
    <mergeCell ref="AM563:AS563"/>
    <mergeCell ref="O538:AA538"/>
    <mergeCell ref="AH541:AK541"/>
    <mergeCell ref="T563:V563"/>
    <mergeCell ref="W571:Y571"/>
    <mergeCell ref="W572:Y572"/>
    <mergeCell ref="O541:AA541"/>
    <mergeCell ref="AH538:AK538"/>
    <mergeCell ref="T573:V573"/>
    <mergeCell ref="Z571:AD571"/>
    <mergeCell ref="AI567:AL567"/>
    <mergeCell ref="C575:P575"/>
    <mergeCell ref="W574:Y574"/>
    <mergeCell ref="W575:Y575"/>
    <mergeCell ref="C564:P564"/>
    <mergeCell ref="C565:P565"/>
    <mergeCell ref="AM565:AS565"/>
    <mergeCell ref="Z605:AK605"/>
    <mergeCell ref="B576:AL576"/>
    <mergeCell ref="T575:V575"/>
    <mergeCell ref="W569:Y569"/>
    <mergeCell ref="G604:R604"/>
    <mergeCell ref="AG617:AH617"/>
    <mergeCell ref="H616:R616"/>
    <mergeCell ref="AE570:AH570"/>
    <mergeCell ref="AI571:AL571"/>
    <mergeCell ref="Q567:S567"/>
    <mergeCell ref="Q568:S568"/>
    <mergeCell ref="AE573:AH573"/>
    <mergeCell ref="T568:V568"/>
    <mergeCell ref="T569:V569"/>
    <mergeCell ref="T570:V570"/>
    <mergeCell ref="C574:P574"/>
    <mergeCell ref="Q566:S566"/>
    <mergeCell ref="AI563:AL563"/>
    <mergeCell ref="AH545:AK545"/>
    <mergeCell ref="AH547:AK547"/>
    <mergeCell ref="AC546:AF546"/>
    <mergeCell ref="AC542:AF542"/>
    <mergeCell ref="AH546:AK546"/>
    <mergeCell ref="AH550:AK550"/>
    <mergeCell ref="AH552:AK552"/>
    <mergeCell ref="AC552:AF552"/>
    <mergeCell ref="AC551:AF551"/>
    <mergeCell ref="A556:AS557"/>
    <mergeCell ref="AC553:AF553"/>
    <mergeCell ref="T564:V564"/>
    <mergeCell ref="B563:P563"/>
    <mergeCell ref="AE563:AH563"/>
    <mergeCell ref="AM574:AS574"/>
    <mergeCell ref="Z563:AD563"/>
    <mergeCell ref="AM566:AS566"/>
    <mergeCell ref="AM572:AS572"/>
    <mergeCell ref="AM573:AS573"/>
    <mergeCell ref="AM568:AS568"/>
    <mergeCell ref="AM564:AS564"/>
    <mergeCell ref="AI573:AL573"/>
    <mergeCell ref="AM567:AS567"/>
    <mergeCell ref="Z569:AD569"/>
    <mergeCell ref="BG621:BH621"/>
    <mergeCell ref="BN625:BR625"/>
    <mergeCell ref="BE622:BF622"/>
    <mergeCell ref="BE621:BF621"/>
    <mergeCell ref="BE620:BF620"/>
    <mergeCell ref="BE623:BF623"/>
    <mergeCell ref="BS622:BW622"/>
    <mergeCell ref="BX622:CB622"/>
    <mergeCell ref="CC623:CG623"/>
    <mergeCell ref="BK623:BL623"/>
    <mergeCell ref="BI623:BJ623"/>
    <mergeCell ref="BI622:BJ622"/>
    <mergeCell ref="BG614:BH614"/>
    <mergeCell ref="BI614:BJ614"/>
    <mergeCell ref="BI612:BJ612"/>
    <mergeCell ref="BG616:BH616"/>
    <mergeCell ref="BI616:BJ616"/>
    <mergeCell ref="BG618:BH618"/>
    <mergeCell ref="BX613:CB613"/>
    <mergeCell ref="BS623:BW623"/>
    <mergeCell ref="BG617:BH617"/>
    <mergeCell ref="BX621:CB621"/>
    <mergeCell ref="CC612:CG612"/>
    <mergeCell ref="BE618:BF618"/>
    <mergeCell ref="BE616:BF616"/>
    <mergeCell ref="BE625:BF625"/>
    <mergeCell ref="AE572:AH572"/>
    <mergeCell ref="AI572:AL572"/>
    <mergeCell ref="BX624:CB624"/>
    <mergeCell ref="AF584:AK584"/>
    <mergeCell ref="Z595:AK595"/>
    <mergeCell ref="CH624:CL624"/>
    <mergeCell ref="BN630:BR630"/>
    <mergeCell ref="Y489:AC489"/>
    <mergeCell ref="T484:X485"/>
    <mergeCell ref="Y487:AC487"/>
    <mergeCell ref="AH516:AK516"/>
    <mergeCell ref="AH529:AK529"/>
    <mergeCell ref="AH533:AK533"/>
    <mergeCell ref="AC529:AF529"/>
    <mergeCell ref="Q499:AK499"/>
    <mergeCell ref="T494:X494"/>
    <mergeCell ref="Y495:AC495"/>
    <mergeCell ref="Q498:AK498"/>
    <mergeCell ref="T565:V565"/>
    <mergeCell ref="T566:V566"/>
    <mergeCell ref="AC541:AF541"/>
    <mergeCell ref="AH539:AK539"/>
    <mergeCell ref="O544:AA544"/>
    <mergeCell ref="AC549:AF549"/>
    <mergeCell ref="W563:Y563"/>
    <mergeCell ref="AC548:AF548"/>
    <mergeCell ref="AH542:AK542"/>
    <mergeCell ref="AH515:AK515"/>
    <mergeCell ref="AH544:AK544"/>
    <mergeCell ref="AH527:AK527"/>
    <mergeCell ref="BS630:BW630"/>
    <mergeCell ref="BI627:BJ627"/>
    <mergeCell ref="BK627:BL627"/>
    <mergeCell ref="BI626:BJ626"/>
    <mergeCell ref="CC621:CG621"/>
    <mergeCell ref="BK626:BL626"/>
    <mergeCell ref="BS624:BW624"/>
    <mergeCell ref="CC658:CG658"/>
    <mergeCell ref="CH658:CL658"/>
    <mergeCell ref="BX649:CB649"/>
    <mergeCell ref="BG635:BH635"/>
    <mergeCell ref="BK635:BL635"/>
    <mergeCell ref="BN635:BR635"/>
    <mergeCell ref="BS635:BW635"/>
    <mergeCell ref="BK634:BL634"/>
    <mergeCell ref="BN634:BR634"/>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K621:BL621"/>
    <mergeCell ref="BI618:BJ618"/>
    <mergeCell ref="BN626:BR626"/>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BS652:BW652"/>
    <mergeCell ref="BX655:CB65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10:CL610"/>
    <mergeCell ref="CH611:CL611"/>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K613:BL613"/>
    <mergeCell ref="CH613:CL613"/>
    <mergeCell ref="BN619:BR619"/>
    <mergeCell ref="BN613:BR613"/>
    <mergeCell ref="BS615:BW615"/>
    <mergeCell ref="BX615:CB615"/>
    <mergeCell ref="CC610:CG610"/>
    <mergeCell ref="BN615:BR615"/>
    <mergeCell ref="CC613:CG613"/>
    <mergeCell ref="BN614:BR614"/>
    <mergeCell ref="BX611:CB611"/>
    <mergeCell ref="AI599:AK599"/>
    <mergeCell ref="Z587:AK587"/>
    <mergeCell ref="Z598:AK598"/>
    <mergeCell ref="CC609:CG609"/>
    <mergeCell ref="N593:O593"/>
    <mergeCell ref="G603:R603"/>
    <mergeCell ref="AA616:AK616"/>
    <mergeCell ref="G615:L615"/>
    <mergeCell ref="G589:R589"/>
    <mergeCell ref="BN616:BR616"/>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BX610:CB610"/>
    <mergeCell ref="Z581:AK581"/>
    <mergeCell ref="Z613:AK613"/>
    <mergeCell ref="AI582:AK582"/>
    <mergeCell ref="BG609:BH609"/>
    <mergeCell ref="BN610:BR610"/>
    <mergeCell ref="BG610:BH610"/>
    <mergeCell ref="BI610:BJ610"/>
    <mergeCell ref="BK609:BL609"/>
    <mergeCell ref="BX609:CB609"/>
    <mergeCell ref="Z582:AE582"/>
    <mergeCell ref="AA592:AK592"/>
    <mergeCell ref="Z611:AK611"/>
    <mergeCell ref="N609:O609"/>
    <mergeCell ref="Z590:AK590"/>
    <mergeCell ref="AG609:AH609"/>
    <mergeCell ref="AI607:AK607"/>
    <mergeCell ref="AG601:AH601"/>
    <mergeCell ref="Z599:AE599"/>
    <mergeCell ref="BG613:BH613"/>
    <mergeCell ref="BI613:BJ613"/>
    <mergeCell ref="BX612:CB612"/>
    <mergeCell ref="AA608:AK608"/>
    <mergeCell ref="BE611:BF611"/>
    <mergeCell ref="AA600:AK600"/>
    <mergeCell ref="Z606:AK606"/>
    <mergeCell ref="BS609:BW609"/>
    <mergeCell ref="Z591:AE591"/>
    <mergeCell ref="Z596:AK596"/>
    <mergeCell ref="BK610:BL610"/>
    <mergeCell ref="BS610:BW610"/>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19:AF519"/>
    <mergeCell ref="AH519:AK519"/>
    <mergeCell ref="AC530:AF530"/>
    <mergeCell ref="AH536:AK536"/>
    <mergeCell ref="AH537:AK537"/>
    <mergeCell ref="AH532:AK532"/>
    <mergeCell ref="B515:H520"/>
    <mergeCell ref="AC532:AF532"/>
    <mergeCell ref="L520:AB520"/>
    <mergeCell ref="Y494:AC494"/>
    <mergeCell ref="AC544:AF544"/>
    <mergeCell ref="AC545:AF545"/>
    <mergeCell ref="AC533:AF533"/>
    <mergeCell ref="B526:H528"/>
    <mergeCell ref="AC537:AF537"/>
    <mergeCell ref="AH540:AK540"/>
    <mergeCell ref="AC543:AF543"/>
    <mergeCell ref="AH543:AK543"/>
    <mergeCell ref="A478:AL479"/>
    <mergeCell ref="AC536:AF536"/>
    <mergeCell ref="AD484:AH485"/>
    <mergeCell ref="B501:P502"/>
    <mergeCell ref="AC518:AF518"/>
    <mergeCell ref="AD494:AH494"/>
    <mergeCell ref="AC528:AF528"/>
    <mergeCell ref="AC538:AF538"/>
    <mergeCell ref="AC531:AF531"/>
    <mergeCell ref="Q500:AK500"/>
    <mergeCell ref="AH517:AK517"/>
    <mergeCell ref="AC539:AF539"/>
    <mergeCell ref="AC535:AF535"/>
    <mergeCell ref="O532:AA532"/>
    <mergeCell ref="T489:X489"/>
    <mergeCell ref="AC517:AF517"/>
    <mergeCell ref="AH520:AK520"/>
    <mergeCell ref="Y492:AC492"/>
    <mergeCell ref="AC520:AF520"/>
    <mergeCell ref="AH528:AK528"/>
    <mergeCell ref="Y484:AC485"/>
    <mergeCell ref="AC514:AF514"/>
    <mergeCell ref="AH512:AK512"/>
    <mergeCell ref="Q501:R502"/>
    <mergeCell ref="AC516:AF516"/>
    <mergeCell ref="AC540:AF540"/>
    <mergeCell ref="O535:AA535"/>
    <mergeCell ref="H289:R289"/>
    <mergeCell ref="L278:AD278"/>
    <mergeCell ref="M260:T260"/>
    <mergeCell ref="W260:X260"/>
    <mergeCell ref="U262:W262"/>
    <mergeCell ref="C124:K124"/>
    <mergeCell ref="O160:T160"/>
    <mergeCell ref="O161:AH161"/>
    <mergeCell ref="D164:AH164"/>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D466:V466"/>
    <mergeCell ref="AE424:AF424"/>
    <mergeCell ref="D467:V467"/>
    <mergeCell ref="D436:AF436"/>
    <mergeCell ref="Q428:R428"/>
    <mergeCell ref="J387:U387"/>
    <mergeCell ref="AA315:AF315"/>
    <mergeCell ref="H316:R316"/>
    <mergeCell ref="H312:R312"/>
    <mergeCell ref="AA314:AF314"/>
    <mergeCell ref="AA304:AK304"/>
    <mergeCell ref="H330:M330"/>
    <mergeCell ref="AI314:AK314"/>
    <mergeCell ref="AI306:AK306"/>
    <mergeCell ref="H311:R311"/>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96:R296"/>
    <mergeCell ref="AA307:AF307"/>
    <mergeCell ref="AA311:AK311"/>
    <mergeCell ref="AA306:AF306"/>
    <mergeCell ref="AA290:AF290"/>
    <mergeCell ref="AI290:AK290"/>
    <mergeCell ref="H291:M291"/>
    <mergeCell ref="AA292:AK292"/>
    <mergeCell ref="L276:AD27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I178:AK178"/>
    <mergeCell ref="J174:Z174"/>
    <mergeCell ref="D207:M207"/>
    <mergeCell ref="Z246:AE246"/>
    <mergeCell ref="T193:AI193"/>
    <mergeCell ref="D204:M204"/>
    <mergeCell ref="R177:S177"/>
    <mergeCell ref="U235:W235"/>
    <mergeCell ref="U254:W254"/>
    <mergeCell ref="H304:R304"/>
    <mergeCell ref="AA299:AF299"/>
    <mergeCell ref="H305:R305"/>
    <mergeCell ref="AA313:AK313"/>
    <mergeCell ref="AA310:AK310"/>
    <mergeCell ref="AA305:AK305"/>
    <mergeCell ref="P314:R314"/>
    <mergeCell ref="Z262:AE262"/>
    <mergeCell ref="H310:R310"/>
    <mergeCell ref="H307:M307"/>
    <mergeCell ref="P306:R306"/>
    <mergeCell ref="L275:S275"/>
    <mergeCell ref="L277:Q277"/>
    <mergeCell ref="AA302:AK302"/>
    <mergeCell ref="D269:H269"/>
    <mergeCell ref="X269:AC269"/>
    <mergeCell ref="AA287:AK287"/>
    <mergeCell ref="H286:R286"/>
    <mergeCell ref="P298:R298"/>
    <mergeCell ref="H303:R303"/>
    <mergeCell ref="A281:AL282"/>
    <mergeCell ref="H292:R292"/>
    <mergeCell ref="H302:R302"/>
    <mergeCell ref="P204:U204"/>
    <mergeCell ref="M238:AE238"/>
    <mergeCell ref="AC244:AE244"/>
    <mergeCell ref="M245:AE245"/>
    <mergeCell ref="W244:X244"/>
    <mergeCell ref="U246:W246"/>
    <mergeCell ref="M236:AE236"/>
    <mergeCell ref="AI226:AJ226"/>
    <mergeCell ref="M244:T244"/>
    <mergeCell ref="T277:V277"/>
    <mergeCell ref="A169:AL170"/>
    <mergeCell ref="H297:R297"/>
    <mergeCell ref="T189:AE189"/>
    <mergeCell ref="T194:U194"/>
    <mergeCell ref="E187:AE188"/>
    <mergeCell ref="I189:P189"/>
    <mergeCell ref="Y198:Z198"/>
    <mergeCell ref="P290:R290"/>
    <mergeCell ref="AA296:AK296"/>
    <mergeCell ref="L273:AJ273"/>
    <mergeCell ref="J173:S173"/>
    <mergeCell ref="AH196:AI196"/>
    <mergeCell ref="AI228:AJ228"/>
    <mergeCell ref="I185:AE185"/>
    <mergeCell ref="M235:R235"/>
    <mergeCell ref="Z235:AE235"/>
    <mergeCell ref="M258:AE258"/>
    <mergeCell ref="AA256:AK256"/>
    <mergeCell ref="X176:Y176"/>
    <mergeCell ref="X180:Y180"/>
    <mergeCell ref="U175:V175"/>
    <mergeCell ref="I184:AE184"/>
    <mergeCell ref="A10:AL10"/>
    <mergeCell ref="D203:M203"/>
    <mergeCell ref="P203:U203"/>
    <mergeCell ref="A20:AL20"/>
    <mergeCell ref="AH194:AI194"/>
    <mergeCell ref="AH195:AI195"/>
    <mergeCell ref="U176:V176"/>
    <mergeCell ref="H18:AJ18"/>
    <mergeCell ref="Y126:AK126"/>
    <mergeCell ref="AA303:AK303"/>
    <mergeCell ref="M259:AE259"/>
    <mergeCell ref="M261:AE261"/>
    <mergeCell ref="AI227:AJ227"/>
    <mergeCell ref="AI225:AJ225"/>
    <mergeCell ref="M234:AE234"/>
    <mergeCell ref="AF242:AK242"/>
    <mergeCell ref="T195:U195"/>
    <mergeCell ref="D219:Z219"/>
    <mergeCell ref="AC233:AE233"/>
    <mergeCell ref="AA237:AK237"/>
    <mergeCell ref="M237:T237"/>
    <mergeCell ref="Z203:AF205"/>
    <mergeCell ref="M263:AE263"/>
    <mergeCell ref="AA264:AK264"/>
    <mergeCell ref="AA298:AF298"/>
    <mergeCell ref="AA286:AK286"/>
    <mergeCell ref="T266:X266"/>
    <mergeCell ref="AA297:AK297"/>
    <mergeCell ref="AA295:AK295"/>
    <mergeCell ref="Z254:AE254"/>
    <mergeCell ref="AA288:AK288"/>
    <mergeCell ref="M254:R254"/>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242:AE242"/>
    <mergeCell ref="A221:AL222"/>
    <mergeCell ref="M233:T233"/>
    <mergeCell ref="W233:X233"/>
    <mergeCell ref="T190:AE190"/>
    <mergeCell ref="M231:AK231"/>
    <mergeCell ref="M232:AE232"/>
    <mergeCell ref="N191:AE192"/>
    <mergeCell ref="D210:M210"/>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P342:AE342"/>
    <mergeCell ref="P423:Q423"/>
    <mergeCell ref="Q504:AK504"/>
    <mergeCell ref="AD493:AH493"/>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H320:R320"/>
    <mergeCell ref="H321:R321"/>
    <mergeCell ref="AA330:AF330"/>
    <mergeCell ref="Y493:AC493"/>
    <mergeCell ref="AC513:AF513"/>
    <mergeCell ref="T493:X493"/>
    <mergeCell ref="AC550:AF550"/>
    <mergeCell ref="D449:AF449"/>
    <mergeCell ref="D450:AJ451"/>
    <mergeCell ref="W469:Y469"/>
    <mergeCell ref="AD492:AH492"/>
    <mergeCell ref="AC512:AF512"/>
    <mergeCell ref="W464:Y464"/>
    <mergeCell ref="T486:X486"/>
    <mergeCell ref="Z612:AK612"/>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18:CG618"/>
    <mergeCell ref="BG619:BH619"/>
    <mergeCell ref="BI619:BJ619"/>
    <mergeCell ref="BG623:BH623"/>
    <mergeCell ref="CC620:CG620"/>
    <mergeCell ref="BS621:BW621"/>
    <mergeCell ref="BN621:BR621"/>
    <mergeCell ref="BI617:BJ617"/>
    <mergeCell ref="BS619:BW619"/>
    <mergeCell ref="CC622:CG622"/>
    <mergeCell ref="CC619:CG619"/>
    <mergeCell ref="BX620:CB62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Q505:AK505"/>
    <mergeCell ref="DH609:DL609"/>
    <mergeCell ref="H287:R287"/>
    <mergeCell ref="AA289:AK289"/>
    <mergeCell ref="AI298:AK298"/>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X791:AB791"/>
    <mergeCell ref="X792:AB792"/>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BX663:CB663"/>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0" zoomScaleNormal="100" zoomScaleSheetLayoutView="90" workbookViewId="0">
      <selection activeCell="C94" sqref="C94"/>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77" t="s">
        <v>656</v>
      </c>
      <c r="G1" s="2578"/>
      <c r="H1" s="2578"/>
      <c r="I1" s="2578"/>
      <c r="J1" s="2578"/>
      <c r="K1" s="2578"/>
      <c r="L1" s="2578"/>
      <c r="M1" s="2578"/>
      <c r="N1" s="2578"/>
      <c r="O1" s="2578"/>
      <c r="P1" s="2578"/>
      <c r="Q1" s="2578"/>
      <c r="R1" s="2579"/>
      <c r="S1" s="168"/>
      <c r="T1" s="167"/>
      <c r="U1" s="169"/>
    </row>
    <row r="2" spans="1:21" s="208" customFormat="1" ht="71.25" customHeight="1">
      <c r="A2" s="207"/>
      <c r="B2" s="208" t="s">
        <v>24</v>
      </c>
      <c r="C2" s="208" t="s">
        <v>392</v>
      </c>
      <c r="D2" s="208" t="s">
        <v>391</v>
      </c>
      <c r="E2" s="208" t="s">
        <v>25</v>
      </c>
      <c r="F2" s="209" t="str">
        <f>Application!B637&amp;Application!C637</f>
        <v>1)BofA Tax-Exempt Perm Loan</v>
      </c>
      <c r="G2" s="209" t="str">
        <f>Application!B638&amp;Application!C638</f>
        <v>2)Orange County Housing Finance Trust</v>
      </c>
      <c r="H2" s="209" t="str">
        <f>Application!B639&amp;Application!C639</f>
        <v>3)Deferred Developer Fee</v>
      </c>
      <c r="I2" s="209" t="str">
        <f>Application!B640&amp;Application!C640</f>
        <v>4)Master Developer Contribution</v>
      </c>
      <c r="J2" s="209" t="str">
        <f>Application!B641&amp;Application!C641</f>
        <v>5)General Partner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2760000</v>
      </c>
      <c r="C4" s="217">
        <v>2760000</v>
      </c>
      <c r="D4" s="217"/>
      <c r="E4" s="217"/>
      <c r="F4" s="217"/>
      <c r="G4" s="217"/>
      <c r="H4" s="217"/>
      <c r="I4" s="217">
        <v>2760000</v>
      </c>
      <c r="J4" s="217"/>
      <c r="K4" s="217"/>
      <c r="L4" s="217"/>
      <c r="M4" s="217"/>
      <c r="N4" s="217"/>
      <c r="O4" s="217"/>
      <c r="P4" s="217"/>
      <c r="Q4" s="217"/>
      <c r="R4" s="879">
        <f>SUM(E4:Q4)</f>
        <v>2760000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25000</v>
      </c>
      <c r="C6" s="217">
        <v>25000</v>
      </c>
      <c r="D6" s="217"/>
      <c r="E6" s="217">
        <f>C6</f>
        <v>25000</v>
      </c>
      <c r="F6" s="217"/>
      <c r="G6" s="217"/>
      <c r="H6" s="217"/>
      <c r="I6" s="217"/>
      <c r="J6" s="217"/>
      <c r="K6" s="217"/>
      <c r="L6" s="217"/>
      <c r="M6" s="217"/>
      <c r="N6" s="217"/>
      <c r="O6" s="217"/>
      <c r="P6" s="217"/>
      <c r="Q6" s="217"/>
      <c r="R6" s="879">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2785000</v>
      </c>
      <c r="C8" s="216">
        <f t="shared" ref="C8:Q8" si="0">SUM(C4:C7)</f>
        <v>2785000</v>
      </c>
      <c r="D8" s="216">
        <f t="shared" si="0"/>
        <v>0</v>
      </c>
      <c r="E8" s="216">
        <f t="shared" si="0"/>
        <v>25000</v>
      </c>
      <c r="F8" s="216">
        <f t="shared" si="0"/>
        <v>0</v>
      </c>
      <c r="G8" s="216">
        <f t="shared" si="0"/>
        <v>0</v>
      </c>
      <c r="H8" s="216">
        <f t="shared" si="0"/>
        <v>0</v>
      </c>
      <c r="I8" s="216">
        <f t="shared" si="0"/>
        <v>2760000</v>
      </c>
      <c r="J8" s="216">
        <f t="shared" si="0"/>
        <v>0</v>
      </c>
      <c r="K8" s="216">
        <f t="shared" si="0"/>
        <v>0</v>
      </c>
      <c r="L8" s="216">
        <f t="shared" si="0"/>
        <v>0</v>
      </c>
      <c r="M8" s="216">
        <f t="shared" si="0"/>
        <v>0</v>
      </c>
      <c r="N8" s="216">
        <f t="shared" si="0"/>
        <v>0</v>
      </c>
      <c r="O8" s="216">
        <f t="shared" si="0"/>
        <v>0</v>
      </c>
      <c r="P8" s="216"/>
      <c r="Q8" s="216">
        <f t="shared" si="0"/>
        <v>0</v>
      </c>
      <c r="R8" s="534">
        <f>SUM(R4:R7)</f>
        <v>2785000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2785000</v>
      </c>
      <c r="C12" s="216">
        <f t="shared" si="2"/>
        <v>2785000</v>
      </c>
      <c r="D12" s="216">
        <f t="shared" si="2"/>
        <v>0</v>
      </c>
      <c r="E12" s="216">
        <f t="shared" si="2"/>
        <v>25000</v>
      </c>
      <c r="F12" s="216">
        <f t="shared" si="2"/>
        <v>0</v>
      </c>
      <c r="G12" s="216">
        <f t="shared" si="2"/>
        <v>0</v>
      </c>
      <c r="H12" s="216">
        <f t="shared" si="2"/>
        <v>0</v>
      </c>
      <c r="I12" s="216">
        <f t="shared" si="2"/>
        <v>2760000</v>
      </c>
      <c r="J12" s="216">
        <f t="shared" si="2"/>
        <v>0</v>
      </c>
      <c r="K12" s="216">
        <f t="shared" si="2"/>
        <v>0</v>
      </c>
      <c r="L12" s="216">
        <f t="shared" si="2"/>
        <v>0</v>
      </c>
      <c r="M12" s="216">
        <f t="shared" si="2"/>
        <v>0</v>
      </c>
      <c r="N12" s="216">
        <f t="shared" si="2"/>
        <v>0</v>
      </c>
      <c r="O12" s="216">
        <f t="shared" si="2"/>
        <v>0</v>
      </c>
      <c r="P12" s="216"/>
      <c r="Q12" s="216">
        <f t="shared" si="2"/>
        <v>0</v>
      </c>
      <c r="R12" s="534">
        <f>SUM(R8+R11)</f>
        <v>2785000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1632000</v>
      </c>
      <c r="C29" s="217">
        <v>1632000</v>
      </c>
      <c r="D29" s="217"/>
      <c r="E29" s="217">
        <f>C29-G29</f>
        <v>439680</v>
      </c>
      <c r="F29" s="217"/>
      <c r="G29" s="217">
        <v>1192320</v>
      </c>
      <c r="H29" s="217"/>
      <c r="I29" s="217"/>
      <c r="J29" s="217"/>
      <c r="K29" s="217"/>
      <c r="L29" s="217"/>
      <c r="M29" s="217"/>
      <c r="N29" s="217"/>
      <c r="O29" s="217"/>
      <c r="P29" s="217"/>
      <c r="Q29" s="217"/>
      <c r="R29" s="879">
        <f t="shared" ref="R29:R37" si="7">SUM(E29:Q29)</f>
        <v>1632000</v>
      </c>
      <c r="S29" s="217">
        <f>R29</f>
        <v>1632000</v>
      </c>
      <c r="T29" s="217"/>
      <c r="U29" s="213"/>
    </row>
    <row r="30" spans="1:21" s="214" customFormat="1">
      <c r="A30" s="215" t="s">
        <v>634</v>
      </c>
      <c r="B30" s="216">
        <f t="shared" si="6"/>
        <v>10146195</v>
      </c>
      <c r="C30" s="217">
        <v>10146195</v>
      </c>
      <c r="D30" s="217"/>
      <c r="E30" s="217">
        <f>C30-F30</f>
        <v>775325</v>
      </c>
      <c r="F30" s="217">
        <v>9370870</v>
      </c>
      <c r="G30" s="217"/>
      <c r="H30" s="217"/>
      <c r="I30" s="217"/>
      <c r="J30" s="217"/>
      <c r="K30" s="217"/>
      <c r="L30" s="217"/>
      <c r="M30" s="217"/>
      <c r="N30" s="217"/>
      <c r="O30" s="217"/>
      <c r="P30" s="217"/>
      <c r="Q30" s="217"/>
      <c r="R30" s="879">
        <f t="shared" si="7"/>
        <v>10146195</v>
      </c>
      <c r="S30" s="217">
        <f>R30</f>
        <v>10146195</v>
      </c>
      <c r="T30" s="217"/>
      <c r="U30" s="213"/>
    </row>
    <row r="31" spans="1:21" s="214" customFormat="1">
      <c r="A31" s="215" t="s">
        <v>635</v>
      </c>
      <c r="B31" s="216">
        <f t="shared" si="6"/>
        <v>176673</v>
      </c>
      <c r="C31" s="217">
        <v>176673</v>
      </c>
      <c r="D31" s="217"/>
      <c r="E31" s="217">
        <f>C31</f>
        <v>176673</v>
      </c>
      <c r="F31" s="217"/>
      <c r="G31" s="217"/>
      <c r="H31" s="217"/>
      <c r="I31" s="217"/>
      <c r="J31" s="217"/>
      <c r="K31" s="217"/>
      <c r="L31" s="217"/>
      <c r="M31" s="217"/>
      <c r="N31" s="217"/>
      <c r="O31" s="217"/>
      <c r="P31" s="217"/>
      <c r="Q31" s="217"/>
      <c r="R31" s="879">
        <f t="shared" si="7"/>
        <v>176673</v>
      </c>
      <c r="S31" s="217">
        <f>R31</f>
        <v>176673</v>
      </c>
      <c r="T31" s="217"/>
      <c r="U31" s="213"/>
    </row>
    <row r="32" spans="1:21" s="214" customFormat="1">
      <c r="A32" s="215" t="s">
        <v>142</v>
      </c>
      <c r="B32" s="216">
        <f t="shared" si="6"/>
        <v>530019</v>
      </c>
      <c r="C32" s="217">
        <v>530019</v>
      </c>
      <c r="D32" s="217"/>
      <c r="E32" s="217">
        <f>C32</f>
        <v>530019</v>
      </c>
      <c r="F32" s="217"/>
      <c r="G32" s="217"/>
      <c r="H32" s="217"/>
      <c r="I32" s="217"/>
      <c r="J32" s="217"/>
      <c r="K32" s="217"/>
      <c r="L32" s="217"/>
      <c r="M32" s="217"/>
      <c r="N32" s="217"/>
      <c r="O32" s="217"/>
      <c r="P32" s="217"/>
      <c r="Q32" s="217"/>
      <c r="R32" s="879">
        <f t="shared" si="7"/>
        <v>530019</v>
      </c>
      <c r="S32" s="217">
        <f>R32</f>
        <v>530019</v>
      </c>
      <c r="T32" s="217"/>
      <c r="U32" s="213"/>
    </row>
    <row r="33" spans="1:21" s="214" customFormat="1">
      <c r="A33" s="215" t="s">
        <v>143</v>
      </c>
      <c r="B33" s="216">
        <f t="shared" si="6"/>
        <v>942256</v>
      </c>
      <c r="C33" s="217">
        <v>942256</v>
      </c>
      <c r="D33" s="217"/>
      <c r="E33" s="217">
        <f>C33</f>
        <v>942256</v>
      </c>
      <c r="F33" s="217"/>
      <c r="G33" s="217"/>
      <c r="H33" s="217"/>
      <c r="I33" s="217"/>
      <c r="J33" s="217"/>
      <c r="K33" s="217"/>
      <c r="L33" s="217"/>
      <c r="M33" s="217"/>
      <c r="N33" s="217"/>
      <c r="O33" s="217"/>
      <c r="P33" s="217"/>
      <c r="Q33" s="217"/>
      <c r="R33" s="879">
        <f t="shared" si="7"/>
        <v>942256</v>
      </c>
      <c r="S33" s="217">
        <f>R33</f>
        <v>942256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13427143</v>
      </c>
      <c r="C38" s="216">
        <f>SUM(C29:C37)</f>
        <v>13427143</v>
      </c>
      <c r="D38" s="216">
        <f t="shared" ref="D38:Q38" si="8">SUM(D29:D37)</f>
        <v>0</v>
      </c>
      <c r="E38" s="216">
        <f t="shared" si="8"/>
        <v>2863953</v>
      </c>
      <c r="F38" s="216">
        <f t="shared" si="8"/>
        <v>9370870</v>
      </c>
      <c r="G38" s="216">
        <f t="shared" si="8"/>
        <v>1192320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13427143</v>
      </c>
      <c r="S38" s="220">
        <f>SUM(S29:S37)</f>
        <v>13427143</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630000</v>
      </c>
      <c r="C40" s="217">
        <v>630000</v>
      </c>
      <c r="D40" s="217"/>
      <c r="E40" s="217">
        <f>C40</f>
        <v>630000</v>
      </c>
      <c r="F40" s="217"/>
      <c r="G40" s="217"/>
      <c r="H40" s="217"/>
      <c r="I40" s="217"/>
      <c r="J40" s="217"/>
      <c r="K40" s="217"/>
      <c r="L40" s="217"/>
      <c r="M40" s="217"/>
      <c r="N40" s="217"/>
      <c r="O40" s="217"/>
      <c r="P40" s="217"/>
      <c r="Q40" s="217"/>
      <c r="R40" s="879">
        <f>SUM(E40:Q40)</f>
        <v>630000</v>
      </c>
      <c r="S40" s="217">
        <f>R40</f>
        <v>630000</v>
      </c>
      <c r="T40" s="217"/>
      <c r="U40" s="213"/>
    </row>
    <row r="41" spans="1:21" s="214" customFormat="1">
      <c r="A41" s="215" t="s">
        <v>151</v>
      </c>
      <c r="B41" s="216">
        <f>SUM(C41+D41)</f>
        <v>70000</v>
      </c>
      <c r="C41" s="217">
        <v>70000</v>
      </c>
      <c r="D41" s="217"/>
      <c r="E41" s="217">
        <f>C41</f>
        <v>70000</v>
      </c>
      <c r="F41" s="217"/>
      <c r="G41" s="217"/>
      <c r="H41" s="217"/>
      <c r="I41" s="217"/>
      <c r="J41" s="217"/>
      <c r="K41" s="217"/>
      <c r="L41" s="217"/>
      <c r="M41" s="217"/>
      <c r="N41" s="217"/>
      <c r="O41" s="217"/>
      <c r="P41" s="217"/>
      <c r="Q41" s="217"/>
      <c r="R41" s="879">
        <f>SUM(E41:Q41)</f>
        <v>70000</v>
      </c>
      <c r="S41" s="217">
        <f>R41</f>
        <v>70000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700000</v>
      </c>
      <c r="S42" s="220">
        <f t="shared" si="9"/>
        <v>700000</v>
      </c>
      <c r="T42" s="220">
        <f t="shared" si="9"/>
        <v>0</v>
      </c>
      <c r="U42" s="213"/>
    </row>
    <row r="43" spans="1:21" s="214" customFormat="1">
      <c r="A43" s="219" t="s">
        <v>153</v>
      </c>
      <c r="B43" s="216">
        <f>SUM(C43:D43)</f>
        <v>320000</v>
      </c>
      <c r="C43" s="217">
        <v>320000</v>
      </c>
      <c r="D43" s="217"/>
      <c r="E43" s="217">
        <f>C43</f>
        <v>320000</v>
      </c>
      <c r="F43" s="217"/>
      <c r="G43" s="217"/>
      <c r="H43" s="217"/>
      <c r="I43" s="217"/>
      <c r="J43" s="217"/>
      <c r="K43" s="217"/>
      <c r="L43" s="217"/>
      <c r="M43" s="217"/>
      <c r="N43" s="217"/>
      <c r="O43" s="217"/>
      <c r="P43" s="217"/>
      <c r="Q43" s="217"/>
      <c r="R43" s="879">
        <f>SUM(E43:Q43)</f>
        <v>320000</v>
      </c>
      <c r="S43" s="217">
        <f>R43</f>
        <v>320000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823205</v>
      </c>
      <c r="C45" s="217">
        <v>823205</v>
      </c>
      <c r="D45" s="217"/>
      <c r="E45" s="217">
        <f>C45</f>
        <v>823205</v>
      </c>
      <c r="F45" s="217"/>
      <c r="G45" s="217"/>
      <c r="H45" s="217"/>
      <c r="I45" s="217"/>
      <c r="J45" s="217"/>
      <c r="K45" s="217"/>
      <c r="L45" s="217"/>
      <c r="M45" s="217"/>
      <c r="N45" s="217"/>
      <c r="O45" s="217"/>
      <c r="P45" s="217"/>
      <c r="Q45" s="217"/>
      <c r="R45" s="879">
        <f t="shared" ref="R45:R53" si="11">SUM(E45:Q45)</f>
        <v>823205</v>
      </c>
      <c r="S45" s="217">
        <f>R45-219521</f>
        <v>603684</v>
      </c>
      <c r="T45" s="217"/>
      <c r="U45" s="213"/>
    </row>
    <row r="46" spans="1:21" s="214" customFormat="1">
      <c r="A46" s="215" t="s">
        <v>156</v>
      </c>
      <c r="B46" s="216">
        <f t="shared" si="10"/>
        <v>171501</v>
      </c>
      <c r="C46" s="217">
        <v>171501</v>
      </c>
      <c r="D46" s="217"/>
      <c r="E46" s="217">
        <f>C46</f>
        <v>171501</v>
      </c>
      <c r="F46" s="217"/>
      <c r="G46" s="217"/>
      <c r="H46" s="217"/>
      <c r="I46" s="217"/>
      <c r="J46" s="217"/>
      <c r="K46" s="217"/>
      <c r="L46" s="217"/>
      <c r="M46" s="217"/>
      <c r="N46" s="217"/>
      <c r="O46" s="217"/>
      <c r="P46" s="217"/>
      <c r="Q46" s="217"/>
      <c r="R46" s="879">
        <f t="shared" si="11"/>
        <v>171501</v>
      </c>
      <c r="S46" s="217">
        <f>R46</f>
        <v>171501</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119405</v>
      </c>
      <c r="C49" s="217">
        <v>119405</v>
      </c>
      <c r="D49" s="217"/>
      <c r="E49" s="217">
        <f>C49</f>
        <v>119405</v>
      </c>
      <c r="F49" s="217"/>
      <c r="G49" s="217"/>
      <c r="H49" s="217"/>
      <c r="I49" s="217"/>
      <c r="J49" s="217"/>
      <c r="K49" s="217"/>
      <c r="L49" s="217"/>
      <c r="M49" s="217"/>
      <c r="N49" s="217"/>
      <c r="O49" s="217"/>
      <c r="P49" s="217"/>
      <c r="Q49" s="217"/>
      <c r="R49" s="879">
        <f t="shared" si="11"/>
        <v>119405</v>
      </c>
      <c r="S49" s="217"/>
      <c r="T49" s="217"/>
      <c r="U49" s="213"/>
    </row>
    <row r="50" spans="1:21" s="214" customFormat="1">
      <c r="A50" s="215" t="s">
        <v>161</v>
      </c>
      <c r="B50" s="216">
        <f t="shared" si="10"/>
        <v>20000</v>
      </c>
      <c r="C50" s="217">
        <v>20000</v>
      </c>
      <c r="D50" s="217"/>
      <c r="E50" s="217">
        <f>C50</f>
        <v>20000</v>
      </c>
      <c r="F50" s="217"/>
      <c r="G50" s="217"/>
      <c r="H50" s="217"/>
      <c r="I50" s="217"/>
      <c r="J50" s="217"/>
      <c r="K50" s="217"/>
      <c r="L50" s="217"/>
      <c r="M50" s="217"/>
      <c r="N50" s="217"/>
      <c r="O50" s="217"/>
      <c r="P50" s="217"/>
      <c r="Q50" s="217"/>
      <c r="R50" s="879">
        <f t="shared" si="11"/>
        <v>20000</v>
      </c>
      <c r="S50" s="217">
        <f>R50</f>
        <v>20000</v>
      </c>
      <c r="T50" s="217"/>
      <c r="U50" s="213"/>
    </row>
    <row r="51" spans="1:21" s="214" customFormat="1">
      <c r="A51" s="440" t="s">
        <v>159</v>
      </c>
      <c r="B51" s="216">
        <f t="shared" si="10"/>
        <v>50000</v>
      </c>
      <c r="C51" s="217">
        <v>50000</v>
      </c>
      <c r="D51" s="217"/>
      <c r="E51" s="217">
        <f>C51</f>
        <v>50000</v>
      </c>
      <c r="F51" s="217"/>
      <c r="G51" s="217"/>
      <c r="H51" s="217"/>
      <c r="I51" s="217"/>
      <c r="J51" s="217"/>
      <c r="K51" s="217"/>
      <c r="L51" s="217"/>
      <c r="M51" s="217"/>
      <c r="N51" s="217"/>
      <c r="O51" s="217"/>
      <c r="P51" s="217"/>
      <c r="Q51" s="217"/>
      <c r="R51" s="879">
        <f t="shared" si="11"/>
        <v>50000</v>
      </c>
      <c r="S51" s="217">
        <f>R51</f>
        <v>50000</v>
      </c>
      <c r="T51" s="217"/>
      <c r="U51" s="213"/>
    </row>
    <row r="52" spans="1:21" s="214" customFormat="1">
      <c r="A52" s="215" t="s">
        <v>160</v>
      </c>
      <c r="B52" s="216">
        <f t="shared" si="10"/>
        <v>225000</v>
      </c>
      <c r="C52" s="217">
        <v>225000</v>
      </c>
      <c r="D52" s="217"/>
      <c r="E52" s="217">
        <f>C52</f>
        <v>225000</v>
      </c>
      <c r="F52" s="217"/>
      <c r="G52" s="217"/>
      <c r="H52" s="217"/>
      <c r="I52" s="217"/>
      <c r="J52" s="217"/>
      <c r="K52" s="217"/>
      <c r="L52" s="217"/>
      <c r="M52" s="217"/>
      <c r="N52" s="217"/>
      <c r="O52" s="217"/>
      <c r="P52" s="217"/>
      <c r="Q52" s="217"/>
      <c r="R52" s="879">
        <f t="shared" si="11"/>
        <v>225000</v>
      </c>
      <c r="S52" s="217">
        <f>R52</f>
        <v>225000</v>
      </c>
      <c r="T52" s="217"/>
      <c r="U52" s="213"/>
    </row>
    <row r="53" spans="1:21" s="214" customFormat="1">
      <c r="A53" s="1857" t="s">
        <v>2607</v>
      </c>
      <c r="B53" s="216">
        <f t="shared" si="10"/>
        <v>18000</v>
      </c>
      <c r="C53" s="217">
        <v>18000</v>
      </c>
      <c r="D53" s="217"/>
      <c r="E53" s="217">
        <f>C53</f>
        <v>18000</v>
      </c>
      <c r="F53" s="217"/>
      <c r="G53" s="217"/>
      <c r="H53" s="217"/>
      <c r="I53" s="217"/>
      <c r="J53" s="217"/>
      <c r="K53" s="217"/>
      <c r="L53" s="217"/>
      <c r="M53" s="217"/>
      <c r="N53" s="217"/>
      <c r="O53" s="217"/>
      <c r="P53" s="217"/>
      <c r="Q53" s="217"/>
      <c r="R53" s="879">
        <f t="shared" si="11"/>
        <v>18000</v>
      </c>
      <c r="S53" s="217">
        <f>R53</f>
        <v>18000</v>
      </c>
      <c r="T53" s="217"/>
      <c r="U53" s="213"/>
    </row>
    <row r="54" spans="1:21" s="224" customFormat="1">
      <c r="A54" s="219" t="s">
        <v>162</v>
      </c>
      <c r="B54" s="220">
        <f>SUM(C54:D54)</f>
        <v>1427111</v>
      </c>
      <c r="C54" s="220">
        <f t="shared" ref="C54:T54" si="12">SUM(C45:C53)</f>
        <v>1427111</v>
      </c>
      <c r="D54" s="220">
        <f t="shared" si="12"/>
        <v>0</v>
      </c>
      <c r="E54" s="220">
        <f t="shared" si="12"/>
        <v>1427111</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1427111</v>
      </c>
      <c r="S54" s="220">
        <f t="shared" si="12"/>
        <v>1088185</v>
      </c>
      <c r="T54" s="220">
        <f t="shared" si="12"/>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97209</v>
      </c>
      <c r="C56" s="217">
        <v>97209</v>
      </c>
      <c r="D56" s="217"/>
      <c r="E56" s="217">
        <f>C56</f>
        <v>97209</v>
      </c>
      <c r="F56" s="217"/>
      <c r="G56" s="217"/>
      <c r="H56" s="217"/>
      <c r="I56" s="217"/>
      <c r="J56" s="217"/>
      <c r="K56" s="217"/>
      <c r="L56" s="217"/>
      <c r="M56" s="217"/>
      <c r="N56" s="217"/>
      <c r="O56" s="217"/>
      <c r="P56" s="217"/>
      <c r="Q56" s="217"/>
      <c r="R56" s="879">
        <f t="shared" ref="R56:R61" si="14">SUM(E56:Q56)</f>
        <v>97209</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20000</v>
      </c>
      <c r="C58" s="217">
        <v>20000</v>
      </c>
      <c r="D58" s="217"/>
      <c r="E58" s="217">
        <f>C58</f>
        <v>20000</v>
      </c>
      <c r="F58" s="217"/>
      <c r="G58" s="217"/>
      <c r="H58" s="217"/>
      <c r="I58" s="217"/>
      <c r="J58" s="217"/>
      <c r="K58" s="217"/>
      <c r="L58" s="217"/>
      <c r="M58" s="217"/>
      <c r="N58" s="217"/>
      <c r="O58" s="217"/>
      <c r="P58" s="217"/>
      <c r="Q58" s="217"/>
      <c r="R58" s="879">
        <f t="shared" si="14"/>
        <v>20000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2608</v>
      </c>
      <c r="B61" s="216">
        <f t="shared" si="13"/>
        <v>10000</v>
      </c>
      <c r="C61" s="217">
        <f>10000</f>
        <v>10000</v>
      </c>
      <c r="D61" s="217"/>
      <c r="E61" s="217">
        <f>C61</f>
        <v>10000</v>
      </c>
      <c r="F61" s="217"/>
      <c r="G61" s="217"/>
      <c r="H61" s="217"/>
      <c r="I61" s="217"/>
      <c r="J61" s="217"/>
      <c r="K61" s="217"/>
      <c r="L61" s="217"/>
      <c r="M61" s="217"/>
      <c r="N61" s="217"/>
      <c r="O61" s="217"/>
      <c r="P61" s="217"/>
      <c r="Q61" s="217"/>
      <c r="R61" s="879">
        <f t="shared" si="14"/>
        <v>10000</v>
      </c>
      <c r="S61" s="218"/>
      <c r="T61" s="218"/>
      <c r="U61" s="213"/>
    </row>
    <row r="62" spans="1:21" s="214" customFormat="1" ht="13.75" customHeight="1">
      <c r="A62" s="219" t="s">
        <v>309</v>
      </c>
      <c r="B62" s="216">
        <f>SUM(C62:D62)</f>
        <v>127209</v>
      </c>
      <c r="C62" s="216">
        <f t="shared" ref="C62:R62" si="15">SUM(C56:C61)</f>
        <v>127209</v>
      </c>
      <c r="D62" s="216">
        <f t="shared" si="15"/>
        <v>0</v>
      </c>
      <c r="E62" s="216">
        <f t="shared" si="15"/>
        <v>127209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127209</v>
      </c>
      <c r="S62" s="218"/>
      <c r="T62" s="218"/>
      <c r="U62" s="213"/>
    </row>
    <row r="63" spans="1:21" s="214" customFormat="1">
      <c r="A63" s="225" t="s">
        <v>310</v>
      </c>
      <c r="B63" s="216">
        <f t="shared" ref="B63:R63" si="16">SUM(B8+B11+B13+B14+B15+B26+B27+B38+B42+B43+B54+B62)</f>
        <v>18786463</v>
      </c>
      <c r="C63" s="216">
        <f t="shared" si="16"/>
        <v>18786463</v>
      </c>
      <c r="D63" s="216">
        <f t="shared" si="16"/>
        <v>0</v>
      </c>
      <c r="E63" s="216">
        <f t="shared" si="16"/>
        <v>5463273</v>
      </c>
      <c r="F63" s="216">
        <f t="shared" si="16"/>
        <v>9370870</v>
      </c>
      <c r="G63" s="216">
        <f t="shared" si="16"/>
        <v>1192320</v>
      </c>
      <c r="H63" s="216">
        <f t="shared" si="16"/>
        <v>0</v>
      </c>
      <c r="I63" s="216">
        <f t="shared" si="16"/>
        <v>2760000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18786463</v>
      </c>
      <c r="S63" s="216">
        <f>SUM(S10+S13+S14+S15+S26+S27+S38+S42+S43+S54)</f>
        <v>15535328</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65000+35000</f>
        <v>100000</v>
      </c>
      <c r="D65" s="217"/>
      <c r="E65" s="217">
        <f>C65</f>
        <v>100000</v>
      </c>
      <c r="F65" s="217"/>
      <c r="G65" s="217"/>
      <c r="H65" s="217"/>
      <c r="I65" s="217"/>
      <c r="J65" s="217"/>
      <c r="K65" s="217"/>
      <c r="L65" s="217"/>
      <c r="M65" s="217"/>
      <c r="N65" s="217"/>
      <c r="O65" s="217"/>
      <c r="P65" s="217"/>
      <c r="Q65" s="217"/>
      <c r="R65" s="879">
        <f>SUM(E65:Q65)</f>
        <v>100000</v>
      </c>
      <c r="S65" s="217">
        <f>R65-35000</f>
        <v>65000</v>
      </c>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2609</v>
      </c>
      <c r="B69" s="216">
        <f t="shared" si="17"/>
        <v>48000</v>
      </c>
      <c r="C69" s="217">
        <f>38000+10000</f>
        <v>48000</v>
      </c>
      <c r="D69" s="217"/>
      <c r="E69" s="217">
        <f>C69</f>
        <v>48000</v>
      </c>
      <c r="F69" s="217"/>
      <c r="G69" s="217"/>
      <c r="H69" s="217"/>
      <c r="I69" s="217"/>
      <c r="J69" s="217"/>
      <c r="K69" s="217"/>
      <c r="L69" s="217"/>
      <c r="M69" s="217"/>
      <c r="N69" s="217"/>
      <c r="O69" s="217"/>
      <c r="P69" s="217"/>
      <c r="Q69" s="217"/>
      <c r="R69" s="879">
        <f>SUM(E69:Q69)</f>
        <v>48000</v>
      </c>
      <c r="S69" s="217">
        <f>R69-10000</f>
        <v>38000</v>
      </c>
      <c r="T69" s="217"/>
      <c r="U69" s="213"/>
    </row>
    <row r="70" spans="1:21" s="214" customFormat="1">
      <c r="A70" s="219" t="s">
        <v>1998</v>
      </c>
      <c r="B70" s="216">
        <f>SUM(C70:D70)</f>
        <v>148000</v>
      </c>
      <c r="C70" s="216">
        <f>SUM(C65:C69)</f>
        <v>148000</v>
      </c>
      <c r="D70" s="216">
        <f>SUM(D65:D69)</f>
        <v>0</v>
      </c>
      <c r="E70" s="216">
        <f t="shared" ref="E70:T70" si="19">SUM(E65:E69)</f>
        <v>148000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148000</v>
      </c>
      <c r="S70" s="220">
        <f t="shared" si="19"/>
        <v>103000</v>
      </c>
      <c r="T70" s="220">
        <f t="shared" si="19"/>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223400</v>
      </c>
      <c r="C75" s="217">
        <v>223400</v>
      </c>
      <c r="D75" s="217"/>
      <c r="E75" s="217">
        <f>C75</f>
        <v>223400</v>
      </c>
      <c r="F75" s="217"/>
      <c r="G75" s="217"/>
      <c r="H75" s="217"/>
      <c r="I75" s="217"/>
      <c r="J75" s="217"/>
      <c r="K75" s="217"/>
      <c r="L75" s="217"/>
      <c r="M75" s="217"/>
      <c r="N75" s="217"/>
      <c r="O75" s="217"/>
      <c r="P75" s="217"/>
      <c r="Q75" s="217"/>
      <c r="R75" s="879">
        <f>SUM(E75:Q75)</f>
        <v>223400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223400</v>
      </c>
      <c r="C77" s="216">
        <f>SUM(C72:C76)</f>
        <v>223400</v>
      </c>
      <c r="D77" s="216">
        <f>SUM(D72:D76)</f>
        <v>0</v>
      </c>
      <c r="E77" s="216">
        <f t="shared" ref="E77:Q77" si="20">SUM(E72:E76)</f>
        <v>223400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223400</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671357</v>
      </c>
      <c r="C79" s="217">
        <v>671357</v>
      </c>
      <c r="D79" s="217"/>
      <c r="E79" s="217">
        <f>C79</f>
        <v>671357</v>
      </c>
      <c r="F79" s="217"/>
      <c r="G79" s="217"/>
      <c r="H79" s="217"/>
      <c r="I79" s="217"/>
      <c r="J79" s="217"/>
      <c r="K79" s="217"/>
      <c r="L79" s="217"/>
      <c r="M79" s="217"/>
      <c r="N79" s="217"/>
      <c r="O79" s="217"/>
      <c r="P79" s="217"/>
      <c r="Q79" s="217"/>
      <c r="R79" s="879">
        <f>SUM(E79:Q79)</f>
        <v>671357</v>
      </c>
      <c r="S79" s="217">
        <f>R79</f>
        <v>671357</v>
      </c>
      <c r="T79" s="217"/>
      <c r="U79" s="213"/>
    </row>
    <row r="80" spans="1:21" s="214" customFormat="1">
      <c r="A80" s="440" t="s">
        <v>61</v>
      </c>
      <c r="B80" s="216">
        <f>SUM(C80:D80)</f>
        <v>300000</v>
      </c>
      <c r="C80" s="217">
        <v>300000</v>
      </c>
      <c r="D80" s="217"/>
      <c r="E80" s="217">
        <f>C80</f>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c r="A81" s="219" t="s">
        <v>1418</v>
      </c>
      <c r="B81" s="216">
        <f>SUM(C81:D81)</f>
        <v>971357</v>
      </c>
      <c r="C81" s="859">
        <f>SUM(C79:C80)</f>
        <v>971357</v>
      </c>
      <c r="D81" s="859">
        <f t="shared" ref="D81:T81" si="21">SUM(D79:D80)</f>
        <v>0</v>
      </c>
      <c r="E81" s="859">
        <f t="shared" si="21"/>
        <v>971357</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971357</v>
      </c>
      <c r="S81" s="859">
        <f t="shared" si="21"/>
        <v>971357</v>
      </c>
      <c r="T81" s="859">
        <f t="shared" si="21"/>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39757</v>
      </c>
      <c r="C83" s="217">
        <f>13517+26240</f>
        <v>39757</v>
      </c>
      <c r="D83" s="217"/>
      <c r="E83" s="217">
        <f>C83</f>
        <v>39757</v>
      </c>
      <c r="F83" s="217"/>
      <c r="G83" s="217"/>
      <c r="H83" s="217"/>
      <c r="I83" s="217"/>
      <c r="J83" s="217"/>
      <c r="K83" s="217"/>
      <c r="L83" s="217"/>
      <c r="M83" s="217"/>
      <c r="N83" s="217"/>
      <c r="O83" s="217"/>
      <c r="P83" s="217"/>
      <c r="Q83" s="217"/>
      <c r="R83" s="879">
        <f t="shared" ref="R83:R95" si="23">SUM(E83:Q83)</f>
        <v>39757</v>
      </c>
      <c r="S83" s="218"/>
      <c r="T83" s="218"/>
      <c r="U83" s="213"/>
    </row>
    <row r="84" spans="1:21" s="214" customFormat="1">
      <c r="A84" s="215" t="s">
        <v>825</v>
      </c>
      <c r="B84" s="216">
        <f t="shared" si="22"/>
        <v>15000</v>
      </c>
      <c r="C84" s="217">
        <v>15000</v>
      </c>
      <c r="D84" s="217"/>
      <c r="E84" s="217">
        <f>C84</f>
        <v>15000</v>
      </c>
      <c r="F84" s="217"/>
      <c r="G84" s="217"/>
      <c r="H84" s="217"/>
      <c r="I84" s="217"/>
      <c r="J84" s="217"/>
      <c r="K84" s="217"/>
      <c r="L84" s="217"/>
      <c r="M84" s="217"/>
      <c r="N84" s="217"/>
      <c r="O84" s="217"/>
      <c r="P84" s="217"/>
      <c r="Q84" s="217"/>
      <c r="R84" s="879">
        <f t="shared" si="23"/>
        <v>15000</v>
      </c>
      <c r="S84" s="217"/>
      <c r="T84" s="217"/>
      <c r="U84" s="213"/>
    </row>
    <row r="85" spans="1:21" s="214" customFormat="1">
      <c r="A85" s="215" t="s">
        <v>826</v>
      </c>
      <c r="B85" s="216">
        <f t="shared" si="22"/>
        <v>2300000</v>
      </c>
      <c r="C85" s="217">
        <v>2300000</v>
      </c>
      <c r="D85" s="217"/>
      <c r="E85" s="217">
        <f>C85-J85</f>
        <v>2299900</v>
      </c>
      <c r="F85" s="217"/>
      <c r="G85" s="217"/>
      <c r="H85" s="217"/>
      <c r="I85" s="217"/>
      <c r="J85" s="217">
        <v>100</v>
      </c>
      <c r="K85" s="217"/>
      <c r="L85" s="217"/>
      <c r="M85" s="217"/>
      <c r="N85" s="217"/>
      <c r="O85" s="217"/>
      <c r="P85" s="217"/>
      <c r="Q85" s="217"/>
      <c r="R85" s="879">
        <f t="shared" si="23"/>
        <v>2300000</v>
      </c>
      <c r="S85" s="217">
        <f>R85</f>
        <v>2300000</v>
      </c>
      <c r="T85" s="217"/>
      <c r="U85" s="213"/>
    </row>
    <row r="86" spans="1:21" s="214" customFormat="1">
      <c r="A86" s="215" t="s">
        <v>827</v>
      </c>
      <c r="B86" s="216">
        <f t="shared" si="22"/>
        <v>250000</v>
      </c>
      <c r="C86" s="217">
        <v>250000</v>
      </c>
      <c r="D86" s="217"/>
      <c r="E86" s="217">
        <f>C86</f>
        <v>250000</v>
      </c>
      <c r="F86" s="217"/>
      <c r="G86" s="217"/>
      <c r="H86" s="217"/>
      <c r="I86" s="217"/>
      <c r="J86" s="217"/>
      <c r="K86" s="217"/>
      <c r="L86" s="217"/>
      <c r="M86" s="217"/>
      <c r="N86" s="217"/>
      <c r="O86" s="217"/>
      <c r="P86" s="217"/>
      <c r="Q86" s="217"/>
      <c r="R86" s="879">
        <f t="shared" si="23"/>
        <v>250000</v>
      </c>
      <c r="S86" s="217">
        <f>R86</f>
        <v>250000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72000</v>
      </c>
      <c r="C88" s="217">
        <v>72000</v>
      </c>
      <c r="D88" s="217"/>
      <c r="E88" s="217">
        <f t="shared" ref="E88:E93" si="24">C88</f>
        <v>72000</v>
      </c>
      <c r="F88" s="217"/>
      <c r="G88" s="217"/>
      <c r="H88" s="217"/>
      <c r="I88" s="217"/>
      <c r="J88" s="217"/>
      <c r="K88" s="217"/>
      <c r="L88" s="217"/>
      <c r="M88" s="217"/>
      <c r="N88" s="217"/>
      <c r="O88" s="217"/>
      <c r="P88" s="217"/>
      <c r="Q88" s="217"/>
      <c r="R88" s="879">
        <f t="shared" si="23"/>
        <v>72000</v>
      </c>
      <c r="S88" s="218"/>
      <c r="T88" s="218"/>
      <c r="U88" s="213"/>
    </row>
    <row r="89" spans="1:21" s="214" customFormat="1">
      <c r="A89" s="215" t="s">
        <v>830</v>
      </c>
      <c r="B89" s="216">
        <f t="shared" si="22"/>
        <v>65000</v>
      </c>
      <c r="C89" s="217">
        <v>65000</v>
      </c>
      <c r="D89" s="217"/>
      <c r="E89" s="217">
        <f t="shared" si="24"/>
        <v>65000</v>
      </c>
      <c r="F89" s="217"/>
      <c r="G89" s="217"/>
      <c r="H89" s="217"/>
      <c r="I89" s="217"/>
      <c r="J89" s="217"/>
      <c r="K89" s="217"/>
      <c r="L89" s="217"/>
      <c r="M89" s="217"/>
      <c r="N89" s="217"/>
      <c r="O89" s="217"/>
      <c r="P89" s="217"/>
      <c r="Q89" s="217"/>
      <c r="R89" s="879">
        <f t="shared" si="23"/>
        <v>65000</v>
      </c>
      <c r="S89" s="217">
        <f>R89</f>
        <v>65000</v>
      </c>
      <c r="T89" s="217"/>
      <c r="U89" s="213"/>
    </row>
    <row r="90" spans="1:21" s="214" customFormat="1">
      <c r="A90" s="215" t="s">
        <v>831</v>
      </c>
      <c r="B90" s="216">
        <f t="shared" si="22"/>
        <v>10000</v>
      </c>
      <c r="C90" s="217">
        <v>10000</v>
      </c>
      <c r="D90" s="217"/>
      <c r="E90" s="217">
        <f t="shared" si="24"/>
        <v>10000</v>
      </c>
      <c r="F90" s="217"/>
      <c r="G90" s="217"/>
      <c r="H90" s="217"/>
      <c r="I90" s="217"/>
      <c r="J90" s="217"/>
      <c r="K90" s="217"/>
      <c r="L90" s="217"/>
      <c r="M90" s="217"/>
      <c r="N90" s="217"/>
      <c r="O90" s="217"/>
      <c r="P90" s="217"/>
      <c r="Q90" s="217"/>
      <c r="R90" s="879">
        <f t="shared" si="23"/>
        <v>10000</v>
      </c>
      <c r="S90" s="217">
        <v>5000</v>
      </c>
      <c r="T90" s="217"/>
      <c r="U90" s="213"/>
    </row>
    <row r="91" spans="1:21" s="214" customFormat="1">
      <c r="A91" s="1810" t="s">
        <v>390</v>
      </c>
      <c r="B91" s="216">
        <f t="shared" si="22"/>
        <v>27120</v>
      </c>
      <c r="C91" s="217">
        <v>27120</v>
      </c>
      <c r="D91" s="217"/>
      <c r="E91" s="217">
        <f t="shared" si="24"/>
        <v>27120</v>
      </c>
      <c r="F91" s="217"/>
      <c r="G91" s="217"/>
      <c r="H91" s="217"/>
      <c r="I91" s="217"/>
      <c r="J91" s="217"/>
      <c r="K91" s="217"/>
      <c r="L91" s="217"/>
      <c r="M91" s="217"/>
      <c r="N91" s="217"/>
      <c r="O91" s="217"/>
      <c r="P91" s="217"/>
      <c r="Q91" s="217"/>
      <c r="R91" s="879">
        <f t="shared" si="23"/>
        <v>27120</v>
      </c>
      <c r="S91" s="217"/>
      <c r="T91" s="217"/>
      <c r="U91" s="213"/>
    </row>
    <row r="92" spans="1:21" s="214" customFormat="1">
      <c r="A92" s="1809" t="s">
        <v>1420</v>
      </c>
      <c r="B92" s="216">
        <f t="shared" si="22"/>
        <v>15000</v>
      </c>
      <c r="C92" s="217">
        <v>15000</v>
      </c>
      <c r="D92" s="217"/>
      <c r="E92" s="217">
        <f t="shared" si="24"/>
        <v>15000</v>
      </c>
      <c r="F92" s="217"/>
      <c r="G92" s="217"/>
      <c r="H92" s="217"/>
      <c r="I92" s="217"/>
      <c r="J92" s="217"/>
      <c r="K92" s="217"/>
      <c r="L92" s="217"/>
      <c r="M92" s="217"/>
      <c r="N92" s="217"/>
      <c r="O92" s="217"/>
      <c r="P92" s="217"/>
      <c r="Q92" s="217"/>
      <c r="R92" s="879">
        <f t="shared" si="23"/>
        <v>15000</v>
      </c>
      <c r="S92" s="217">
        <f>20000-S90</f>
        <v>15000</v>
      </c>
      <c r="T92" s="217"/>
      <c r="U92" s="213"/>
    </row>
    <row r="93" spans="1:21" s="214" customFormat="1">
      <c r="A93" s="1857" t="s">
        <v>2610</v>
      </c>
      <c r="B93" s="216">
        <f t="shared" si="22"/>
        <v>14375</v>
      </c>
      <c r="C93" s="217">
        <f>11875+2500</f>
        <v>14375</v>
      </c>
      <c r="D93" s="217"/>
      <c r="E93" s="217">
        <f t="shared" si="24"/>
        <v>14375</v>
      </c>
      <c r="F93" s="217"/>
      <c r="G93" s="217"/>
      <c r="H93" s="217"/>
      <c r="I93" s="217"/>
      <c r="J93" s="217"/>
      <c r="K93" s="217"/>
      <c r="L93" s="217"/>
      <c r="M93" s="217"/>
      <c r="N93" s="217"/>
      <c r="O93" s="217"/>
      <c r="P93" s="217"/>
      <c r="Q93" s="217"/>
      <c r="R93" s="879">
        <f t="shared" si="23"/>
        <v>14375</v>
      </c>
      <c r="S93" s="217">
        <f>R93</f>
        <v>14375</v>
      </c>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2808252</v>
      </c>
      <c r="C96" s="216">
        <f t="shared" ref="C96:R96" si="25">SUM(C83:C95)</f>
        <v>2808252</v>
      </c>
      <c r="D96" s="216">
        <f t="shared" si="25"/>
        <v>0</v>
      </c>
      <c r="E96" s="216">
        <f t="shared" si="25"/>
        <v>2808152</v>
      </c>
      <c r="F96" s="216">
        <f t="shared" si="25"/>
        <v>0</v>
      </c>
      <c r="G96" s="216">
        <f t="shared" si="25"/>
        <v>0</v>
      </c>
      <c r="H96" s="216">
        <f t="shared" si="25"/>
        <v>0</v>
      </c>
      <c r="I96" s="216">
        <f t="shared" si="25"/>
        <v>0</v>
      </c>
      <c r="J96" s="216">
        <f t="shared" si="25"/>
        <v>100</v>
      </c>
      <c r="K96" s="216">
        <f t="shared" si="25"/>
        <v>0</v>
      </c>
      <c r="L96" s="216">
        <f t="shared" si="25"/>
        <v>0</v>
      </c>
      <c r="M96" s="216">
        <f t="shared" si="25"/>
        <v>0</v>
      </c>
      <c r="N96" s="216">
        <f t="shared" si="25"/>
        <v>0</v>
      </c>
      <c r="O96" s="216">
        <f t="shared" si="25"/>
        <v>0</v>
      </c>
      <c r="P96" s="216">
        <f t="shared" si="25"/>
        <v>0</v>
      </c>
      <c r="Q96" s="216">
        <f t="shared" si="25"/>
        <v>0</v>
      </c>
      <c r="R96" s="534">
        <f t="shared" si="25"/>
        <v>2808252</v>
      </c>
      <c r="S96" s="220">
        <f>SUM(S84:S87,S89:S95)</f>
        <v>2649375</v>
      </c>
      <c r="T96" s="216">
        <f>SUM(T84:T87,T89:T95)</f>
        <v>0</v>
      </c>
      <c r="U96" s="213"/>
    </row>
    <row r="97" spans="1:21" s="214" customFormat="1">
      <c r="A97" s="219" t="s">
        <v>833</v>
      </c>
      <c r="B97" s="216">
        <f>SUM(C97:D97)</f>
        <v>22937472</v>
      </c>
      <c r="C97" s="216">
        <f t="shared" ref="C97:R97" si="26">SUM(C63+C70+C77+C81+C96)</f>
        <v>22937472</v>
      </c>
      <c r="D97" s="216">
        <f t="shared" si="26"/>
        <v>0</v>
      </c>
      <c r="E97" s="216">
        <f t="shared" si="26"/>
        <v>9614182</v>
      </c>
      <c r="F97" s="216">
        <f t="shared" si="26"/>
        <v>9370870</v>
      </c>
      <c r="G97" s="216">
        <f t="shared" si="26"/>
        <v>1192320</v>
      </c>
      <c r="H97" s="216">
        <f t="shared" si="26"/>
        <v>0</v>
      </c>
      <c r="I97" s="216">
        <f t="shared" si="26"/>
        <v>2760000</v>
      </c>
      <c r="J97" s="216">
        <f t="shared" si="26"/>
        <v>100</v>
      </c>
      <c r="K97" s="216">
        <f t="shared" si="26"/>
        <v>0</v>
      </c>
      <c r="L97" s="216">
        <f t="shared" si="26"/>
        <v>0</v>
      </c>
      <c r="M97" s="216">
        <f t="shared" si="26"/>
        <v>0</v>
      </c>
      <c r="N97" s="216">
        <f t="shared" si="26"/>
        <v>0</v>
      </c>
      <c r="O97" s="216">
        <f t="shared" si="26"/>
        <v>0</v>
      </c>
      <c r="P97" s="216">
        <f t="shared" si="26"/>
        <v>0</v>
      </c>
      <c r="Q97" s="216">
        <f t="shared" si="26"/>
        <v>0</v>
      </c>
      <c r="R97" s="216">
        <f t="shared" si="26"/>
        <v>22937472</v>
      </c>
      <c r="S97" s="216">
        <f>SUM(S63+S70+S81+S96)</f>
        <v>19259060</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2888858</v>
      </c>
      <c r="C99" s="1702">
        <v>2888858</v>
      </c>
      <c r="D99" s="1702"/>
      <c r="E99" s="1702">
        <f>C99-H99</f>
        <v>760858</v>
      </c>
      <c r="F99" s="217"/>
      <c r="G99" s="217"/>
      <c r="H99" s="217">
        <v>2128000</v>
      </c>
      <c r="I99" s="217"/>
      <c r="J99" s="217"/>
      <c r="K99" s="217"/>
      <c r="L99" s="217"/>
      <c r="M99" s="217"/>
      <c r="N99" s="217"/>
      <c r="O99" s="217"/>
      <c r="P99" s="217"/>
      <c r="Q99" s="217"/>
      <c r="R99" s="879">
        <f t="shared" ref="R99:R103" si="27">SUM(E99:Q99)</f>
        <v>2888858</v>
      </c>
      <c r="S99" s="217">
        <f>R99</f>
        <v>2888858</v>
      </c>
      <c r="T99" s="217"/>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837</v>
      </c>
      <c r="B104" s="216">
        <f>SUM(C104:D104)</f>
        <v>2888858</v>
      </c>
      <c r="C104" s="216">
        <f>SUM(C99:C103)</f>
        <v>2888858</v>
      </c>
      <c r="D104" s="216">
        <f t="shared" ref="D104:T104" si="29">SUM(D99:D103)</f>
        <v>0</v>
      </c>
      <c r="E104" s="216">
        <f t="shared" si="29"/>
        <v>760858</v>
      </c>
      <c r="F104" s="216">
        <f t="shared" si="29"/>
        <v>0</v>
      </c>
      <c r="G104" s="216">
        <f t="shared" si="29"/>
        <v>0</v>
      </c>
      <c r="H104" s="216">
        <f t="shared" si="29"/>
        <v>2128000</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2888858</v>
      </c>
      <c r="S104" s="220">
        <f t="shared" si="29"/>
        <v>2888858</v>
      </c>
      <c r="T104" s="220">
        <f t="shared" si="29"/>
        <v>0</v>
      </c>
      <c r="U104" s="213"/>
    </row>
    <row r="105" spans="1:21" s="214" customFormat="1">
      <c r="A105" s="219" t="s">
        <v>838</v>
      </c>
      <c r="B105" s="220">
        <f>SUM(C105:D105)</f>
        <v>25826330</v>
      </c>
      <c r="C105" s="220">
        <f t="shared" ref="C105:R105" si="30">SUM(C97+C104)</f>
        <v>25826330</v>
      </c>
      <c r="D105" s="220">
        <f t="shared" si="30"/>
        <v>0</v>
      </c>
      <c r="E105" s="220">
        <f t="shared" si="30"/>
        <v>10375040</v>
      </c>
      <c r="F105" s="220">
        <f t="shared" si="30"/>
        <v>9370870</v>
      </c>
      <c r="G105" s="220">
        <f t="shared" si="30"/>
        <v>1192320</v>
      </c>
      <c r="H105" s="220">
        <f t="shared" si="30"/>
        <v>2128000</v>
      </c>
      <c r="I105" s="220">
        <f t="shared" si="30"/>
        <v>2760000</v>
      </c>
      <c r="J105" s="220">
        <f t="shared" si="30"/>
        <v>100</v>
      </c>
      <c r="K105" s="220">
        <f t="shared" si="30"/>
        <v>0</v>
      </c>
      <c r="L105" s="220">
        <f t="shared" si="30"/>
        <v>0</v>
      </c>
      <c r="M105" s="220">
        <f t="shared" si="30"/>
        <v>0</v>
      </c>
      <c r="N105" s="220">
        <f t="shared" si="30"/>
        <v>0</v>
      </c>
      <c r="O105" s="220">
        <f t="shared" si="30"/>
        <v>0</v>
      </c>
      <c r="P105" s="220">
        <f t="shared" si="30"/>
        <v>0</v>
      </c>
      <c r="Q105" s="220">
        <f t="shared" si="30"/>
        <v>0</v>
      </c>
      <c r="R105" s="534">
        <f t="shared" si="30"/>
        <v>25826330</v>
      </c>
      <c r="S105" s="220">
        <f>S97+S104</f>
        <v>22147918</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22147918</v>
      </c>
      <c r="T107" s="234">
        <f>T105+T106</f>
        <v>0</v>
      </c>
    </row>
    <row r="108" spans="1:21" s="300" customFormat="1">
      <c r="A108" s="233" t="s">
        <v>944</v>
      </c>
      <c r="B108" s="228"/>
      <c r="C108" s="228"/>
      <c r="D108" s="228"/>
      <c r="E108" s="464">
        <f>Application!AO650</f>
        <v>10375040</v>
      </c>
      <c r="F108" s="464">
        <f>Application!AO637</f>
        <v>9370870</v>
      </c>
      <c r="G108" s="464">
        <f>Application!AO638</f>
        <v>1192320</v>
      </c>
      <c r="H108" s="464">
        <f>Application!AO639</f>
        <v>2128000</v>
      </c>
      <c r="I108" s="464">
        <f>Application!AO640</f>
        <v>2760000</v>
      </c>
      <c r="J108" s="464">
        <f>Application!AO641</f>
        <v>100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5">
      <c r="A121" s="530" t="s">
        <v>1110</v>
      </c>
      <c r="B121" s="228"/>
      <c r="C121" s="228"/>
      <c r="D121" s="228"/>
    </row>
    <row r="122" spans="1:21">
      <c r="A122" s="515" t="s">
        <v>1094</v>
      </c>
      <c r="B122" s="514"/>
      <c r="C122" s="514"/>
      <c r="D122" s="2583" t="s">
        <v>1095</v>
      </c>
      <c r="E122" s="2583"/>
      <c r="F122" s="2583"/>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86" t="s">
        <v>1438</v>
      </c>
      <c r="E123" s="2587"/>
      <c r="F123" s="2587"/>
      <c r="G123" s="2587"/>
      <c r="H123" s="2587"/>
      <c r="I123" s="2587"/>
      <c r="J123" s="2587"/>
      <c r="K123" s="2587"/>
      <c r="L123" s="2587"/>
      <c r="M123" s="2587"/>
      <c r="N123" s="2587"/>
      <c r="O123" s="2587"/>
      <c r="P123" s="2587"/>
      <c r="Q123" s="2587"/>
      <c r="R123" s="2587"/>
      <c r="S123" s="2587"/>
      <c r="T123" s="514"/>
      <c r="U123" s="516"/>
    </row>
    <row r="124" spans="1:21" ht="12.5">
      <c r="A124" s="513" t="s">
        <v>1097</v>
      </c>
      <c r="B124" s="523"/>
      <c r="C124" s="513"/>
      <c r="D124" s="2587"/>
      <c r="E124" s="2587"/>
      <c r="F124" s="2587"/>
      <c r="G124" s="2587"/>
      <c r="H124" s="2587"/>
      <c r="I124" s="2587"/>
      <c r="J124" s="2587"/>
      <c r="K124" s="2587"/>
      <c r="L124" s="2587"/>
      <c r="M124" s="2587"/>
      <c r="N124" s="2587"/>
      <c r="O124" s="2587"/>
      <c r="P124" s="2587"/>
      <c r="Q124" s="2587"/>
      <c r="R124" s="2587"/>
      <c r="S124" s="2587"/>
      <c r="T124" s="514"/>
      <c r="U124" s="516"/>
    </row>
    <row r="125" spans="1:21" ht="12.5">
      <c r="A125" s="513" t="s">
        <v>1098</v>
      </c>
      <c r="B125" s="523"/>
      <c r="C125" s="513"/>
      <c r="D125" s="2587"/>
      <c r="E125" s="2587"/>
      <c r="F125" s="2587"/>
      <c r="G125" s="2587"/>
      <c r="H125" s="2587"/>
      <c r="I125" s="2587"/>
      <c r="J125" s="2587"/>
      <c r="K125" s="2587"/>
      <c r="L125" s="2587"/>
      <c r="M125" s="2587"/>
      <c r="N125" s="2587"/>
      <c r="O125" s="2587"/>
      <c r="P125" s="2587"/>
      <c r="Q125" s="2587"/>
      <c r="R125" s="2587"/>
      <c r="S125" s="2587"/>
      <c r="T125" s="514"/>
      <c r="U125" s="516"/>
    </row>
    <row r="126" spans="1:21" ht="12.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1101</v>
      </c>
      <c r="B128" s="523"/>
      <c r="C128" s="513"/>
      <c r="D128" s="2580"/>
      <c r="E128" s="2580"/>
      <c r="F128" s="2580"/>
      <c r="G128" s="2580"/>
      <c r="H128" s="2580"/>
      <c r="I128" s="513"/>
      <c r="J128" s="2581"/>
      <c r="K128" s="2581"/>
      <c r="L128" s="513"/>
      <c r="M128" s="513"/>
      <c r="N128" s="513"/>
      <c r="O128" s="513"/>
      <c r="P128" s="513"/>
      <c r="Q128" s="513"/>
      <c r="R128" s="513"/>
      <c r="S128" s="513"/>
      <c r="T128" s="514"/>
      <c r="U128" s="516"/>
    </row>
    <row r="129" spans="1:21" ht="12.5">
      <c r="A129" s="513" t="s">
        <v>308</v>
      </c>
      <c r="B129" s="523"/>
      <c r="C129" s="513"/>
      <c r="D129" s="2582" t="s">
        <v>1102</v>
      </c>
      <c r="E129" s="2582"/>
      <c r="F129" s="2582"/>
      <c r="G129" s="2582"/>
      <c r="H129" s="2582"/>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1104</v>
      </c>
      <c r="B131" s="524">
        <f>SUM(B123:B129)</f>
        <v>0</v>
      </c>
      <c r="C131" s="513"/>
      <c r="D131" s="2563"/>
      <c r="E131" s="2563"/>
      <c r="F131" s="2563"/>
      <c r="G131" s="2563"/>
      <c r="H131" s="2563"/>
      <c r="I131" s="513"/>
      <c r="J131" s="2563"/>
      <c r="K131" s="2563"/>
      <c r="L131" s="2563"/>
      <c r="M131" s="2563"/>
      <c r="N131" s="513"/>
      <c r="O131" s="513"/>
      <c r="P131" s="513"/>
      <c r="Q131" s="513"/>
      <c r="R131" s="513"/>
      <c r="S131" s="513"/>
      <c r="T131" s="514"/>
      <c r="U131" s="516"/>
    </row>
    <row r="132" spans="1:21" ht="12" customHeight="1">
      <c r="A132" s="527"/>
      <c r="B132" s="513"/>
      <c r="C132" s="513"/>
      <c r="D132" s="2588" t="s">
        <v>1105</v>
      </c>
      <c r="E132" s="2588"/>
      <c r="F132" s="2588"/>
      <c r="G132" s="2588"/>
      <c r="H132" s="2588"/>
      <c r="I132" s="513"/>
      <c r="J132" s="2588" t="s">
        <v>1106</v>
      </c>
      <c r="K132" s="2588"/>
      <c r="L132" s="2588"/>
      <c r="M132" s="258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9"/>
      <c r="B138" s="2590"/>
      <c r="C138" s="2590"/>
      <c r="D138" s="518"/>
      <c r="E138" s="2581"/>
      <c r="F138" s="2581"/>
      <c r="G138" s="513"/>
      <c r="H138" s="513"/>
      <c r="I138" s="513"/>
      <c r="J138" s="513"/>
      <c r="K138" s="513"/>
      <c r="L138" s="513"/>
      <c r="M138" s="513"/>
      <c r="N138" s="513"/>
      <c r="O138" s="513"/>
      <c r="P138" s="513"/>
      <c r="Q138" s="513"/>
      <c r="R138" s="513"/>
      <c r="S138" s="513"/>
      <c r="T138" s="520"/>
      <c r="U138" s="521"/>
    </row>
    <row r="139" spans="1:21" ht="13">
      <c r="A139" s="2584" t="s">
        <v>1109</v>
      </c>
      <c r="B139" s="2585"/>
      <c r="C139" s="2585"/>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0" zoomScaleNormal="100" zoomScaleSheetLayoutView="100" workbookViewId="0">
      <selection activeCell="C3" sqref="C3"/>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97" t="s">
        <v>1441</v>
      </c>
      <c r="B1" s="2598"/>
      <c r="C1" s="2598"/>
      <c r="D1" s="2598"/>
      <c r="E1" s="2598"/>
      <c r="F1" s="2598"/>
      <c r="G1" s="2598"/>
      <c r="H1" s="2598"/>
      <c r="I1" s="2598"/>
      <c r="J1" s="2599"/>
      <c r="K1" s="559"/>
    </row>
    <row r="2" spans="1:11" s="615" customFormat="1" ht="69">
      <c r="A2" s="611"/>
      <c r="B2" s="612" t="s">
        <v>1139</v>
      </c>
      <c r="C2" s="612" t="s">
        <v>1443</v>
      </c>
      <c r="D2" s="613" t="s">
        <v>1444</v>
      </c>
      <c r="E2" s="612" t="s">
        <v>1351</v>
      </c>
      <c r="F2" s="612" t="s">
        <v>1445</v>
      </c>
      <c r="G2" s="612" t="s">
        <v>1446</v>
      </c>
      <c r="H2" s="612" t="s">
        <v>1140</v>
      </c>
      <c r="I2" s="612" t="s">
        <v>1447</v>
      </c>
      <c r="J2" s="612" t="s">
        <v>1448</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2760000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2785000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2785000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1632000</v>
      </c>
      <c r="C29" s="566"/>
      <c r="D29" s="566"/>
      <c r="E29" s="565">
        <f>'Sources and Uses Budget'!S29</f>
        <v>1632000</v>
      </c>
      <c r="F29" s="566"/>
      <c r="G29" s="566"/>
      <c r="H29" s="565">
        <f>'Sources and Uses Budget'!T29</f>
        <v>0</v>
      </c>
      <c r="I29" s="566"/>
      <c r="J29" s="566"/>
      <c r="K29" s="563"/>
    </row>
    <row r="30" spans="1:11" s="564" customFormat="1">
      <c r="A30" s="215" t="s">
        <v>634</v>
      </c>
      <c r="B30" s="565">
        <f>'Sources and Uses Budget'!C30</f>
        <v>10146195</v>
      </c>
      <c r="C30" s="566"/>
      <c r="D30" s="566"/>
      <c r="E30" s="565">
        <f>'Sources and Uses Budget'!S30</f>
        <v>10146195</v>
      </c>
      <c r="F30" s="566"/>
      <c r="G30" s="566"/>
      <c r="H30" s="565">
        <f>'Sources and Uses Budget'!T30</f>
        <v>0</v>
      </c>
      <c r="I30" s="566"/>
      <c r="J30" s="566"/>
      <c r="K30" s="563"/>
    </row>
    <row r="31" spans="1:11" s="564" customFormat="1">
      <c r="A31" s="215" t="s">
        <v>635</v>
      </c>
      <c r="B31" s="565">
        <f>'Sources and Uses Budget'!C31</f>
        <v>176673</v>
      </c>
      <c r="C31" s="566"/>
      <c r="D31" s="566"/>
      <c r="E31" s="565">
        <f>'Sources and Uses Budget'!S31</f>
        <v>176673</v>
      </c>
      <c r="F31" s="566"/>
      <c r="G31" s="566"/>
      <c r="H31" s="565">
        <f>'Sources and Uses Budget'!T31</f>
        <v>0</v>
      </c>
      <c r="I31" s="566"/>
      <c r="J31" s="566"/>
      <c r="K31" s="563"/>
    </row>
    <row r="32" spans="1:11" s="564" customFormat="1">
      <c r="A32" s="215" t="s">
        <v>142</v>
      </c>
      <c r="B32" s="565">
        <f>'Sources and Uses Budget'!C32</f>
        <v>530019</v>
      </c>
      <c r="C32" s="566"/>
      <c r="D32" s="566"/>
      <c r="E32" s="565">
        <f>'Sources and Uses Budget'!S32</f>
        <v>530019</v>
      </c>
      <c r="F32" s="566"/>
      <c r="G32" s="566"/>
      <c r="H32" s="565">
        <f>'Sources and Uses Budget'!T32</f>
        <v>0</v>
      </c>
      <c r="I32" s="566"/>
      <c r="J32" s="566"/>
      <c r="K32" s="563"/>
    </row>
    <row r="33" spans="1:11" s="564" customFormat="1">
      <c r="A33" s="215" t="s">
        <v>143</v>
      </c>
      <c r="B33" s="565">
        <f>'Sources and Uses Budget'!C33</f>
        <v>942256</v>
      </c>
      <c r="C33" s="566"/>
      <c r="D33" s="566"/>
      <c r="E33" s="565">
        <f>'Sources and Uses Budget'!S33</f>
        <v>942256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13427143</v>
      </c>
      <c r="C38" s="565">
        <f>SUM(C29:C37)</f>
        <v>0</v>
      </c>
      <c r="D38" s="565">
        <f>SUM(D29:D37)</f>
        <v>0</v>
      </c>
      <c r="E38" s="565">
        <f>'Sources and Uses Budget'!S38</f>
        <v>13427143</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630000</v>
      </c>
      <c r="C40" s="566"/>
      <c r="D40" s="566"/>
      <c r="E40" s="565">
        <f>'Sources and Uses Budget'!S40</f>
        <v>630000</v>
      </c>
      <c r="F40" s="566"/>
      <c r="G40" s="566"/>
      <c r="H40" s="565">
        <f>'Sources and Uses Budget'!T40</f>
        <v>0</v>
      </c>
      <c r="I40" s="566"/>
      <c r="J40" s="566"/>
      <c r="K40" s="563"/>
    </row>
    <row r="41" spans="1:11" s="564" customFormat="1">
      <c r="A41" s="568" t="s">
        <v>151</v>
      </c>
      <c r="B41" s="565">
        <f>'Sources and Uses Budget'!C41</f>
        <v>70000</v>
      </c>
      <c r="C41" s="566"/>
      <c r="D41" s="566"/>
      <c r="E41" s="565">
        <f>'Sources and Uses Budget'!S41</f>
        <v>70000</v>
      </c>
      <c r="F41" s="566"/>
      <c r="G41" s="566"/>
      <c r="H41" s="565">
        <f>'Sources and Uses Budget'!T41</f>
        <v>0</v>
      </c>
      <c r="I41" s="566"/>
      <c r="J41" s="566"/>
      <c r="K41" s="563"/>
    </row>
    <row r="42" spans="1:11" s="564" customFormat="1">
      <c r="A42" s="569" t="s">
        <v>152</v>
      </c>
      <c r="B42" s="565">
        <f>'Sources and Uses Budget'!C42</f>
        <v>700000</v>
      </c>
      <c r="C42" s="565">
        <f>SUM(C39:C41)</f>
        <v>0</v>
      </c>
      <c r="D42" s="565">
        <f>SUM(D39:D41)</f>
        <v>0</v>
      </c>
      <c r="E42" s="565">
        <f>'Sources and Uses Budget'!S42</f>
        <v>700000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320000</v>
      </c>
      <c r="C43" s="566"/>
      <c r="D43" s="566"/>
      <c r="E43" s="565">
        <f>'Sources and Uses Budget'!S43</f>
        <v>320000</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823205</v>
      </c>
      <c r="C45" s="566"/>
      <c r="D45" s="566"/>
      <c r="E45" s="565">
        <f>'Sources and Uses Budget'!S45</f>
        <v>603684</v>
      </c>
      <c r="F45" s="566"/>
      <c r="G45" s="566"/>
      <c r="H45" s="565">
        <f>'Sources and Uses Budget'!T45</f>
        <v>0</v>
      </c>
      <c r="I45" s="566"/>
      <c r="J45" s="566"/>
      <c r="K45" s="563"/>
    </row>
    <row r="46" spans="1:11" s="564" customFormat="1">
      <c r="A46" s="568" t="s">
        <v>156</v>
      </c>
      <c r="B46" s="565">
        <f>'Sources and Uses Budget'!C46</f>
        <v>171501</v>
      </c>
      <c r="C46" s="566"/>
      <c r="D46" s="566"/>
      <c r="E46" s="565">
        <f>'Sources and Uses Budget'!S46</f>
        <v>171501</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119405</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20000</v>
      </c>
      <c r="C50" s="566"/>
      <c r="D50" s="566"/>
      <c r="E50" s="565">
        <f>'Sources and Uses Budget'!S50</f>
        <v>20000</v>
      </c>
      <c r="F50" s="566"/>
      <c r="G50" s="566"/>
      <c r="H50" s="565">
        <f>'Sources and Uses Budget'!T50</f>
        <v>0</v>
      </c>
      <c r="I50" s="566"/>
      <c r="J50" s="566"/>
      <c r="K50" s="563"/>
    </row>
    <row r="51" spans="1:11" s="564" customFormat="1">
      <c r="A51" s="568" t="s">
        <v>159</v>
      </c>
      <c r="B51" s="565">
        <f>'Sources and Uses Budget'!C51</f>
        <v>50000</v>
      </c>
      <c r="C51" s="566"/>
      <c r="D51" s="566"/>
      <c r="E51" s="565">
        <f>'Sources and Uses Budget'!S51</f>
        <v>50000</v>
      </c>
      <c r="F51" s="566"/>
      <c r="G51" s="566"/>
      <c r="H51" s="565">
        <f>'Sources and Uses Budget'!T51</f>
        <v>0</v>
      </c>
      <c r="I51" s="566"/>
      <c r="J51" s="566"/>
      <c r="K51" s="563"/>
    </row>
    <row r="52" spans="1:11" s="564" customFormat="1">
      <c r="A52" s="568" t="s">
        <v>160</v>
      </c>
      <c r="B52" s="565">
        <f>'Sources and Uses Budget'!C52</f>
        <v>225000</v>
      </c>
      <c r="C52" s="566"/>
      <c r="D52" s="566"/>
      <c r="E52" s="565">
        <f>'Sources and Uses Budget'!S52</f>
        <v>225000</v>
      </c>
      <c r="F52" s="566"/>
      <c r="G52" s="566"/>
      <c r="H52" s="565">
        <f>'Sources and Uses Budget'!T52</f>
        <v>0</v>
      </c>
      <c r="I52" s="566"/>
      <c r="J52" s="566"/>
      <c r="K52" s="563"/>
    </row>
    <row r="53" spans="1:11" s="564" customFormat="1">
      <c r="A53" s="571" t="str">
        <f>'Sources and Uses Budget'!$A53</f>
        <v>Lender Inspection Fees</v>
      </c>
      <c r="B53" s="565">
        <f>'Sources and Uses Budget'!C53</f>
        <v>18000</v>
      </c>
      <c r="C53" s="566"/>
      <c r="D53" s="566"/>
      <c r="E53" s="565">
        <f>'Sources and Uses Budget'!S53</f>
        <v>18000</v>
      </c>
      <c r="F53" s="566"/>
      <c r="G53" s="566"/>
      <c r="H53" s="565">
        <f>'Sources and Uses Budget'!T53</f>
        <v>0</v>
      </c>
      <c r="I53" s="566"/>
      <c r="J53" s="566"/>
      <c r="K53" s="563"/>
    </row>
    <row r="54" spans="1:11" s="575" customFormat="1">
      <c r="A54" s="569" t="s">
        <v>162</v>
      </c>
      <c r="B54" s="565">
        <f>'Sources and Uses Budget'!C54</f>
        <v>1427111</v>
      </c>
      <c r="C54" s="572">
        <f>SUM(C45:C53)</f>
        <v>0</v>
      </c>
      <c r="D54" s="572">
        <f>SUM(D45:D53)</f>
        <v>0</v>
      </c>
      <c r="E54" s="565">
        <f>'Sources and Uses Budget'!S54</f>
        <v>1088185</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97209</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Permanent Lender Fees</v>
      </c>
      <c r="B61" s="565">
        <f>'Sources and Uses Budget'!C61</f>
        <v>10000</v>
      </c>
      <c r="C61" s="566"/>
      <c r="D61" s="566"/>
      <c r="E61" s="567"/>
      <c r="F61" s="567"/>
      <c r="G61" s="567"/>
      <c r="H61" s="567"/>
      <c r="I61" s="567"/>
      <c r="J61" s="567"/>
      <c r="K61" s="563"/>
    </row>
    <row r="62" spans="1:11" s="564" customFormat="1" ht="13.75" customHeight="1">
      <c r="A62" s="569" t="s">
        <v>309</v>
      </c>
      <c r="B62" s="565">
        <f>'Sources and Uses Budget'!C62</f>
        <v>127209</v>
      </c>
      <c r="C62" s="565">
        <f>SUM(C56:C61)</f>
        <v>0</v>
      </c>
      <c r="D62" s="565">
        <f>SUM(D56:D61)</f>
        <v>0</v>
      </c>
      <c r="E62" s="567"/>
      <c r="F62" s="567"/>
      <c r="G62" s="567"/>
      <c r="H62" s="567"/>
      <c r="I62" s="567"/>
      <c r="J62" s="567"/>
      <c r="K62" s="563"/>
    </row>
    <row r="63" spans="1:11" s="564" customFormat="1">
      <c r="A63" s="576" t="s">
        <v>310</v>
      </c>
      <c r="B63" s="565">
        <f>'Sources and Uses Budget'!C63</f>
        <v>18786463</v>
      </c>
      <c r="C63" s="565">
        <f>SUM(C8+C11+C13+C14+C15+C26+C27+C38+C42+C43+C54+C62)</f>
        <v>0</v>
      </c>
      <c r="D63" s="565">
        <f>SUM(D8+D11+D13+D14+D15+D26+D27+D38+D42+D43+D54+D62)</f>
        <v>0</v>
      </c>
      <c r="E63" s="565">
        <f>'Sources and Uses Budget'!S63</f>
        <v>15535328</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65000</v>
      </c>
      <c r="F65" s="566"/>
      <c r="G65" s="566"/>
      <c r="H65" s="565">
        <f>'Sources and Uses Budget'!T65</f>
        <v>0</v>
      </c>
      <c r="I65" s="566"/>
      <c r="J65" s="566"/>
      <c r="K65" s="563"/>
    </row>
    <row r="66" spans="1:11" s="564" customFormat="1" ht="23">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Borrower's Legal Fees</v>
      </c>
      <c r="B69" s="565">
        <f>'Sources and Uses Budget'!C69</f>
        <v>48000</v>
      </c>
      <c r="C69" s="566"/>
      <c r="D69" s="566"/>
      <c r="E69" s="565">
        <f>'Sources and Uses Budget'!S69</f>
        <v>38000</v>
      </c>
      <c r="F69" s="566"/>
      <c r="G69" s="566"/>
      <c r="H69" s="565">
        <f>'Sources and Uses Budget'!T69</f>
        <v>0</v>
      </c>
      <c r="I69" s="566"/>
      <c r="J69" s="566"/>
      <c r="K69" s="563"/>
    </row>
    <row r="70" spans="1:11" s="564" customFormat="1">
      <c r="A70" s="569" t="s">
        <v>636</v>
      </c>
      <c r="B70" s="565">
        <f>'Sources and Uses Budget'!C70</f>
        <v>148000</v>
      </c>
      <c r="C70" s="565">
        <f>SUM(C64:C69)</f>
        <v>0</v>
      </c>
      <c r="D70" s="565">
        <f>SUM(D64:D69)</f>
        <v>0</v>
      </c>
      <c r="E70" s="565">
        <f>'Sources and Uses Budget'!S70</f>
        <v>103000</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223400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223400</v>
      </c>
      <c r="C77" s="565">
        <f>SUM(C72:C76)</f>
        <v>0</v>
      </c>
      <c r="D77" s="565">
        <f>SUM(D72:D76)</f>
        <v>0</v>
      </c>
      <c r="E77" s="567"/>
      <c r="F77" s="567"/>
      <c r="G77" s="567"/>
      <c r="H77" s="567"/>
      <c r="I77" s="567"/>
      <c r="J77" s="567"/>
      <c r="K77" s="563"/>
    </row>
    <row r="78" spans="1:11" s="564" customFormat="1" ht="12">
      <c r="A78" s="561" t="s">
        <v>1419</v>
      </c>
      <c r="B78" s="562"/>
      <c r="C78" s="562"/>
      <c r="D78" s="562"/>
      <c r="E78" s="562"/>
      <c r="F78" s="562"/>
      <c r="G78" s="562"/>
      <c r="H78" s="562"/>
      <c r="I78" s="562"/>
      <c r="J78" s="562"/>
      <c r="K78" s="563"/>
    </row>
    <row r="79" spans="1:11" s="564" customFormat="1">
      <c r="A79" s="568" t="s">
        <v>1421</v>
      </c>
      <c r="B79" s="565">
        <f>'Sources and Uses Budget'!C79</f>
        <v>671357</v>
      </c>
      <c r="C79" s="566"/>
      <c r="D79" s="566"/>
      <c r="E79" s="565">
        <f>'Sources and Uses Budget'!S79</f>
        <v>671357</v>
      </c>
      <c r="F79" s="566"/>
      <c r="G79" s="566"/>
      <c r="H79" s="565">
        <f>'Sources and Uses Budget'!T79</f>
        <v>0</v>
      </c>
      <c r="I79" s="566"/>
      <c r="J79" s="566"/>
      <c r="K79" s="563"/>
    </row>
    <row r="80" spans="1:11" s="564" customFormat="1">
      <c r="A80" s="568" t="s">
        <v>61</v>
      </c>
      <c r="B80" s="565">
        <f>'Sources and Uses Budget'!C80</f>
        <v>300000</v>
      </c>
      <c r="C80" s="566"/>
      <c r="D80" s="566"/>
      <c r="E80" s="565">
        <f>'Sources and Uses Budget'!S80</f>
        <v>300000</v>
      </c>
      <c r="F80" s="566"/>
      <c r="G80" s="566"/>
      <c r="H80" s="565">
        <f>'Sources and Uses Budget'!T80</f>
        <v>0</v>
      </c>
      <c r="I80" s="566"/>
      <c r="J80" s="566"/>
      <c r="K80" s="563"/>
    </row>
    <row r="81" spans="1:11" s="564" customFormat="1">
      <c r="A81" s="569" t="s">
        <v>1418</v>
      </c>
      <c r="B81" s="565">
        <f>'Sources and Uses Budget'!C81</f>
        <v>971357</v>
      </c>
      <c r="C81" s="565">
        <f>SUM(C79:C80)</f>
        <v>0</v>
      </c>
      <c r="D81" s="565">
        <f>SUM(D79:D80)</f>
        <v>0</v>
      </c>
      <c r="E81" s="565">
        <f>'Sources and Uses Budget'!S81</f>
        <v>971357</v>
      </c>
      <c r="F81" s="565">
        <f>SUM(F79:F80)</f>
        <v>0</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39757</v>
      </c>
      <c r="C83" s="566"/>
      <c r="D83" s="566"/>
      <c r="E83" s="567"/>
      <c r="F83" s="567"/>
      <c r="G83" s="567"/>
      <c r="H83" s="567"/>
      <c r="I83" s="567"/>
      <c r="J83" s="567"/>
      <c r="K83" s="563"/>
    </row>
    <row r="84" spans="1:11" s="564" customFormat="1">
      <c r="A84" s="215" t="s">
        <v>825</v>
      </c>
      <c r="B84" s="565">
        <f>'Sources and Uses Budget'!C84</f>
        <v>15000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2300000</v>
      </c>
      <c r="C85" s="566"/>
      <c r="D85" s="566"/>
      <c r="E85" s="565">
        <f>'Sources and Uses Budget'!S85</f>
        <v>2300000</v>
      </c>
      <c r="F85" s="566"/>
      <c r="G85" s="566"/>
      <c r="H85" s="565">
        <f>'Sources and Uses Budget'!T85</f>
        <v>0</v>
      </c>
      <c r="I85" s="566"/>
      <c r="J85" s="566"/>
      <c r="K85" s="563"/>
    </row>
    <row r="86" spans="1:11" s="564" customFormat="1">
      <c r="A86" s="215" t="s">
        <v>827</v>
      </c>
      <c r="B86" s="565">
        <f>'Sources and Uses Budget'!C86</f>
        <v>250000</v>
      </c>
      <c r="C86" s="566"/>
      <c r="D86" s="566"/>
      <c r="E86" s="565">
        <f>'Sources and Uses Budget'!S86</f>
        <v>250000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72000</v>
      </c>
      <c r="C88" s="566"/>
      <c r="D88" s="566"/>
      <c r="E88" s="567"/>
      <c r="F88" s="567"/>
      <c r="G88" s="567"/>
      <c r="H88" s="567"/>
      <c r="I88" s="567"/>
      <c r="J88" s="567"/>
      <c r="K88" s="563"/>
    </row>
    <row r="89" spans="1:11" s="564" customFormat="1">
      <c r="A89" s="215" t="s">
        <v>830</v>
      </c>
      <c r="B89" s="565">
        <f>'Sources and Uses Budget'!C89</f>
        <v>65000</v>
      </c>
      <c r="C89" s="566"/>
      <c r="D89" s="566"/>
      <c r="E89" s="565">
        <f>'Sources and Uses Budget'!S89</f>
        <v>65000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5000</v>
      </c>
      <c r="F90" s="566"/>
      <c r="G90" s="566"/>
      <c r="H90" s="565">
        <f>'Sources and Uses Budget'!T90</f>
        <v>0</v>
      </c>
      <c r="I90" s="566"/>
      <c r="J90" s="566"/>
      <c r="K90" s="563"/>
    </row>
    <row r="91" spans="1:11" s="564" customFormat="1">
      <c r="A91" s="226" t="s">
        <v>390</v>
      </c>
      <c r="B91" s="565">
        <f>'Sources and Uses Budget'!C91</f>
        <v>27120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15000</v>
      </c>
      <c r="C92" s="566"/>
      <c r="D92" s="566"/>
      <c r="E92" s="565">
        <f>'Sources and Uses Budget'!S92</f>
        <v>15000</v>
      </c>
      <c r="F92" s="566"/>
      <c r="G92" s="566"/>
      <c r="H92" s="565">
        <f>'Sources and Uses Budget'!T92</f>
        <v>0</v>
      </c>
      <c r="I92" s="566"/>
      <c r="J92" s="566"/>
      <c r="K92" s="563"/>
    </row>
    <row r="93" spans="1:11" s="564" customFormat="1">
      <c r="A93" s="571" t="str">
        <f>'Sources and Uses Budget'!$A93</f>
        <v>Lender Fees</v>
      </c>
      <c r="B93" s="565">
        <f>'Sources and Uses Budget'!C93</f>
        <v>14375</v>
      </c>
      <c r="C93" s="566"/>
      <c r="D93" s="566"/>
      <c r="E93" s="565">
        <f>'Sources and Uses Budget'!S93</f>
        <v>14375</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2808252</v>
      </c>
      <c r="C96" s="565">
        <f>SUM(C83:C95)</f>
        <v>0</v>
      </c>
      <c r="D96" s="565">
        <f>SUM(D83:D95)</f>
        <v>0</v>
      </c>
      <c r="E96" s="565">
        <f>'Sources and Uses Budget'!S96</f>
        <v>2649375</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22937472</v>
      </c>
      <c r="C97" s="565">
        <f>SUM(C63+C70+C77+C81+C96)</f>
        <v>0</v>
      </c>
      <c r="D97" s="565">
        <f>SUM(D63+D70+D77+D81+D96)</f>
        <v>0</v>
      </c>
      <c r="E97" s="565">
        <f>'Sources and Uses Budget'!S97</f>
        <v>19259060</v>
      </c>
      <c r="F97" s="572">
        <f>SUM(+F63+F70+F81+F96)</f>
        <v>0</v>
      </c>
      <c r="G97" s="572">
        <f>SUM(+G63+G70+G81+G96)</f>
        <v>0</v>
      </c>
      <c r="H97" s="565">
        <f>'Sources and Uses Budget'!T97</f>
        <v>0</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2888858</v>
      </c>
      <c r="C99" s="566"/>
      <c r="D99" s="566"/>
      <c r="E99" s="565">
        <f>'Sources and Uses Budget'!S99</f>
        <v>2888858</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2888858</v>
      </c>
      <c r="C104" s="565">
        <f>SUM(C99:C103)</f>
        <v>0</v>
      </c>
      <c r="D104" s="565">
        <f>SUM(D99:D103)</f>
        <v>0</v>
      </c>
      <c r="E104" s="565">
        <f>'Sources and Uses Budget'!S104</f>
        <v>2888858</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25826330</v>
      </c>
      <c r="C105" s="572">
        <f>SUM(C97+C104)</f>
        <v>0</v>
      </c>
      <c r="D105" s="572">
        <f>SUM(D97+D104)</f>
        <v>0</v>
      </c>
      <c r="E105" s="565">
        <f>'Sources and Uses Budget'!S105</f>
        <v>22147918</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22147918</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1"/>
      <c r="E124" s="2592"/>
      <c r="F124" s="2592"/>
      <c r="G124" s="2592"/>
      <c r="H124" s="2592"/>
      <c r="I124" s="2592"/>
      <c r="J124" s="583"/>
      <c r="K124" s="563"/>
    </row>
    <row r="125" spans="1:11" s="564" customFormat="1" ht="12.5">
      <c r="A125" s="594"/>
      <c r="B125" s="593"/>
      <c r="C125" s="594"/>
      <c r="D125" s="2592"/>
      <c r="E125" s="2592"/>
      <c r="F125" s="2592"/>
      <c r="G125" s="2592"/>
      <c r="H125" s="2592"/>
      <c r="I125" s="2592"/>
      <c r="J125" s="583"/>
      <c r="K125" s="563"/>
    </row>
    <row r="126" spans="1:11" s="564" customFormat="1" ht="12.5">
      <c r="A126" s="594"/>
      <c r="B126" s="593"/>
      <c r="C126" s="594"/>
      <c r="D126" s="2592"/>
      <c r="E126" s="2592"/>
      <c r="F126" s="2592"/>
      <c r="G126" s="2592"/>
      <c r="H126" s="2592"/>
      <c r="I126" s="2592"/>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93"/>
      <c r="B139" s="2594"/>
      <c r="C139" s="2594"/>
      <c r="D139" s="606"/>
      <c r="E139" s="594"/>
      <c r="F139" s="594"/>
      <c r="G139" s="594"/>
    </row>
    <row r="140" spans="1:11" ht="12" customHeight="1">
      <c r="A140" s="2595"/>
      <c r="B140" s="2596"/>
      <c r="C140" s="259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5"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82" t="s">
        <v>2032</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58" ht="15.75" customHeight="1">
      <c r="A2" s="2985" t="s">
        <v>2033</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8" t="str">
        <f>IF(Application!H18="","",Application!H18)</f>
        <v>The Meadows Seniors Apartments</v>
      </c>
      <c r="M4" s="2989"/>
      <c r="N4" s="2989"/>
      <c r="O4" s="2989"/>
      <c r="P4" s="2989"/>
      <c r="Q4" s="2989"/>
      <c r="R4" s="2989"/>
      <c r="S4" s="2989"/>
      <c r="T4" s="2989"/>
      <c r="U4" s="2989"/>
      <c r="V4" s="2989"/>
      <c r="W4" s="2989"/>
      <c r="X4" s="2989"/>
      <c r="Y4" s="2989"/>
      <c r="Z4" s="2989"/>
      <c r="AA4" s="2989"/>
      <c r="AB4" s="2989"/>
      <c r="AC4" s="2990"/>
      <c r="AD4" s="1529"/>
      <c r="AE4" s="1529"/>
      <c r="AF4" s="2693" t="s">
        <v>2034</v>
      </c>
      <c r="AG4" s="2694"/>
      <c r="AH4" s="2694"/>
      <c r="AI4" s="2694"/>
      <c r="AJ4" s="2694"/>
      <c r="AK4" s="2694"/>
      <c r="AL4" s="2694"/>
      <c r="AM4" s="2694"/>
      <c r="AN4" s="2694"/>
      <c r="AO4" s="2694"/>
      <c r="AP4" s="2991">
        <v>44197</v>
      </c>
      <c r="AQ4" s="2961"/>
      <c r="AR4" s="2961"/>
      <c r="AS4" s="2961"/>
      <c r="AT4" s="2961"/>
      <c r="AU4" s="296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0" t="s">
        <v>2035</v>
      </c>
      <c r="AG5" s="2711"/>
      <c r="AH5" s="2711"/>
      <c r="AI5" s="2711"/>
      <c r="AJ5" s="2711"/>
      <c r="AK5" s="2711"/>
      <c r="AL5" s="2711"/>
      <c r="AM5" s="2711"/>
      <c r="AN5" s="2711"/>
      <c r="AO5" s="2711"/>
      <c r="AP5" s="2991">
        <v>44197</v>
      </c>
      <c r="AQ5" s="2961"/>
      <c r="AR5" s="2961"/>
      <c r="AS5" s="2961"/>
      <c r="AT5" s="2961"/>
      <c r="AU5" s="2962"/>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67" t="str">
        <f>IF(Application!H16="","",Application!H16)</f>
        <v>Meadows Seniors LP (to be formed)</v>
      </c>
      <c r="M6" s="2968"/>
      <c r="N6" s="2968"/>
      <c r="O6" s="2968"/>
      <c r="P6" s="2968"/>
      <c r="Q6" s="2968"/>
      <c r="R6" s="2968"/>
      <c r="S6" s="2968"/>
      <c r="T6" s="2968"/>
      <c r="U6" s="2968"/>
      <c r="V6" s="2968"/>
      <c r="W6" s="2968"/>
      <c r="X6" s="2968"/>
      <c r="Y6" s="2968"/>
      <c r="Z6" s="2968"/>
      <c r="AA6" s="2968"/>
      <c r="AB6" s="2968"/>
      <c r="AC6" s="296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0" t="str">
        <f>Application!T196</f>
        <v>No</v>
      </c>
      <c r="AC8" s="2971"/>
      <c r="AD8" s="297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973">
        <f>VLOOKUP("CalHFA Permanent Loan",Application!C564:AS575,37,TRUE)</f>
        <v>3927103</v>
      </c>
      <c r="O10" s="2974"/>
      <c r="P10" s="2974"/>
      <c r="Q10" s="2974"/>
      <c r="R10" s="2974"/>
      <c r="S10" s="2974"/>
      <c r="T10" s="2975"/>
      <c r="U10" s="1529"/>
      <c r="V10" s="1529"/>
      <c r="W10" s="1529"/>
      <c r="X10" s="2695" t="s">
        <v>2040</v>
      </c>
      <c r="Y10" s="2696"/>
      <c r="Z10" s="2696"/>
      <c r="AA10" s="2696"/>
      <c r="AB10" s="2696"/>
      <c r="AC10" s="2696"/>
      <c r="AD10" s="2696"/>
      <c r="AE10" s="2696"/>
      <c r="AF10" s="2696"/>
      <c r="AG10" s="2696"/>
      <c r="AH10" s="2696"/>
      <c r="AI10" s="2696"/>
      <c r="AJ10" s="2696"/>
      <c r="AK10" s="2697"/>
      <c r="AL10" s="2995">
        <f>Application!W471</f>
        <v>10</v>
      </c>
      <c r="AM10" s="2996"/>
      <c r="AN10" s="2996"/>
      <c r="AO10" s="2996"/>
      <c r="AP10" s="2997"/>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976">
        <f>Application!AA925</f>
        <v>0</v>
      </c>
      <c r="O11" s="2977"/>
      <c r="P11" s="2977"/>
      <c r="Q11" s="2977"/>
      <c r="R11" s="2977"/>
      <c r="S11" s="2977"/>
      <c r="T11" s="2978"/>
      <c r="U11" s="1529"/>
      <c r="V11" s="1529"/>
      <c r="W11" s="1529"/>
      <c r="X11" s="2979" t="s">
        <v>2042</v>
      </c>
      <c r="Y11" s="2980"/>
      <c r="Z11" s="2980"/>
      <c r="AA11" s="2980"/>
      <c r="AB11" s="2980"/>
      <c r="AC11" s="2980"/>
      <c r="AD11" s="2980"/>
      <c r="AE11" s="2980"/>
      <c r="AF11" s="2980"/>
      <c r="AG11" s="2980"/>
      <c r="AH11" s="2980"/>
      <c r="AI11" s="2980"/>
      <c r="AJ11" s="2980"/>
      <c r="AK11" s="2981"/>
      <c r="AL11" s="2992">
        <v>44197</v>
      </c>
      <c r="AM11" s="2993"/>
      <c r="AN11" s="2993"/>
      <c r="AO11" s="2993"/>
      <c r="AP11" s="2994"/>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5" t="s">
        <v>2043</v>
      </c>
      <c r="Y12" s="2696"/>
      <c r="Z12" s="2696"/>
      <c r="AA12" s="2696"/>
      <c r="AB12" s="2696"/>
      <c r="AC12" s="2696"/>
      <c r="AD12" s="2696"/>
      <c r="AE12" s="2696"/>
      <c r="AF12" s="2696"/>
      <c r="AG12" s="2696"/>
      <c r="AH12" s="2696"/>
      <c r="AI12" s="2696"/>
      <c r="AJ12" s="2696"/>
      <c r="AK12" s="2697"/>
      <c r="AL12" s="2992">
        <v>44197</v>
      </c>
      <c r="AM12" s="2993"/>
      <c r="AN12" s="2993"/>
      <c r="AO12" s="2993"/>
      <c r="AP12" s="2994"/>
      <c r="AQ12" s="1532"/>
      <c r="AR12" s="1532"/>
      <c r="AS12" s="1532"/>
      <c r="AT12" s="1532"/>
      <c r="AU12" s="1532"/>
      <c r="AV12" s="1529"/>
      <c r="AW12" s="1529"/>
      <c r="AX12" s="1529"/>
      <c r="AY12" s="1529"/>
      <c r="AZ12" s="1529"/>
      <c r="BA12" s="1529"/>
      <c r="BB12" s="1529"/>
      <c r="BC12" s="1529"/>
      <c r="BD12" s="1529"/>
      <c r="BE12" s="1535"/>
    </row>
    <row r="13" spans="1:58" ht="15" thickBot="1">
      <c r="A13" s="1818"/>
      <c r="B13" s="2695" t="s">
        <v>2044</v>
      </c>
      <c r="C13" s="2696"/>
      <c r="D13" s="2696"/>
      <c r="E13" s="2696"/>
      <c r="F13" s="2696"/>
      <c r="G13" s="2696"/>
      <c r="H13" s="2696"/>
      <c r="I13" s="2696"/>
      <c r="J13" s="2696"/>
      <c r="K13" s="2696"/>
      <c r="L13" s="2696"/>
      <c r="M13" s="2696"/>
      <c r="N13" s="2696"/>
      <c r="O13" s="2696"/>
      <c r="P13" s="2697"/>
      <c r="Q13" s="2960" t="s">
        <v>2038</v>
      </c>
      <c r="R13" s="2961"/>
      <c r="S13" s="2961"/>
      <c r="T13" s="296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63" t="s">
        <v>2045</v>
      </c>
      <c r="C15" s="2963"/>
      <c r="D15" s="2963"/>
      <c r="E15" s="2963"/>
      <c r="F15" s="2963"/>
      <c r="G15" s="2963"/>
      <c r="H15" s="2963"/>
      <c r="I15" s="2963"/>
      <c r="J15" s="2963"/>
      <c r="K15" s="2963"/>
      <c r="L15" s="2964"/>
      <c r="M15" s="2693" t="s">
        <v>2046</v>
      </c>
      <c r="N15" s="2694"/>
      <c r="O15" s="2694"/>
      <c r="P15" s="2694"/>
      <c r="Q15" s="2694"/>
      <c r="R15" s="2694"/>
      <c r="S15" s="2965">
        <f>IF(Application!AB214="","",Application!AB214)</f>
        <v>62</v>
      </c>
      <c r="T15" s="2965"/>
      <c r="U15" s="2965"/>
      <c r="V15" s="2965"/>
      <c r="W15" s="296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64" t="s">
        <v>2047</v>
      </c>
      <c r="C17" s="2765"/>
      <c r="D17" s="2765"/>
      <c r="E17" s="2765"/>
      <c r="F17" s="2765"/>
      <c r="G17" s="2765"/>
      <c r="H17" s="2765"/>
      <c r="I17" s="2765"/>
      <c r="J17" s="2765"/>
      <c r="K17" s="2765"/>
      <c r="L17" s="276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c r="AL17" s="2765"/>
      <c r="AM17" s="2765"/>
      <c r="AN17" s="2765"/>
      <c r="AO17" s="2765"/>
      <c r="AP17" s="2765"/>
      <c r="AQ17" s="2765"/>
      <c r="AR17" s="2765"/>
      <c r="AS17" s="2765"/>
      <c r="AT17" s="2765"/>
      <c r="AU17" s="2765"/>
      <c r="AV17" s="2765"/>
      <c r="AW17" s="2765"/>
      <c r="AX17" s="2765"/>
      <c r="AY17" s="2826"/>
      <c r="AZ17" s="1529"/>
      <c r="BA17" s="1529"/>
      <c r="BB17" s="1529"/>
      <c r="BC17" s="1529"/>
      <c r="BD17" s="1529"/>
      <c r="BE17" s="1535"/>
      <c r="BF17" s="1527"/>
    </row>
    <row r="18" spans="1:58" ht="15.75" customHeight="1">
      <c r="A18" s="1818"/>
      <c r="B18" s="2956" t="s">
        <v>2048</v>
      </c>
      <c r="C18" s="2957"/>
      <c r="D18" s="2957"/>
      <c r="E18" s="2957"/>
      <c r="F18" s="2957"/>
      <c r="G18" s="2957"/>
      <c r="H18" s="2957"/>
      <c r="I18" s="2958"/>
      <c r="J18" s="2942" t="s">
        <v>1880</v>
      </c>
      <c r="K18" s="2943"/>
      <c r="L18" s="2943"/>
      <c r="M18" s="2943"/>
      <c r="N18" s="2943"/>
      <c r="O18" s="2944"/>
      <c r="P18" s="2942" t="s">
        <v>333</v>
      </c>
      <c r="Q18" s="2943"/>
      <c r="R18" s="2943"/>
      <c r="S18" s="2943"/>
      <c r="T18" s="2943"/>
      <c r="U18" s="2944"/>
      <c r="V18" s="2942" t="s">
        <v>334</v>
      </c>
      <c r="W18" s="2943"/>
      <c r="X18" s="2943"/>
      <c r="Y18" s="2943"/>
      <c r="Z18" s="2943"/>
      <c r="AA18" s="2944"/>
      <c r="AB18" s="2942" t="s">
        <v>168</v>
      </c>
      <c r="AC18" s="2943"/>
      <c r="AD18" s="2943"/>
      <c r="AE18" s="2943"/>
      <c r="AF18" s="2943"/>
      <c r="AG18" s="2944"/>
      <c r="AH18" s="2942" t="s">
        <v>169</v>
      </c>
      <c r="AI18" s="2943"/>
      <c r="AJ18" s="2943"/>
      <c r="AK18" s="2943"/>
      <c r="AL18" s="2943"/>
      <c r="AM18" s="2944"/>
      <c r="AN18" s="2942" t="s">
        <v>170</v>
      </c>
      <c r="AO18" s="2943"/>
      <c r="AP18" s="2943"/>
      <c r="AQ18" s="2943"/>
      <c r="AR18" s="2943"/>
      <c r="AS18" s="2944"/>
      <c r="AT18" s="2942" t="s">
        <v>2049</v>
      </c>
      <c r="AU18" s="2943"/>
      <c r="AV18" s="2943"/>
      <c r="AW18" s="2943"/>
      <c r="AX18" s="2943"/>
      <c r="AY18" s="2959"/>
      <c r="AZ18" s="1529"/>
      <c r="BA18" s="1529"/>
      <c r="BB18" s="1529"/>
      <c r="BC18" s="1529"/>
      <c r="BD18" s="1529"/>
      <c r="BE18" s="1535"/>
    </row>
    <row r="19" spans="1:58" ht="14.5">
      <c r="A19" s="1818"/>
      <c r="B19" s="2954">
        <v>0.2</v>
      </c>
      <c r="C19" s="2955"/>
      <c r="D19" s="2955"/>
      <c r="E19" s="2955"/>
      <c r="F19" s="2955"/>
      <c r="G19" s="2955"/>
      <c r="H19" s="2955"/>
      <c r="I19" s="2955"/>
      <c r="J19" s="2942">
        <f>SUM(P19:AS19)</f>
        <v>0</v>
      </c>
      <c r="K19" s="2943"/>
      <c r="L19" s="2943"/>
      <c r="M19" s="2943"/>
      <c r="N19" s="2943"/>
      <c r="O19" s="2944"/>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7" si="0">J19/$J$29</f>
        <v>0</v>
      </c>
      <c r="AU19" s="2952"/>
      <c r="AV19" s="2952"/>
      <c r="AW19" s="2952"/>
      <c r="AX19" s="2952"/>
      <c r="AY19" s="2953"/>
      <c r="AZ19" s="1536"/>
      <c r="BA19" s="1529"/>
      <c r="BB19" s="1529"/>
      <c r="BC19" s="1529"/>
      <c r="BD19" s="1529"/>
      <c r="BE19" s="1535"/>
    </row>
    <row r="20" spans="1:58" ht="15" customHeight="1">
      <c r="A20" s="1818"/>
      <c r="B20" s="2954">
        <v>0.3</v>
      </c>
      <c r="C20" s="2955"/>
      <c r="D20" s="2955"/>
      <c r="E20" s="2955"/>
      <c r="F20" s="2955"/>
      <c r="G20" s="2955"/>
      <c r="H20" s="2955"/>
      <c r="I20" s="2955"/>
      <c r="J20" s="2942">
        <f t="shared" ref="J20:J27" si="1">SUM(P20:AS20)</f>
        <v>9</v>
      </c>
      <c r="K20" s="2943"/>
      <c r="L20" s="2943"/>
      <c r="M20" s="2943"/>
      <c r="N20" s="2943"/>
      <c r="O20" s="2944"/>
      <c r="P20" s="2948" cm="1">
        <f t="array" ref="P20">SUMPRODUCT((Application!$B$728:$B$752 = 'CalHFA Addendum'!P$18)*(Application!$AH$728:$AH$752 = 'CalHFA Addendum'!$B20),Application!$G$728:$G$752)</f>
        <v>0</v>
      </c>
      <c r="Q20" s="2949"/>
      <c r="R20" s="2949"/>
      <c r="S20" s="2949"/>
      <c r="T20" s="2949"/>
      <c r="U20" s="2950"/>
      <c r="V20" s="2948" cm="1">
        <f t="array" ref="V20">SUMPRODUCT((Application!$B$728:$B$752 = 'CalHFA Addendum'!V$18)*(Application!$AH$728:$AH$752 = 'CalHFA Addendum'!$B20),Application!$G$728:$G$752)</f>
        <v>7</v>
      </c>
      <c r="W20" s="2949"/>
      <c r="X20" s="2949"/>
      <c r="Y20" s="2949"/>
      <c r="Z20" s="2949"/>
      <c r="AA20" s="2950"/>
      <c r="AB20" s="2948" cm="1">
        <f t="array" ref="AB20">SUMPRODUCT((Application!$B$728:$B$752 = 'CalHFA Addendum'!AB$18)*(Application!$AH$728:$AH$752 = 'CalHFA Addendum'!$B20),Application!$G$728:$G$752)</f>
        <v>2</v>
      </c>
      <c r="AC20" s="2949"/>
      <c r="AD20" s="2949"/>
      <c r="AE20" s="2949"/>
      <c r="AF20" s="2949"/>
      <c r="AG20" s="2950"/>
      <c r="AH20" s="2948" cm="1">
        <f t="array" ref="AH20">SUMPRODUCT((Application!$B$728:$B$752 = 'CalHFA Addendum'!AH$18)*(Application!$AH$728:$AH$752 = 'CalHFA Addendum'!$B20),Application!$G$728:$G$752)</f>
        <v>0</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0.13846153846153847</v>
      </c>
      <c r="AU20" s="2952"/>
      <c r="AV20" s="2952"/>
      <c r="AW20" s="2952"/>
      <c r="AX20" s="2952"/>
      <c r="AY20" s="2953"/>
      <c r="AZ20" s="1529"/>
      <c r="BA20" s="1529"/>
      <c r="BB20" s="1529"/>
      <c r="BC20" s="1529"/>
      <c r="BD20" s="1529"/>
      <c r="BE20" s="1535"/>
    </row>
    <row r="21" spans="1:58" ht="14.5">
      <c r="A21" s="1818"/>
      <c r="B21" s="2954">
        <v>0.4</v>
      </c>
      <c r="C21" s="2955"/>
      <c r="D21" s="2955"/>
      <c r="E21" s="2955"/>
      <c r="F21" s="2955"/>
      <c r="G21" s="2955"/>
      <c r="H21" s="2955"/>
      <c r="I21" s="2955"/>
      <c r="J21" s="2942">
        <f t="shared" si="1"/>
        <v>0</v>
      </c>
      <c r="K21" s="2943"/>
      <c r="L21" s="2943"/>
      <c r="M21" s="2943"/>
      <c r="N21" s="2943"/>
      <c r="O21" s="2944"/>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529"/>
      <c r="BA21" s="1529"/>
      <c r="BB21" s="1529"/>
      <c r="BC21" s="1529"/>
      <c r="BD21" s="1529"/>
      <c r="BE21" s="1535"/>
    </row>
    <row r="22" spans="1:58" ht="14.5">
      <c r="A22" s="1818"/>
      <c r="B22" s="2954">
        <v>0.5</v>
      </c>
      <c r="C22" s="2955"/>
      <c r="D22" s="2955"/>
      <c r="E22" s="2955"/>
      <c r="F22" s="2955"/>
      <c r="G22" s="2955"/>
      <c r="H22" s="2955"/>
      <c r="I22" s="2955"/>
      <c r="J22" s="2942">
        <f t="shared" si="1"/>
        <v>7</v>
      </c>
      <c r="K22" s="2943"/>
      <c r="L22" s="2943"/>
      <c r="M22" s="2943"/>
      <c r="N22" s="2943"/>
      <c r="O22" s="2944"/>
      <c r="P22" s="2948" cm="1">
        <f t="array" ref="P22">SUMPRODUCT((Application!$B$728:$B$752 = 'CalHFA Addendum'!P$18)*(Application!$AH$728:$AH$752 = 'CalHFA Addendum'!$B22),Application!$G$728:$G$752)</f>
        <v>0</v>
      </c>
      <c r="Q22" s="2949"/>
      <c r="R22" s="2949"/>
      <c r="S22" s="2949"/>
      <c r="T22" s="2949"/>
      <c r="U22" s="2950"/>
      <c r="V22" s="2948" cm="1">
        <f t="array" ref="V22">SUMPRODUCT((Application!$B$728:$B$752 = 'CalHFA Addendum'!V$18)*(Application!$AH$728:$AH$752 = 'CalHFA Addendum'!$B22),Application!$G$728:$G$752)</f>
        <v>5</v>
      </c>
      <c r="W22" s="2949"/>
      <c r="X22" s="2949"/>
      <c r="Y22" s="2949"/>
      <c r="Z22" s="2949"/>
      <c r="AA22" s="2950"/>
      <c r="AB22" s="2948" cm="1">
        <f t="array" ref="AB22">SUMPRODUCT((Application!$B$728:$B$752 = 'CalHFA Addendum'!AB$18)*(Application!$AH$728:$AH$752 = 'CalHFA Addendum'!$B22),Application!$G$728:$G$752)</f>
        <v>2</v>
      </c>
      <c r="AC22" s="2949"/>
      <c r="AD22" s="2949"/>
      <c r="AE22" s="2949"/>
      <c r="AF22" s="2949"/>
      <c r="AG22" s="2950"/>
      <c r="AH22" s="2948" cm="1">
        <f t="array" ref="AH22">SUMPRODUCT((Application!$B$728:$B$752 = 'CalHFA Addendum'!AH$18)*(Application!$AH$728:$AH$752 = 'CalHFA Addendum'!$B22),Application!$G$728:$G$752)</f>
        <v>0</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0.1076923076923077</v>
      </c>
      <c r="AU22" s="2952"/>
      <c r="AV22" s="2952"/>
      <c r="AW22" s="2952"/>
      <c r="AX22" s="2952"/>
      <c r="AY22" s="2953"/>
      <c r="AZ22" s="1529"/>
      <c r="BA22" s="1529"/>
      <c r="BB22" s="1529"/>
      <c r="BC22" s="1529"/>
      <c r="BD22" s="1529"/>
      <c r="BE22" s="1535"/>
    </row>
    <row r="23" spans="1:58" ht="14.5">
      <c r="A23" s="1818"/>
      <c r="B23" s="2954">
        <v>0.6</v>
      </c>
      <c r="C23" s="2955"/>
      <c r="D23" s="2955"/>
      <c r="E23" s="2955"/>
      <c r="F23" s="2955"/>
      <c r="G23" s="2955"/>
      <c r="H23" s="2955"/>
      <c r="I23" s="2955"/>
      <c r="J23" s="2942">
        <f t="shared" si="1"/>
        <v>48</v>
      </c>
      <c r="K23" s="2943"/>
      <c r="L23" s="2943"/>
      <c r="M23" s="2943"/>
      <c r="N23" s="2943"/>
      <c r="O23" s="2944"/>
      <c r="P23" s="2948" cm="1">
        <f t="array" ref="P23">SUMPRODUCT((Application!$B$728:$B$752 = 'CalHFA Addendum'!P$18)*(Application!$AH$728:$AH$752 = 'CalHFA Addendum'!$B23),Application!$G$728:$G$752)</f>
        <v>0</v>
      </c>
      <c r="Q23" s="2949"/>
      <c r="R23" s="2949"/>
      <c r="S23" s="2949"/>
      <c r="T23" s="2949"/>
      <c r="U23" s="2950"/>
      <c r="V23" s="2948" cm="1">
        <f t="array" ref="V23">SUMPRODUCT((Application!$B$728:$B$752 = 'CalHFA Addendum'!V$18)*(Application!$AH$728:$AH$752 = 'CalHFA Addendum'!$B23),Application!$G$728:$G$752)</f>
        <v>40</v>
      </c>
      <c r="W23" s="2949"/>
      <c r="X23" s="2949"/>
      <c r="Y23" s="2949"/>
      <c r="Z23" s="2949"/>
      <c r="AA23" s="2950"/>
      <c r="AB23" s="2948" cm="1">
        <f t="array" ref="AB23">SUMPRODUCT((Application!$B$728:$B$752 = 'CalHFA Addendum'!AB$18)*(Application!$AH$728:$AH$752 = 'CalHFA Addendum'!$B23),Application!$G$728:$G$752)</f>
        <v>8</v>
      </c>
      <c r="AC23" s="2949"/>
      <c r="AD23" s="2949"/>
      <c r="AE23" s="2949"/>
      <c r="AF23" s="2949"/>
      <c r="AG23" s="2950"/>
      <c r="AH23" s="2948" cm="1">
        <f t="array" ref="AH23">SUMPRODUCT((Application!$B$728:$B$752 = 'CalHFA Addendum'!AH$18)*(Application!$AH$728:$AH$752 = 'CalHFA Addendum'!$B23),Application!$G$728:$G$752)</f>
        <v>0</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0.7384615384615385</v>
      </c>
      <c r="AU23" s="2952"/>
      <c r="AV23" s="2952"/>
      <c r="AW23" s="2952"/>
      <c r="AX23" s="2952"/>
      <c r="AY23" s="2953"/>
      <c r="AZ23" s="1529"/>
      <c r="BA23" s="1529"/>
      <c r="BB23" s="1529"/>
      <c r="BC23" s="1529"/>
      <c r="BD23" s="1529"/>
      <c r="BE23" s="1535"/>
    </row>
    <row r="24" spans="1:58" ht="14.5">
      <c r="A24" s="1818"/>
      <c r="B24" s="2954">
        <v>0.7</v>
      </c>
      <c r="C24" s="2955"/>
      <c r="D24" s="2955"/>
      <c r="E24" s="2955"/>
      <c r="F24" s="2955"/>
      <c r="G24" s="2955"/>
      <c r="H24" s="2955"/>
      <c r="I24" s="2955"/>
      <c r="J24" s="2942">
        <f t="shared" si="1"/>
        <v>0</v>
      </c>
      <c r="K24" s="2943"/>
      <c r="L24" s="2943"/>
      <c r="M24" s="2943"/>
      <c r="N24" s="2943"/>
      <c r="O24" s="2944"/>
      <c r="P24" s="2948" cm="1">
        <f t="array" ref="P24">SUMPRODUCT((Application!$B$728:$B$752 = 'CalHFA Addendum'!P$18)*(Application!$AH$728:$AH$752 = 'CalHFA Addendum'!$B24),Application!$G$728:$G$752)</f>
        <v>0</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0</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v>
      </c>
      <c r="AU24" s="2952"/>
      <c r="AV24" s="2952"/>
      <c r="AW24" s="2952"/>
      <c r="AX24" s="2952"/>
      <c r="AY24" s="2953"/>
      <c r="AZ24" s="1529"/>
      <c r="BA24" s="1529"/>
      <c r="BB24" s="1529"/>
      <c r="BC24" s="1529"/>
      <c r="BD24" s="1529"/>
      <c r="BE24" s="1535"/>
    </row>
    <row r="25" spans="1:58" ht="14.5">
      <c r="A25" s="1818"/>
      <c r="B25" s="2954">
        <v>0.8</v>
      </c>
      <c r="C25" s="2955"/>
      <c r="D25" s="2955"/>
      <c r="E25" s="2955"/>
      <c r="F25" s="2955"/>
      <c r="G25" s="2955"/>
      <c r="H25" s="2955"/>
      <c r="I25" s="2955"/>
      <c r="J25" s="2942">
        <f t="shared" si="1"/>
        <v>0</v>
      </c>
      <c r="K25" s="2943"/>
      <c r="L25" s="2943"/>
      <c r="M25" s="2943"/>
      <c r="N25" s="2943"/>
      <c r="O25" s="2944"/>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529"/>
      <c r="BA25" s="1529"/>
      <c r="BB25" s="1529"/>
      <c r="BC25" s="1529"/>
      <c r="BD25" s="1529"/>
      <c r="BE25" s="1535"/>
    </row>
    <row r="26" spans="1:58" ht="14.5">
      <c r="A26" s="1818"/>
      <c r="B26" s="2954">
        <v>0.9</v>
      </c>
      <c r="C26" s="2955"/>
      <c r="D26" s="2955"/>
      <c r="E26" s="2955"/>
      <c r="F26" s="2955"/>
      <c r="G26" s="2955"/>
      <c r="H26" s="2955"/>
      <c r="I26" s="2955"/>
      <c r="J26" s="2942">
        <f t="shared" si="1"/>
        <v>0</v>
      </c>
      <c r="K26" s="2943"/>
      <c r="L26" s="2943"/>
      <c r="M26" s="2943"/>
      <c r="N26" s="2943"/>
      <c r="O26" s="2944"/>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529"/>
      <c r="BA26" s="1529"/>
      <c r="BB26" s="1529"/>
      <c r="BC26" s="1529"/>
      <c r="BD26" s="1529"/>
      <c r="BE26" s="1535"/>
    </row>
    <row r="27" spans="1:58" ht="14.5">
      <c r="A27" s="1818"/>
      <c r="B27" s="2954">
        <v>1</v>
      </c>
      <c r="C27" s="2955"/>
      <c r="D27" s="2955"/>
      <c r="E27" s="2955"/>
      <c r="F27" s="2955"/>
      <c r="G27" s="2955"/>
      <c r="H27" s="2955"/>
      <c r="I27" s="2955"/>
      <c r="J27" s="2942">
        <f t="shared" si="1"/>
        <v>0</v>
      </c>
      <c r="K27" s="2943"/>
      <c r="L27" s="2943"/>
      <c r="M27" s="2943"/>
      <c r="N27" s="2943"/>
      <c r="O27" s="2944"/>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529"/>
      <c r="BA27" s="1529"/>
      <c r="BB27" s="1529"/>
      <c r="BC27" s="1529"/>
      <c r="BD27" s="1529"/>
      <c r="BE27" s="1535"/>
      <c r="BF27" s="1700"/>
    </row>
    <row r="28" spans="1:58" ht="15" thickBot="1">
      <c r="A28" s="1818"/>
      <c r="B28" s="2939" t="s">
        <v>2050</v>
      </c>
      <c r="C28" s="2940"/>
      <c r="D28" s="2940"/>
      <c r="E28" s="2940"/>
      <c r="F28" s="2940"/>
      <c r="G28" s="2940"/>
      <c r="H28" s="2940"/>
      <c r="I28" s="2941"/>
      <c r="J28" s="2942">
        <f t="shared" ref="J28" si="2">SUM(P28:AS28)</f>
        <v>1</v>
      </c>
      <c r="K28" s="2943"/>
      <c r="L28" s="2943"/>
      <c r="M28" s="2943"/>
      <c r="N28" s="2943"/>
      <c r="O28" s="2944"/>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1</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51">
        <f t="shared" ref="AT28" si="3">J28/$J$29</f>
        <v>1.5384615384615385E-2</v>
      </c>
      <c r="AU28" s="2952"/>
      <c r="AV28" s="2952"/>
      <c r="AW28" s="2952"/>
      <c r="AX28" s="2952"/>
      <c r="AY28" s="2953"/>
      <c r="AZ28" s="1529"/>
      <c r="BA28" s="1529"/>
      <c r="BB28" s="1529"/>
      <c r="BC28" s="1529"/>
      <c r="BD28" s="1529"/>
      <c r="BE28" s="1535"/>
    </row>
    <row r="29" spans="1:58" ht="15" thickBot="1">
      <c r="A29" s="1818"/>
      <c r="B29" s="2932" t="s">
        <v>1880</v>
      </c>
      <c r="C29" s="2933"/>
      <c r="D29" s="2933"/>
      <c r="E29" s="2933"/>
      <c r="F29" s="2933"/>
      <c r="G29" s="2933"/>
      <c r="H29" s="2933"/>
      <c r="I29" s="2934"/>
      <c r="J29" s="2935">
        <f>SUM(J19:O28)</f>
        <v>65</v>
      </c>
      <c r="K29" s="2933"/>
      <c r="L29" s="2933"/>
      <c r="M29" s="2933"/>
      <c r="N29" s="2933"/>
      <c r="O29" s="2934"/>
      <c r="P29" s="2935">
        <f>SUM(P19:U28)</f>
        <v>0</v>
      </c>
      <c r="Q29" s="2933"/>
      <c r="R29" s="2933"/>
      <c r="S29" s="2933"/>
      <c r="T29" s="2933"/>
      <c r="U29" s="2934"/>
      <c r="V29" s="2935">
        <f>SUM(V19:AA28)</f>
        <v>52</v>
      </c>
      <c r="W29" s="2933"/>
      <c r="X29" s="2933"/>
      <c r="Y29" s="2933"/>
      <c r="Z29" s="2933"/>
      <c r="AA29" s="2934"/>
      <c r="AB29" s="2935">
        <f>SUM(AB19:AG28)</f>
        <v>13</v>
      </c>
      <c r="AC29" s="2933"/>
      <c r="AD29" s="2933"/>
      <c r="AE29" s="2933"/>
      <c r="AF29" s="2933"/>
      <c r="AG29" s="2934"/>
      <c r="AH29" s="2935">
        <f>SUM(AH19:AM28)</f>
        <v>0</v>
      </c>
      <c r="AI29" s="2933"/>
      <c r="AJ29" s="2933"/>
      <c r="AK29" s="2933"/>
      <c r="AL29" s="2933"/>
      <c r="AM29" s="2934"/>
      <c r="AN29" s="2935">
        <f>SUM(AN19:AS28)</f>
        <v>0</v>
      </c>
      <c r="AO29" s="2933"/>
      <c r="AP29" s="2933"/>
      <c r="AQ29" s="2933"/>
      <c r="AR29" s="2933"/>
      <c r="AS29" s="2934"/>
      <c r="AT29" s="2936">
        <f>J29/$J$29</f>
        <v>1</v>
      </c>
      <c r="AU29" s="2937"/>
      <c r="AV29" s="2937"/>
      <c r="AW29" s="2937"/>
      <c r="AX29" s="2937"/>
      <c r="AY29" s="2938"/>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12" t="s">
        <v>2051</v>
      </c>
      <c r="C31" s="2913"/>
      <c r="D31" s="2913"/>
      <c r="E31" s="2913"/>
      <c r="F31" s="2913"/>
      <c r="G31" s="2913"/>
      <c r="H31" s="2913"/>
      <c r="I31" s="2913"/>
      <c r="J31" s="2913"/>
      <c r="K31" s="2913"/>
      <c r="L31" s="2913"/>
      <c r="M31" s="2913"/>
      <c r="N31" s="2913"/>
      <c r="O31" s="2913"/>
      <c r="P31" s="2913"/>
      <c r="Q31" s="2913"/>
      <c r="R31" s="2913"/>
      <c r="S31" s="2913"/>
      <c r="T31" s="2913"/>
      <c r="U31" s="2913"/>
      <c r="V31" s="2913"/>
      <c r="W31" s="2913"/>
      <c r="X31" s="2913"/>
      <c r="Y31" s="2913"/>
      <c r="Z31" s="2913"/>
      <c r="AA31" s="2913"/>
      <c r="AB31" s="2913"/>
      <c r="AC31" s="2913"/>
      <c r="AD31" s="2913"/>
      <c r="AE31" s="2913"/>
      <c r="AF31" s="2913"/>
      <c r="AG31" s="2913"/>
      <c r="AH31" s="2913"/>
      <c r="AI31" s="2913"/>
      <c r="AJ31" s="2913"/>
      <c r="AK31" s="2913"/>
      <c r="AL31" s="2913"/>
      <c r="AM31" s="2913"/>
      <c r="AN31" s="2913"/>
      <c r="AO31" s="2913"/>
      <c r="AP31" s="2913"/>
      <c r="AQ31" s="2913"/>
      <c r="AR31" s="2913"/>
      <c r="AS31" s="2913"/>
      <c r="AT31" s="2913"/>
      <c r="AU31" s="2913"/>
      <c r="AV31" s="2913"/>
      <c r="AW31" s="2913"/>
      <c r="AX31" s="2913"/>
      <c r="AY31" s="2913"/>
      <c r="AZ31" s="2914"/>
      <c r="BA31" s="1529"/>
      <c r="BB31" s="1529"/>
      <c r="BC31" s="1529"/>
      <c r="BD31" s="1529"/>
      <c r="BE31" s="1535"/>
    </row>
    <row r="32" spans="1:58" ht="15" thickBot="1">
      <c r="A32" s="1818"/>
      <c r="B32" s="2915" t="s">
        <v>2052</v>
      </c>
      <c r="C32" s="2916"/>
      <c r="D32" s="2916"/>
      <c r="E32" s="2916"/>
      <c r="F32" s="2916"/>
      <c r="G32" s="2916"/>
      <c r="H32" s="2916"/>
      <c r="I32" s="2917"/>
      <c r="J32" s="2919" t="s">
        <v>2053</v>
      </c>
      <c r="K32" s="2920"/>
      <c r="L32" s="2920"/>
      <c r="M32" s="2921"/>
      <c r="N32" s="2919" t="s">
        <v>2054</v>
      </c>
      <c r="O32" s="2920"/>
      <c r="P32" s="2920"/>
      <c r="Q32" s="2920"/>
      <c r="R32" s="2923" t="s">
        <v>2055</v>
      </c>
      <c r="S32" s="2924"/>
      <c r="T32" s="2924"/>
      <c r="U32" s="2924"/>
      <c r="V32" s="2924"/>
      <c r="W32" s="2924"/>
      <c r="X32" s="2924"/>
      <c r="Y32" s="2924"/>
      <c r="Z32" s="2924"/>
      <c r="AA32" s="2924"/>
      <c r="AB32" s="2924"/>
      <c r="AC32" s="2924"/>
      <c r="AD32" s="2924"/>
      <c r="AE32" s="2924"/>
      <c r="AF32" s="2924"/>
      <c r="AG32" s="2924"/>
      <c r="AH32" s="2924"/>
      <c r="AI32" s="2924"/>
      <c r="AJ32" s="2924"/>
      <c r="AK32" s="2924"/>
      <c r="AL32" s="2924"/>
      <c r="AM32" s="2924"/>
      <c r="AN32" s="2924"/>
      <c r="AO32" s="2924"/>
      <c r="AP32" s="2924"/>
      <c r="AQ32" s="2924"/>
      <c r="AR32" s="2924"/>
      <c r="AS32" s="2924"/>
      <c r="AT32" s="2924"/>
      <c r="AU32" s="2924"/>
      <c r="AV32" s="2924"/>
      <c r="AW32" s="2924"/>
      <c r="AX32" s="2924"/>
      <c r="AY32" s="2924"/>
      <c r="AZ32" s="2925"/>
      <c r="BA32" s="1529"/>
      <c r="BB32" s="1529"/>
      <c r="BC32" s="1529"/>
      <c r="BD32" s="1529"/>
      <c r="BE32" s="1535"/>
    </row>
    <row r="33" spans="1:58" ht="15" customHeight="1">
      <c r="A33" s="1818"/>
      <c r="B33" s="2918"/>
      <c r="C33" s="2916"/>
      <c r="D33" s="2916"/>
      <c r="E33" s="2916"/>
      <c r="F33" s="2916"/>
      <c r="G33" s="2916"/>
      <c r="H33" s="2916"/>
      <c r="I33" s="2917"/>
      <c r="J33" s="2922"/>
      <c r="K33" s="2920"/>
      <c r="L33" s="2920"/>
      <c r="M33" s="2921"/>
      <c r="N33" s="2922"/>
      <c r="O33" s="2920"/>
      <c r="P33" s="2920"/>
      <c r="Q33" s="2920"/>
      <c r="R33" s="2926" t="s">
        <v>2056</v>
      </c>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8"/>
      <c r="BA33" s="1536"/>
      <c r="BB33" s="1529"/>
      <c r="BC33" s="1529"/>
      <c r="BD33" s="1529"/>
      <c r="BE33" s="1535"/>
    </row>
    <row r="34" spans="1:58" ht="15.75" customHeight="1" thickBot="1">
      <c r="A34" s="1818"/>
      <c r="B34" s="2918"/>
      <c r="C34" s="2916"/>
      <c r="D34" s="2916"/>
      <c r="E34" s="2916"/>
      <c r="F34" s="2916"/>
      <c r="G34" s="2916"/>
      <c r="H34" s="2916"/>
      <c r="I34" s="2917"/>
      <c r="J34" s="2922"/>
      <c r="K34" s="2920"/>
      <c r="L34" s="2920"/>
      <c r="M34" s="2921"/>
      <c r="N34" s="2922"/>
      <c r="O34" s="2920"/>
      <c r="P34" s="2920"/>
      <c r="Q34" s="2920"/>
      <c r="R34" s="2929"/>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1"/>
      <c r="BA34" s="1536"/>
      <c r="BB34" s="1529"/>
      <c r="BC34" s="1529"/>
      <c r="BD34" s="1529"/>
      <c r="BE34" s="1535"/>
    </row>
    <row r="35" spans="1:58" ht="15.75" customHeight="1" thickBot="1">
      <c r="A35" s="1818"/>
      <c r="B35" s="2918"/>
      <c r="C35" s="2916"/>
      <c r="D35" s="2916"/>
      <c r="E35" s="2916"/>
      <c r="F35" s="2916"/>
      <c r="G35" s="2916"/>
      <c r="H35" s="2916"/>
      <c r="I35" s="2917"/>
      <c r="J35" s="2922"/>
      <c r="K35" s="2920"/>
      <c r="L35" s="2920"/>
      <c r="M35" s="2921"/>
      <c r="N35" s="2922"/>
      <c r="O35" s="2920"/>
      <c r="P35" s="2920"/>
      <c r="Q35" s="2920"/>
      <c r="R35" s="2895">
        <v>0.5</v>
      </c>
      <c r="S35" s="2896"/>
      <c r="T35" s="2896"/>
      <c r="U35" s="2897"/>
      <c r="V35" s="2895">
        <v>0.6</v>
      </c>
      <c r="W35" s="2896"/>
      <c r="X35" s="2896"/>
      <c r="Y35" s="2897"/>
      <c r="Z35" s="2895">
        <v>0.7</v>
      </c>
      <c r="AA35" s="2896"/>
      <c r="AB35" s="2896"/>
      <c r="AC35" s="2897"/>
      <c r="AD35" s="2895">
        <v>0.8</v>
      </c>
      <c r="AE35" s="2896"/>
      <c r="AF35" s="2896"/>
      <c r="AG35" s="2897"/>
      <c r="AH35" s="2895">
        <v>1</v>
      </c>
      <c r="AI35" s="2896"/>
      <c r="AJ35" s="2896"/>
      <c r="AK35" s="2897"/>
      <c r="AL35" s="2895">
        <v>1.2</v>
      </c>
      <c r="AM35" s="2896"/>
      <c r="AN35" s="2897"/>
      <c r="AO35" s="2898" t="s">
        <v>2057</v>
      </c>
      <c r="AP35" s="2899"/>
      <c r="AQ35" s="2899"/>
      <c r="AR35" s="2899"/>
      <c r="AS35" s="2899"/>
      <c r="AT35" s="2900"/>
      <c r="AU35" s="2898" t="s">
        <v>2058</v>
      </c>
      <c r="AV35" s="2899"/>
      <c r="AW35" s="2899"/>
      <c r="AX35" s="2899"/>
      <c r="AY35" s="2899"/>
      <c r="AZ35" s="2900"/>
      <c r="BA35" s="1536"/>
      <c r="BB35" s="1529"/>
      <c r="BC35" s="1529"/>
      <c r="BD35" s="1529"/>
      <c r="BE35" s="1535"/>
      <c r="BF35" s="1527"/>
    </row>
    <row r="36" spans="1:58" ht="15.75" customHeight="1">
      <c r="A36" s="1818"/>
      <c r="B36" s="2901" t="s">
        <v>2059</v>
      </c>
      <c r="C36" s="2902"/>
      <c r="D36" s="2902"/>
      <c r="E36" s="2902"/>
      <c r="F36" s="2902"/>
      <c r="G36" s="2902"/>
      <c r="H36" s="2902"/>
      <c r="I36" s="2903"/>
      <c r="J36" s="2904" t="s">
        <v>2060</v>
      </c>
      <c r="K36" s="2905"/>
      <c r="L36" s="2905"/>
      <c r="M36" s="2906"/>
      <c r="N36" s="2907">
        <v>55</v>
      </c>
      <c r="O36" s="2908"/>
      <c r="P36" s="2908"/>
      <c r="Q36" s="2909"/>
      <c r="R36" s="2910">
        <v>10</v>
      </c>
      <c r="S36" s="2910"/>
      <c r="T36" s="2910"/>
      <c r="U36" s="2910"/>
      <c r="V36" s="2910">
        <v>30</v>
      </c>
      <c r="W36" s="2910"/>
      <c r="X36" s="2910"/>
      <c r="Y36" s="2910"/>
      <c r="Z36" s="2910"/>
      <c r="AA36" s="2910"/>
      <c r="AB36" s="2910"/>
      <c r="AC36" s="2910"/>
      <c r="AD36" s="2910">
        <v>59</v>
      </c>
      <c r="AE36" s="2910"/>
      <c r="AF36" s="2910"/>
      <c r="AG36" s="2910"/>
      <c r="AH36" s="2911"/>
      <c r="AI36" s="2911"/>
      <c r="AJ36" s="2911"/>
      <c r="AK36" s="2911"/>
      <c r="AL36" s="2911"/>
      <c r="AM36" s="2911"/>
      <c r="AN36" s="2911"/>
      <c r="AO36" s="2869">
        <f>SUM(R36:AN36)</f>
        <v>99</v>
      </c>
      <c r="AP36" s="2869"/>
      <c r="AQ36" s="2869"/>
      <c r="AR36" s="2869"/>
      <c r="AS36" s="2869"/>
      <c r="AT36" s="2869"/>
      <c r="AU36" s="2870">
        <f>AO36/$J$29</f>
        <v>1.523076923076923</v>
      </c>
      <c r="AV36" s="2870"/>
      <c r="AW36" s="2870"/>
      <c r="AX36" s="2870"/>
      <c r="AY36" s="2870"/>
      <c r="AZ36" s="2870"/>
      <c r="BA36" s="1529"/>
      <c r="BB36" s="1529"/>
      <c r="BC36" s="1529"/>
      <c r="BD36" s="1529"/>
      <c r="BE36" s="1535"/>
      <c r="BF36" s="1527"/>
    </row>
    <row r="37" spans="1:58" ht="15.75" customHeight="1">
      <c r="A37" s="1818"/>
      <c r="B37" s="2890" t="s">
        <v>2061</v>
      </c>
      <c r="C37" s="2891"/>
      <c r="D37" s="2891"/>
      <c r="E37" s="2891"/>
      <c r="F37" s="2891"/>
      <c r="G37" s="2891"/>
      <c r="H37" s="2891"/>
      <c r="I37" s="2892"/>
      <c r="J37" s="2893" t="s">
        <v>2062</v>
      </c>
      <c r="K37" s="2881"/>
      <c r="L37" s="2881"/>
      <c r="M37" s="2894"/>
      <c r="N37" s="2880">
        <v>55</v>
      </c>
      <c r="O37" s="2881"/>
      <c r="P37" s="2881"/>
      <c r="Q37" s="2882"/>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9">
        <f t="shared" ref="AO37:AO47" si="4">SUM(R37:AN37)</f>
        <v>0</v>
      </c>
      <c r="AP37" s="2869"/>
      <c r="AQ37" s="2869"/>
      <c r="AR37" s="2869"/>
      <c r="AS37" s="2869"/>
      <c r="AT37" s="2869"/>
      <c r="AU37" s="2870">
        <f t="shared" ref="AU37:AU47" si="5">AO37/$J$29</f>
        <v>0</v>
      </c>
      <c r="AV37" s="2870"/>
      <c r="AW37" s="2870"/>
      <c r="AX37" s="2870"/>
      <c r="AY37" s="2870"/>
      <c r="AZ37" s="2870"/>
      <c r="BA37" s="1529"/>
      <c r="BB37" s="1529"/>
      <c r="BC37" s="1529"/>
      <c r="BD37" s="1529"/>
      <c r="BE37" s="1535"/>
      <c r="BF37" s="1527"/>
    </row>
    <row r="38" spans="1:58" ht="15.75" customHeight="1">
      <c r="A38" s="1818"/>
      <c r="B38" s="2890" t="s">
        <v>2063</v>
      </c>
      <c r="C38" s="2891"/>
      <c r="D38" s="2891"/>
      <c r="E38" s="2891"/>
      <c r="F38" s="2891"/>
      <c r="G38" s="2891"/>
      <c r="H38" s="2891"/>
      <c r="I38" s="2892"/>
      <c r="J38" s="2893" t="s">
        <v>2064</v>
      </c>
      <c r="K38" s="2881"/>
      <c r="L38" s="2881"/>
      <c r="M38" s="2894"/>
      <c r="N38" s="2880">
        <v>55</v>
      </c>
      <c r="O38" s="2881"/>
      <c r="P38" s="2881"/>
      <c r="Q38" s="2882"/>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9">
        <f t="shared" si="4"/>
        <v>0</v>
      </c>
      <c r="AP38" s="2869"/>
      <c r="AQ38" s="2869"/>
      <c r="AR38" s="2869"/>
      <c r="AS38" s="2869"/>
      <c r="AT38" s="2869"/>
      <c r="AU38" s="2870">
        <f t="shared" si="5"/>
        <v>0</v>
      </c>
      <c r="AV38" s="2870"/>
      <c r="AW38" s="2870"/>
      <c r="AX38" s="2870"/>
      <c r="AY38" s="2870"/>
      <c r="AZ38" s="2870"/>
      <c r="BA38" s="1529"/>
      <c r="BB38" s="1529"/>
      <c r="BC38" s="1529"/>
      <c r="BD38" s="1529"/>
      <c r="BE38" s="1535"/>
      <c r="BF38" s="1527"/>
    </row>
    <row r="39" spans="1:58" ht="15.75" customHeight="1">
      <c r="A39" s="1818"/>
      <c r="B39" s="2890" t="s">
        <v>2065</v>
      </c>
      <c r="C39" s="2891"/>
      <c r="D39" s="2891"/>
      <c r="E39" s="2891"/>
      <c r="F39" s="2891"/>
      <c r="G39" s="2891"/>
      <c r="H39" s="2891"/>
      <c r="I39" s="2892"/>
      <c r="J39" s="2879"/>
      <c r="K39" s="2683"/>
      <c r="L39" s="2683"/>
      <c r="M39" s="2811"/>
      <c r="N39" s="2805"/>
      <c r="O39" s="2683"/>
      <c r="P39" s="2683"/>
      <c r="Q39" s="2883"/>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9">
        <f t="shared" si="4"/>
        <v>0</v>
      </c>
      <c r="AP39" s="2869"/>
      <c r="AQ39" s="2869"/>
      <c r="AR39" s="2869"/>
      <c r="AS39" s="2869"/>
      <c r="AT39" s="2869"/>
      <c r="AU39" s="2870">
        <f t="shared" si="5"/>
        <v>0</v>
      </c>
      <c r="AV39" s="2870"/>
      <c r="AW39" s="2870"/>
      <c r="AX39" s="2870"/>
      <c r="AY39" s="2870"/>
      <c r="AZ39" s="2870"/>
      <c r="BA39" s="1529"/>
      <c r="BB39" s="1529"/>
      <c r="BC39" s="1529"/>
      <c r="BD39" s="1529"/>
      <c r="BE39" s="1535"/>
    </row>
    <row r="40" spans="1:58" ht="15.75" customHeight="1">
      <c r="A40" s="1818"/>
      <c r="B40" s="2890" t="s">
        <v>2065</v>
      </c>
      <c r="C40" s="2891"/>
      <c r="D40" s="2891"/>
      <c r="E40" s="2891"/>
      <c r="F40" s="2891"/>
      <c r="G40" s="2891"/>
      <c r="H40" s="2891"/>
      <c r="I40" s="2892"/>
      <c r="J40" s="2879"/>
      <c r="K40" s="2683"/>
      <c r="L40" s="2683"/>
      <c r="M40" s="2811"/>
      <c r="N40" s="2805"/>
      <c r="O40" s="2683"/>
      <c r="P40" s="2683"/>
      <c r="Q40" s="2883"/>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9">
        <f t="shared" si="4"/>
        <v>0</v>
      </c>
      <c r="AP40" s="2869"/>
      <c r="AQ40" s="2869"/>
      <c r="AR40" s="2869"/>
      <c r="AS40" s="2869"/>
      <c r="AT40" s="2869"/>
      <c r="AU40" s="2870">
        <f t="shared" si="5"/>
        <v>0</v>
      </c>
      <c r="AV40" s="2870"/>
      <c r="AW40" s="2870"/>
      <c r="AX40" s="2870"/>
      <c r="AY40" s="2870"/>
      <c r="AZ40" s="2870"/>
      <c r="BA40" s="1529"/>
      <c r="BB40" s="1529"/>
      <c r="BC40" s="1529"/>
      <c r="BD40" s="1529"/>
      <c r="BE40" s="1535"/>
    </row>
    <row r="41" spans="1:58" ht="15.75" customHeight="1">
      <c r="A41" s="1818"/>
      <c r="B41" s="2887" t="s">
        <v>2066</v>
      </c>
      <c r="C41" s="2888"/>
      <c r="D41" s="2888"/>
      <c r="E41" s="2888"/>
      <c r="F41" s="2888"/>
      <c r="G41" s="2888"/>
      <c r="H41" s="2888"/>
      <c r="I41" s="2889"/>
      <c r="J41" s="2879"/>
      <c r="K41" s="2683"/>
      <c r="L41" s="2683"/>
      <c r="M41" s="2811"/>
      <c r="N41" s="2805"/>
      <c r="O41" s="2683"/>
      <c r="P41" s="2683"/>
      <c r="Q41" s="2883"/>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9">
        <f t="shared" si="4"/>
        <v>0</v>
      </c>
      <c r="AP41" s="2869"/>
      <c r="AQ41" s="2869"/>
      <c r="AR41" s="2869"/>
      <c r="AS41" s="2869"/>
      <c r="AT41" s="2869"/>
      <c r="AU41" s="2870">
        <f t="shared" si="5"/>
        <v>0</v>
      </c>
      <c r="AV41" s="2870"/>
      <c r="AW41" s="2870"/>
      <c r="AX41" s="2870"/>
      <c r="AY41" s="2870"/>
      <c r="AZ41" s="2870"/>
      <c r="BA41" s="1529"/>
      <c r="BB41" s="1529"/>
      <c r="BC41" s="1529"/>
      <c r="BD41" s="1529"/>
      <c r="BE41" s="1535"/>
    </row>
    <row r="42" spans="1:58" ht="15.75" customHeight="1">
      <c r="A42" s="1818"/>
      <c r="B42" s="2887" t="s">
        <v>2066</v>
      </c>
      <c r="C42" s="2888"/>
      <c r="D42" s="2888"/>
      <c r="E42" s="2888"/>
      <c r="F42" s="2888"/>
      <c r="G42" s="2888"/>
      <c r="H42" s="2888"/>
      <c r="I42" s="2889"/>
      <c r="J42" s="2879"/>
      <c r="K42" s="2683"/>
      <c r="L42" s="2683"/>
      <c r="M42" s="2811"/>
      <c r="N42" s="2805"/>
      <c r="O42" s="2683"/>
      <c r="P42" s="2683"/>
      <c r="Q42" s="2883"/>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9">
        <f t="shared" si="4"/>
        <v>0</v>
      </c>
      <c r="AP42" s="2869"/>
      <c r="AQ42" s="2869"/>
      <c r="AR42" s="2869"/>
      <c r="AS42" s="2869"/>
      <c r="AT42" s="2869"/>
      <c r="AU42" s="2870">
        <f t="shared" si="5"/>
        <v>0</v>
      </c>
      <c r="AV42" s="2870"/>
      <c r="AW42" s="2870"/>
      <c r="AX42" s="2870"/>
      <c r="AY42" s="2870"/>
      <c r="AZ42" s="2870"/>
      <c r="BA42" s="1529"/>
      <c r="BB42" s="1529"/>
      <c r="BC42" s="1529"/>
      <c r="BD42" s="1529"/>
      <c r="BE42" s="1535"/>
    </row>
    <row r="43" spans="1:58" ht="15.75" customHeight="1">
      <c r="A43" s="1818"/>
      <c r="B43" s="2884" t="s">
        <v>2067</v>
      </c>
      <c r="C43" s="2885"/>
      <c r="D43" s="2885"/>
      <c r="E43" s="2885"/>
      <c r="F43" s="2885"/>
      <c r="G43" s="2885"/>
      <c r="H43" s="2885"/>
      <c r="I43" s="2886"/>
      <c r="J43" s="2879"/>
      <c r="K43" s="2683"/>
      <c r="L43" s="2683"/>
      <c r="M43" s="2811"/>
      <c r="N43" s="2805"/>
      <c r="O43" s="2683"/>
      <c r="P43" s="2683"/>
      <c r="Q43" s="2883"/>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9">
        <f t="shared" si="4"/>
        <v>0</v>
      </c>
      <c r="AP43" s="2869"/>
      <c r="AQ43" s="2869"/>
      <c r="AR43" s="2869"/>
      <c r="AS43" s="2869"/>
      <c r="AT43" s="2869"/>
      <c r="AU43" s="2870">
        <f t="shared" si="5"/>
        <v>0</v>
      </c>
      <c r="AV43" s="2870"/>
      <c r="AW43" s="2870"/>
      <c r="AX43" s="2870"/>
      <c r="AY43" s="2870"/>
      <c r="AZ43" s="2870"/>
      <c r="BA43" s="1529"/>
      <c r="BB43" s="1529"/>
      <c r="BC43" s="1529"/>
      <c r="BD43" s="1529"/>
      <c r="BE43" s="1535"/>
    </row>
    <row r="44" spans="1:58" ht="15.75" customHeight="1">
      <c r="A44" s="1818"/>
      <c r="B44" s="2884" t="s">
        <v>2068</v>
      </c>
      <c r="C44" s="2885"/>
      <c r="D44" s="2885"/>
      <c r="E44" s="2885"/>
      <c r="F44" s="2885"/>
      <c r="G44" s="2885"/>
      <c r="H44" s="2885"/>
      <c r="I44" s="2886"/>
      <c r="J44" s="2879"/>
      <c r="K44" s="2683"/>
      <c r="L44" s="2683"/>
      <c r="M44" s="2811"/>
      <c r="N44" s="2805"/>
      <c r="O44" s="2683"/>
      <c r="P44" s="2683"/>
      <c r="Q44" s="2883"/>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9">
        <f t="shared" si="4"/>
        <v>0</v>
      </c>
      <c r="AP44" s="2869"/>
      <c r="AQ44" s="2869"/>
      <c r="AR44" s="2869"/>
      <c r="AS44" s="2869"/>
      <c r="AT44" s="2869"/>
      <c r="AU44" s="2870">
        <f t="shared" si="5"/>
        <v>0</v>
      </c>
      <c r="AV44" s="2870"/>
      <c r="AW44" s="2870"/>
      <c r="AX44" s="2870"/>
      <c r="AY44" s="2870"/>
      <c r="AZ44" s="2870"/>
      <c r="BA44" s="1529"/>
      <c r="BB44" s="1529"/>
      <c r="BC44" s="1529"/>
      <c r="BD44" s="1529"/>
      <c r="BE44" s="1535"/>
    </row>
    <row r="45" spans="1:58" ht="15.75" customHeight="1">
      <c r="A45" s="1818"/>
      <c r="B45" s="2876" t="s">
        <v>2069</v>
      </c>
      <c r="C45" s="2877"/>
      <c r="D45" s="2877"/>
      <c r="E45" s="2877"/>
      <c r="F45" s="2877"/>
      <c r="G45" s="2877"/>
      <c r="H45" s="2877"/>
      <c r="I45" s="2878"/>
      <c r="J45" s="2879"/>
      <c r="K45" s="2683"/>
      <c r="L45" s="2683"/>
      <c r="M45" s="2811"/>
      <c r="N45" s="2805"/>
      <c r="O45" s="2683"/>
      <c r="P45" s="2683"/>
      <c r="Q45" s="2883"/>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9">
        <f t="shared" si="4"/>
        <v>0</v>
      </c>
      <c r="AP45" s="2869"/>
      <c r="AQ45" s="2869"/>
      <c r="AR45" s="2869"/>
      <c r="AS45" s="2869"/>
      <c r="AT45" s="2869"/>
      <c r="AU45" s="2870">
        <f t="shared" si="5"/>
        <v>0</v>
      </c>
      <c r="AV45" s="2870"/>
      <c r="AW45" s="2870"/>
      <c r="AX45" s="2870"/>
      <c r="AY45" s="2870"/>
      <c r="AZ45" s="2870"/>
      <c r="BA45" s="1529"/>
      <c r="BB45" s="1529"/>
      <c r="BC45" s="1529"/>
      <c r="BD45" s="1529"/>
      <c r="BE45" s="1535"/>
    </row>
    <row r="46" spans="1:58" ht="15.75" customHeight="1">
      <c r="A46" s="1818"/>
      <c r="B46" s="2876" t="s">
        <v>2070</v>
      </c>
      <c r="C46" s="2877"/>
      <c r="D46" s="2877"/>
      <c r="E46" s="2877"/>
      <c r="F46" s="2877"/>
      <c r="G46" s="2877"/>
      <c r="H46" s="2877"/>
      <c r="I46" s="2878"/>
      <c r="J46" s="2879"/>
      <c r="K46" s="2683"/>
      <c r="L46" s="2683"/>
      <c r="M46" s="2811"/>
      <c r="N46" s="2880">
        <v>99</v>
      </c>
      <c r="O46" s="2881"/>
      <c r="P46" s="2881"/>
      <c r="Q46" s="2882"/>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9">
        <f t="shared" si="4"/>
        <v>0</v>
      </c>
      <c r="AP46" s="2869"/>
      <c r="AQ46" s="2869"/>
      <c r="AR46" s="2869"/>
      <c r="AS46" s="2869"/>
      <c r="AT46" s="2869"/>
      <c r="AU46" s="2870">
        <f t="shared" si="5"/>
        <v>0</v>
      </c>
      <c r="AV46" s="2870"/>
      <c r="AW46" s="2870"/>
      <c r="AX46" s="2870"/>
      <c r="AY46" s="2870"/>
      <c r="AZ46" s="2870"/>
      <c r="BA46" s="1529"/>
      <c r="BB46" s="1529"/>
      <c r="BC46" s="1529"/>
      <c r="BD46" s="1529"/>
      <c r="BE46" s="1535"/>
    </row>
    <row r="47" spans="1:58" ht="15.75" customHeight="1" thickBot="1">
      <c r="A47" s="1818"/>
      <c r="B47" s="2871" t="s">
        <v>308</v>
      </c>
      <c r="C47" s="2872"/>
      <c r="D47" s="2872"/>
      <c r="E47" s="2872"/>
      <c r="F47" s="2872"/>
      <c r="G47" s="2872"/>
      <c r="H47" s="2872"/>
      <c r="I47" s="2873"/>
      <c r="J47" s="2874"/>
      <c r="K47" s="2796"/>
      <c r="L47" s="2796"/>
      <c r="M47" s="2797"/>
      <c r="N47" s="2812"/>
      <c r="O47" s="2796"/>
      <c r="P47" s="2796"/>
      <c r="Q47" s="2875"/>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9">
        <f t="shared" si="4"/>
        <v>0</v>
      </c>
      <c r="AP47" s="2869"/>
      <c r="AQ47" s="2869"/>
      <c r="AR47" s="2869"/>
      <c r="AS47" s="2869"/>
      <c r="AT47" s="2869"/>
      <c r="AU47" s="2870">
        <f t="shared" si="5"/>
        <v>0</v>
      </c>
      <c r="AV47" s="2870"/>
      <c r="AW47" s="2870"/>
      <c r="AX47" s="2870"/>
      <c r="AY47" s="2870"/>
      <c r="AZ47" s="2870"/>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6" t="s">
        <v>2073</v>
      </c>
      <c r="C50" s="2857"/>
      <c r="D50" s="2857"/>
      <c r="E50" s="2857"/>
      <c r="F50" s="2857"/>
      <c r="G50" s="2857"/>
      <c r="H50" s="2857"/>
      <c r="I50" s="2857"/>
      <c r="J50" s="2857"/>
      <c r="K50" s="2857"/>
      <c r="L50" s="2857"/>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9" t="s">
        <v>2074</v>
      </c>
      <c r="C51" s="2860"/>
      <c r="D51" s="2860"/>
      <c r="E51" s="2860"/>
      <c r="F51" s="2860"/>
      <c r="G51" s="2860"/>
      <c r="H51" s="2860"/>
      <c r="I51" s="2861"/>
      <c r="J51" s="2859" t="s">
        <v>2075</v>
      </c>
      <c r="K51" s="2860"/>
      <c r="L51" s="2860"/>
      <c r="M51" s="2860"/>
      <c r="N51" s="2860"/>
      <c r="O51" s="2860"/>
      <c r="P51" s="2860"/>
      <c r="Q51" s="2861"/>
      <c r="R51" s="2862" t="s">
        <v>2076</v>
      </c>
      <c r="S51" s="2863"/>
      <c r="T51" s="2863"/>
      <c r="U51" s="2863"/>
      <c r="V51" s="2863"/>
      <c r="W51" s="2863"/>
      <c r="X51" s="2863"/>
      <c r="Y51" s="2864"/>
      <c r="Z51" s="2865" t="s">
        <v>2077</v>
      </c>
      <c r="AA51" s="2866"/>
      <c r="AB51" s="2866"/>
      <c r="AC51" s="2866"/>
      <c r="AD51" s="2866"/>
      <c r="AE51" s="2866"/>
      <c r="AF51" s="2866"/>
      <c r="AG51" s="2867"/>
      <c r="AH51" s="2865" t="s">
        <v>2078</v>
      </c>
      <c r="AI51" s="2866"/>
      <c r="AJ51" s="2866"/>
      <c r="AK51" s="2866"/>
      <c r="AL51" s="2866"/>
      <c r="AM51" s="2866"/>
      <c r="AN51" s="2866"/>
      <c r="AO51" s="286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54"/>
      <c r="C52" s="2838"/>
      <c r="D52" s="2838"/>
      <c r="E52" s="2838"/>
      <c r="F52" s="2838"/>
      <c r="G52" s="2838"/>
      <c r="H52" s="2838"/>
      <c r="I52" s="2838"/>
      <c r="J52" s="2838"/>
      <c r="K52" s="2838"/>
      <c r="L52" s="2838"/>
      <c r="M52" s="2838"/>
      <c r="N52" s="2838"/>
      <c r="O52" s="2838"/>
      <c r="P52" s="2838"/>
      <c r="Q52" s="2838"/>
      <c r="R52" s="2855"/>
      <c r="S52" s="2855"/>
      <c r="T52" s="2855"/>
      <c r="U52" s="2855"/>
      <c r="V52" s="2855"/>
      <c r="W52" s="2855"/>
      <c r="X52" s="2855"/>
      <c r="Y52" s="2855"/>
      <c r="Z52" s="2838"/>
      <c r="AA52" s="2838"/>
      <c r="AB52" s="2838"/>
      <c r="AC52" s="2838"/>
      <c r="AD52" s="2838"/>
      <c r="AE52" s="2838"/>
      <c r="AF52" s="2838"/>
      <c r="AG52" s="2838"/>
      <c r="AH52" s="2838"/>
      <c r="AI52" s="2838"/>
      <c r="AJ52" s="2838"/>
      <c r="AK52" s="2838"/>
      <c r="AL52" s="2838"/>
      <c r="AM52" s="2838"/>
      <c r="AN52" s="2838"/>
      <c r="AO52" s="283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54"/>
      <c r="C53" s="2838"/>
      <c r="D53" s="2838"/>
      <c r="E53" s="2838"/>
      <c r="F53" s="2838"/>
      <c r="G53" s="2838"/>
      <c r="H53" s="2838"/>
      <c r="I53" s="2838"/>
      <c r="J53" s="2838"/>
      <c r="K53" s="2838"/>
      <c r="L53" s="2838"/>
      <c r="M53" s="2838"/>
      <c r="N53" s="2838"/>
      <c r="O53" s="2838"/>
      <c r="P53" s="2838"/>
      <c r="Q53" s="2838"/>
      <c r="R53" s="2855"/>
      <c r="S53" s="2855"/>
      <c r="T53" s="2855"/>
      <c r="U53" s="2855"/>
      <c r="V53" s="2855"/>
      <c r="W53" s="2855"/>
      <c r="X53" s="2855"/>
      <c r="Y53" s="2855"/>
      <c r="Z53" s="2838"/>
      <c r="AA53" s="2838"/>
      <c r="AB53" s="2838"/>
      <c r="AC53" s="2838"/>
      <c r="AD53" s="2838"/>
      <c r="AE53" s="2838"/>
      <c r="AF53" s="2838"/>
      <c r="AG53" s="2838"/>
      <c r="AH53" s="2838"/>
      <c r="AI53" s="2838"/>
      <c r="AJ53" s="2838"/>
      <c r="AK53" s="2838"/>
      <c r="AL53" s="2838"/>
      <c r="AM53" s="2838"/>
      <c r="AN53" s="2838"/>
      <c r="AO53" s="283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54"/>
      <c r="C54" s="2838"/>
      <c r="D54" s="2838"/>
      <c r="E54" s="2838"/>
      <c r="F54" s="2838"/>
      <c r="G54" s="2838"/>
      <c r="H54" s="2838"/>
      <c r="I54" s="2838"/>
      <c r="J54" s="2838"/>
      <c r="K54" s="2838"/>
      <c r="L54" s="2838"/>
      <c r="M54" s="2838"/>
      <c r="N54" s="2838"/>
      <c r="O54" s="2838"/>
      <c r="P54" s="2838"/>
      <c r="Q54" s="2838"/>
      <c r="R54" s="2855"/>
      <c r="S54" s="2855"/>
      <c r="T54" s="2855"/>
      <c r="U54" s="2855"/>
      <c r="V54" s="2855"/>
      <c r="W54" s="2855"/>
      <c r="X54" s="2855"/>
      <c r="Y54" s="2855"/>
      <c r="Z54" s="2838"/>
      <c r="AA54" s="2838"/>
      <c r="AB54" s="2838"/>
      <c r="AC54" s="2838"/>
      <c r="AD54" s="2838"/>
      <c r="AE54" s="2838"/>
      <c r="AF54" s="2838"/>
      <c r="AG54" s="2838"/>
      <c r="AH54" s="2838"/>
      <c r="AI54" s="2838"/>
      <c r="AJ54" s="2838"/>
      <c r="AK54" s="2838"/>
      <c r="AL54" s="2838"/>
      <c r="AM54" s="2838"/>
      <c r="AN54" s="2838"/>
      <c r="AO54" s="283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54"/>
      <c r="C55" s="2838"/>
      <c r="D55" s="2838"/>
      <c r="E55" s="2838"/>
      <c r="F55" s="2838"/>
      <c r="G55" s="2838"/>
      <c r="H55" s="2838"/>
      <c r="I55" s="2838"/>
      <c r="J55" s="2838"/>
      <c r="K55" s="2838"/>
      <c r="L55" s="2838"/>
      <c r="M55" s="2838"/>
      <c r="N55" s="2838"/>
      <c r="O55" s="2838"/>
      <c r="P55" s="2838"/>
      <c r="Q55" s="2838"/>
      <c r="R55" s="2855"/>
      <c r="S55" s="2855"/>
      <c r="T55" s="2855"/>
      <c r="U55" s="2855"/>
      <c r="V55" s="2855"/>
      <c r="W55" s="2855"/>
      <c r="X55" s="2855"/>
      <c r="Y55" s="2855"/>
      <c r="Z55" s="2838"/>
      <c r="AA55" s="2838"/>
      <c r="AB55" s="2838"/>
      <c r="AC55" s="2838"/>
      <c r="AD55" s="2838"/>
      <c r="AE55" s="2838"/>
      <c r="AF55" s="2838"/>
      <c r="AG55" s="2838"/>
      <c r="AH55" s="2838"/>
      <c r="AI55" s="2838"/>
      <c r="AJ55" s="2838"/>
      <c r="AK55" s="2838"/>
      <c r="AL55" s="2838"/>
      <c r="AM55" s="2838"/>
      <c r="AN55" s="2838"/>
      <c r="AO55" s="283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9"/>
      <c r="C56" s="2844"/>
      <c r="D56" s="2844"/>
      <c r="E56" s="2844"/>
      <c r="F56" s="2844"/>
      <c r="G56" s="2844"/>
      <c r="H56" s="2844"/>
      <c r="I56" s="2844"/>
      <c r="J56" s="2844"/>
      <c r="K56" s="2844"/>
      <c r="L56" s="2844"/>
      <c r="M56" s="2844"/>
      <c r="N56" s="2844"/>
      <c r="O56" s="2844"/>
      <c r="P56" s="2844"/>
      <c r="Q56" s="2844"/>
      <c r="R56" s="2850"/>
      <c r="S56" s="2850"/>
      <c r="T56" s="2850"/>
      <c r="U56" s="2850"/>
      <c r="V56" s="2850"/>
      <c r="W56" s="2850"/>
      <c r="X56" s="2850"/>
      <c r="Y56" s="2850"/>
      <c r="Z56" s="2844"/>
      <c r="AA56" s="2844"/>
      <c r="AB56" s="2844"/>
      <c r="AC56" s="2844"/>
      <c r="AD56" s="2844"/>
      <c r="AE56" s="2844"/>
      <c r="AF56" s="2844"/>
      <c r="AG56" s="2844"/>
      <c r="AH56" s="2844"/>
      <c r="AI56" s="2844"/>
      <c r="AJ56" s="2844"/>
      <c r="AK56" s="2844"/>
      <c r="AL56" s="2844"/>
      <c r="AM56" s="2844"/>
      <c r="AN56" s="2844"/>
      <c r="AO56" s="284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1" t="s">
        <v>1880</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3">
        <f t="shared" ref="Z57" si="6">SUM(Z52:AG56)</f>
        <v>0</v>
      </c>
      <c r="AA57" s="2853"/>
      <c r="AB57" s="2853"/>
      <c r="AC57" s="2853"/>
      <c r="AD57" s="2853"/>
      <c r="AE57" s="2853"/>
      <c r="AF57" s="2853"/>
      <c r="AG57" s="2853"/>
      <c r="AH57" s="2853">
        <f t="shared" ref="AH57" si="7">SUM(AH52:AO56)</f>
        <v>0</v>
      </c>
      <c r="AI57" s="2853"/>
      <c r="AJ57" s="2853"/>
      <c r="AK57" s="2853"/>
      <c r="AL57" s="2853"/>
      <c r="AM57" s="2853"/>
      <c r="AN57" s="2853"/>
      <c r="AO57" s="285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6" t="s">
        <v>2074</v>
      </c>
      <c r="C59" s="2847"/>
      <c r="D59" s="2847"/>
      <c r="E59" s="2847"/>
      <c r="F59" s="2847"/>
      <c r="G59" s="2847"/>
      <c r="H59" s="2847"/>
      <c r="I59" s="2848"/>
      <c r="J59" s="2691" t="s">
        <v>2079</v>
      </c>
      <c r="K59" s="2691"/>
      <c r="L59" s="2691"/>
      <c r="M59" s="2691"/>
      <c r="N59" s="2691"/>
      <c r="O59" s="2691"/>
      <c r="P59" s="2691"/>
      <c r="Q59" s="2691"/>
      <c r="R59" s="2691"/>
      <c r="S59" s="2691"/>
      <c r="T59" s="2691"/>
      <c r="U59" s="2691"/>
      <c r="V59" s="2691"/>
      <c r="W59" s="2691"/>
      <c r="X59" s="2691"/>
      <c r="Y59" s="2691"/>
      <c r="Z59" s="2691"/>
      <c r="AA59" s="2691"/>
      <c r="AB59" s="2691"/>
      <c r="AC59" s="2691"/>
      <c r="AD59" s="2691"/>
      <c r="AE59" s="2691"/>
      <c r="AF59" s="2691"/>
      <c r="AG59" s="2691"/>
      <c r="AH59" s="2691"/>
      <c r="AI59" s="2691"/>
      <c r="AJ59" s="2691"/>
      <c r="AK59" s="2691"/>
      <c r="AL59" s="2691"/>
      <c r="AM59" s="2691"/>
      <c r="AN59" s="2691"/>
      <c r="AO59" s="2691"/>
      <c r="AP59" s="2691"/>
      <c r="AQ59" s="2691"/>
      <c r="AR59" s="2691"/>
      <c r="AS59" s="2691"/>
      <c r="AT59" s="2691"/>
      <c r="AU59" s="2691"/>
      <c r="AV59" s="2691"/>
      <c r="AW59" s="2692"/>
      <c r="AX59" s="1529"/>
      <c r="AY59" s="1529"/>
      <c r="AZ59" s="1529"/>
      <c r="BA59" s="1529"/>
      <c r="BB59" s="1529"/>
      <c r="BC59" s="1529"/>
      <c r="BD59" s="1529"/>
      <c r="BE59" s="1535"/>
    </row>
    <row r="60" spans="1:58" ht="15.75" customHeight="1">
      <c r="A60" s="1818"/>
      <c r="B60" s="2834" t="str">
        <f>IF(B52="", "", B52)</f>
        <v/>
      </c>
      <c r="C60" s="2835"/>
      <c r="D60" s="2835"/>
      <c r="E60" s="2835"/>
      <c r="F60" s="2835"/>
      <c r="G60" s="2835"/>
      <c r="H60" s="2835"/>
      <c r="I60" s="2836"/>
      <c r="J60" s="2837"/>
      <c r="K60" s="2838"/>
      <c r="L60" s="2838"/>
      <c r="M60" s="2838"/>
      <c r="N60" s="2838"/>
      <c r="O60" s="2838"/>
      <c r="P60" s="2838"/>
      <c r="Q60" s="2838"/>
      <c r="R60" s="2838"/>
      <c r="S60" s="2838"/>
      <c r="T60" s="2838"/>
      <c r="U60" s="2838"/>
      <c r="V60" s="2838"/>
      <c r="W60" s="2838"/>
      <c r="X60" s="2838"/>
      <c r="Y60" s="2838"/>
      <c r="Z60" s="2838"/>
      <c r="AA60" s="2838"/>
      <c r="AB60" s="2838"/>
      <c r="AC60" s="2838"/>
      <c r="AD60" s="2838"/>
      <c r="AE60" s="2838"/>
      <c r="AF60" s="2838"/>
      <c r="AG60" s="2838"/>
      <c r="AH60" s="2838"/>
      <c r="AI60" s="2838"/>
      <c r="AJ60" s="2838"/>
      <c r="AK60" s="2838"/>
      <c r="AL60" s="2838"/>
      <c r="AM60" s="2838"/>
      <c r="AN60" s="2838"/>
      <c r="AO60" s="2838"/>
      <c r="AP60" s="2838"/>
      <c r="AQ60" s="2838"/>
      <c r="AR60" s="2838"/>
      <c r="AS60" s="2838"/>
      <c r="AT60" s="2838"/>
      <c r="AU60" s="2838"/>
      <c r="AV60" s="2838"/>
      <c r="AW60" s="2839"/>
      <c r="AX60" s="1529"/>
      <c r="AY60" s="1529"/>
      <c r="AZ60" s="1529"/>
      <c r="BA60" s="1529"/>
      <c r="BB60" s="1529"/>
      <c r="BC60" s="1529"/>
      <c r="BD60" s="1529"/>
      <c r="BE60" s="1535"/>
    </row>
    <row r="61" spans="1:58" ht="15.75" customHeight="1">
      <c r="A61" s="1818"/>
      <c r="B61" s="2834" t="str">
        <f t="shared" ref="B61:B64" si="8">IF(B53="", "", B53)</f>
        <v/>
      </c>
      <c r="C61" s="2835"/>
      <c r="D61" s="2835"/>
      <c r="E61" s="2835"/>
      <c r="F61" s="2835"/>
      <c r="G61" s="2835"/>
      <c r="H61" s="2835"/>
      <c r="I61" s="2836"/>
      <c r="J61" s="2837"/>
      <c r="K61" s="2838"/>
      <c r="L61" s="2838"/>
      <c r="M61" s="2838"/>
      <c r="N61" s="2838"/>
      <c r="O61" s="2838"/>
      <c r="P61" s="2838"/>
      <c r="Q61" s="2838"/>
      <c r="R61" s="2838"/>
      <c r="S61" s="2838"/>
      <c r="T61" s="2838"/>
      <c r="U61" s="2838"/>
      <c r="V61" s="2838"/>
      <c r="W61" s="2838"/>
      <c r="X61" s="2838"/>
      <c r="Y61" s="2838"/>
      <c r="Z61" s="2838"/>
      <c r="AA61" s="2838"/>
      <c r="AB61" s="2838"/>
      <c r="AC61" s="2838"/>
      <c r="AD61" s="2838"/>
      <c r="AE61" s="2838"/>
      <c r="AF61" s="2838"/>
      <c r="AG61" s="2838"/>
      <c r="AH61" s="2838"/>
      <c r="AI61" s="2838"/>
      <c r="AJ61" s="2838"/>
      <c r="AK61" s="2838"/>
      <c r="AL61" s="2838"/>
      <c r="AM61" s="2838"/>
      <c r="AN61" s="2838"/>
      <c r="AO61" s="2838"/>
      <c r="AP61" s="2838"/>
      <c r="AQ61" s="2838"/>
      <c r="AR61" s="2838"/>
      <c r="AS61" s="2838"/>
      <c r="AT61" s="2838"/>
      <c r="AU61" s="2838"/>
      <c r="AV61" s="2838"/>
      <c r="AW61" s="2839"/>
      <c r="AX61" s="1529"/>
      <c r="AY61" s="1529"/>
      <c r="AZ61" s="1529"/>
      <c r="BA61" s="1529"/>
      <c r="BB61" s="1529"/>
      <c r="BC61" s="1529"/>
      <c r="BD61" s="1529"/>
      <c r="BE61" s="1535"/>
    </row>
    <row r="62" spans="1:58" ht="15.75" customHeight="1">
      <c r="A62" s="1818"/>
      <c r="B62" s="2834" t="str">
        <f t="shared" si="8"/>
        <v/>
      </c>
      <c r="C62" s="2835"/>
      <c r="D62" s="2835"/>
      <c r="E62" s="2835"/>
      <c r="F62" s="2835"/>
      <c r="G62" s="2835"/>
      <c r="H62" s="2835"/>
      <c r="I62" s="2836"/>
      <c r="J62" s="2837"/>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8"/>
      <c r="AJ62" s="2838"/>
      <c r="AK62" s="2838"/>
      <c r="AL62" s="2838"/>
      <c r="AM62" s="2838"/>
      <c r="AN62" s="2838"/>
      <c r="AO62" s="2838"/>
      <c r="AP62" s="2838"/>
      <c r="AQ62" s="2838"/>
      <c r="AR62" s="2838"/>
      <c r="AS62" s="2838"/>
      <c r="AT62" s="2838"/>
      <c r="AU62" s="2838"/>
      <c r="AV62" s="2838"/>
      <c r="AW62" s="2839"/>
      <c r="AX62" s="1529"/>
      <c r="AY62" s="1529"/>
      <c r="AZ62" s="1529"/>
      <c r="BA62" s="1529"/>
      <c r="BB62" s="1529"/>
      <c r="BC62" s="1529"/>
      <c r="BD62" s="1529"/>
      <c r="BE62" s="1535"/>
    </row>
    <row r="63" spans="1:58" ht="15.75" customHeight="1">
      <c r="A63" s="1818"/>
      <c r="B63" s="2834" t="str">
        <f t="shared" si="8"/>
        <v/>
      </c>
      <c r="C63" s="2835"/>
      <c r="D63" s="2835"/>
      <c r="E63" s="2835"/>
      <c r="F63" s="2835"/>
      <c r="G63" s="2835"/>
      <c r="H63" s="2835"/>
      <c r="I63" s="2836"/>
      <c r="J63" s="2837"/>
      <c r="K63" s="2838"/>
      <c r="L63" s="2838"/>
      <c r="M63" s="2838"/>
      <c r="N63" s="2838"/>
      <c r="O63" s="2838"/>
      <c r="P63" s="2838"/>
      <c r="Q63" s="2838"/>
      <c r="R63" s="2838"/>
      <c r="S63" s="2838"/>
      <c r="T63" s="2838"/>
      <c r="U63" s="2838"/>
      <c r="V63" s="2838"/>
      <c r="W63" s="2838"/>
      <c r="X63" s="2838"/>
      <c r="Y63" s="2838"/>
      <c r="Z63" s="2838"/>
      <c r="AA63" s="2838"/>
      <c r="AB63" s="2838"/>
      <c r="AC63" s="2838"/>
      <c r="AD63" s="2838"/>
      <c r="AE63" s="2838"/>
      <c r="AF63" s="2838"/>
      <c r="AG63" s="2838"/>
      <c r="AH63" s="2838"/>
      <c r="AI63" s="2838"/>
      <c r="AJ63" s="2838"/>
      <c r="AK63" s="2838"/>
      <c r="AL63" s="2838"/>
      <c r="AM63" s="2838"/>
      <c r="AN63" s="2838"/>
      <c r="AO63" s="2838"/>
      <c r="AP63" s="2838"/>
      <c r="AQ63" s="2838"/>
      <c r="AR63" s="2838"/>
      <c r="AS63" s="2838"/>
      <c r="AT63" s="2838"/>
      <c r="AU63" s="2838"/>
      <c r="AV63" s="2838"/>
      <c r="AW63" s="2839"/>
      <c r="AX63" s="1529"/>
      <c r="AY63" s="1529"/>
      <c r="AZ63" s="1529"/>
      <c r="BA63" s="1529"/>
      <c r="BB63" s="1529"/>
      <c r="BC63" s="1529"/>
      <c r="BD63" s="1529"/>
      <c r="BE63" s="1535"/>
    </row>
    <row r="64" spans="1:58" ht="15.75" customHeight="1" thickBot="1">
      <c r="A64" s="1818"/>
      <c r="B64" s="2840" t="str">
        <f t="shared" si="8"/>
        <v/>
      </c>
      <c r="C64" s="2841"/>
      <c r="D64" s="2841"/>
      <c r="E64" s="2841"/>
      <c r="F64" s="2841"/>
      <c r="G64" s="2841"/>
      <c r="H64" s="2841"/>
      <c r="I64" s="2842"/>
      <c r="J64" s="2843"/>
      <c r="K64" s="2844"/>
      <c r="L64" s="2844"/>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c r="AS64" s="2844"/>
      <c r="AT64" s="2844"/>
      <c r="AU64" s="2844"/>
      <c r="AV64" s="2844"/>
      <c r="AW64" s="284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64" t="s">
        <v>2081</v>
      </c>
      <c r="C68" s="2765"/>
      <c r="D68" s="2765"/>
      <c r="E68" s="2765"/>
      <c r="F68" s="2765"/>
      <c r="G68" s="2765"/>
      <c r="H68" s="2765"/>
      <c r="I68" s="2765"/>
      <c r="J68" s="2765"/>
      <c r="K68" s="2765"/>
      <c r="L68" s="2765"/>
      <c r="M68" s="2765"/>
      <c r="N68" s="2765"/>
      <c r="O68" s="2765"/>
      <c r="P68" s="2765"/>
      <c r="Q68" s="2765"/>
      <c r="R68" s="2765"/>
      <c r="S68" s="2765"/>
      <c r="T68" s="2765"/>
      <c r="U68" s="2765"/>
      <c r="V68" s="2765"/>
      <c r="W68" s="2765"/>
      <c r="X68" s="2765"/>
      <c r="Y68" s="2765"/>
      <c r="Z68" s="2765"/>
      <c r="AA68" s="2826"/>
      <c r="AB68" s="1529"/>
      <c r="AC68" s="2827" t="s">
        <v>2082</v>
      </c>
      <c r="AD68" s="2828"/>
      <c r="AE68" s="2828"/>
      <c r="AF68" s="2828"/>
      <c r="AG68" s="2828"/>
      <c r="AH68" s="2828"/>
      <c r="AI68" s="2828"/>
      <c r="AJ68" s="2828"/>
      <c r="AK68" s="2828"/>
      <c r="AL68" s="2828"/>
      <c r="AM68" s="2828"/>
      <c r="AN68" s="2828"/>
      <c r="AO68" s="2828"/>
      <c r="AP68" s="2828"/>
      <c r="AQ68" s="2828"/>
      <c r="AR68" s="2828"/>
      <c r="AS68" s="2828"/>
      <c r="AT68" s="2828"/>
      <c r="AU68" s="2828"/>
      <c r="AV68" s="2829" t="s">
        <v>2038</v>
      </c>
      <c r="AW68" s="2829"/>
      <c r="AX68" s="2829"/>
      <c r="AY68" s="2829"/>
      <c r="AZ68" s="2829"/>
      <c r="BA68" s="2829"/>
      <c r="BB68" s="2829"/>
      <c r="BC68" s="2830"/>
      <c r="BD68" s="1529"/>
      <c r="BE68" s="1535"/>
    </row>
    <row r="69" spans="1:57" ht="15.75" customHeight="1" thickBot="1">
      <c r="A69" s="1818"/>
      <c r="B69" s="2831" t="s">
        <v>2083</v>
      </c>
      <c r="C69" s="2832"/>
      <c r="D69" s="2832"/>
      <c r="E69" s="2832"/>
      <c r="F69" s="2832"/>
      <c r="G69" s="2832"/>
      <c r="H69" s="2832"/>
      <c r="I69" s="2832"/>
      <c r="J69" s="2832"/>
      <c r="K69" s="2832"/>
      <c r="L69" s="2832"/>
      <c r="M69" s="2832"/>
      <c r="N69" s="2832"/>
      <c r="O69" s="2770" t="s">
        <v>2084</v>
      </c>
      <c r="P69" s="2669"/>
      <c r="Q69" s="2669"/>
      <c r="R69" s="2669"/>
      <c r="S69" s="2669"/>
      <c r="T69" s="2669"/>
      <c r="U69" s="2669"/>
      <c r="V69" s="2669"/>
      <c r="W69" s="2669"/>
      <c r="X69" s="2669"/>
      <c r="Y69" s="2669"/>
      <c r="Z69" s="2669"/>
      <c r="AA69" s="2670"/>
      <c r="AB69" s="1529"/>
      <c r="AC69" s="2612" t="s">
        <v>2085</v>
      </c>
      <c r="AD69" s="2613"/>
      <c r="AE69" s="2613"/>
      <c r="AF69" s="2613"/>
      <c r="AG69" s="2613"/>
      <c r="AH69" s="2613"/>
      <c r="AI69" s="2613"/>
      <c r="AJ69" s="2613"/>
      <c r="AK69" s="2613"/>
      <c r="AL69" s="2613"/>
      <c r="AM69" s="2613"/>
      <c r="AN69" s="2613"/>
      <c r="AO69" s="2613"/>
      <c r="AP69" s="2613"/>
      <c r="AQ69" s="2613"/>
      <c r="AR69" s="2613"/>
      <c r="AS69" s="2613"/>
      <c r="AT69" s="2613"/>
      <c r="AU69" s="2613"/>
      <c r="AV69" s="2718">
        <v>44197</v>
      </c>
      <c r="AW69" s="2717"/>
      <c r="AX69" s="2717"/>
      <c r="AY69" s="2717"/>
      <c r="AZ69" s="2717"/>
      <c r="BA69" s="2717"/>
      <c r="BB69" s="2717"/>
      <c r="BC69" s="2833"/>
      <c r="BD69" s="1529"/>
      <c r="BE69" s="1535"/>
    </row>
    <row r="70" spans="1:57" ht="15.75" customHeight="1">
      <c r="A70" s="1818"/>
      <c r="B70" s="2820"/>
      <c r="C70" s="2821"/>
      <c r="D70" s="2821"/>
      <c r="E70" s="2821"/>
      <c r="F70" s="2821"/>
      <c r="G70" s="2821"/>
      <c r="H70" s="2821"/>
      <c r="I70" s="2821"/>
      <c r="J70" s="2821"/>
      <c r="K70" s="2821"/>
      <c r="L70" s="2821"/>
      <c r="M70" s="2821"/>
      <c r="N70" s="2821"/>
      <c r="O70" s="2806"/>
      <c r="P70" s="2806"/>
      <c r="Q70" s="2806"/>
      <c r="R70" s="2806"/>
      <c r="S70" s="2806"/>
      <c r="T70" s="2806"/>
      <c r="U70" s="2806"/>
      <c r="V70" s="2806"/>
      <c r="W70" s="2806"/>
      <c r="X70" s="2806"/>
      <c r="Y70" s="2806"/>
      <c r="Z70" s="2806"/>
      <c r="AA70" s="2807"/>
      <c r="AB70" s="1529"/>
      <c r="AC70" s="2822" t="s">
        <v>2086</v>
      </c>
      <c r="AD70" s="2823"/>
      <c r="AE70" s="2823"/>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805"/>
      <c r="C71" s="2683"/>
      <c r="D71" s="2683"/>
      <c r="E71" s="2683"/>
      <c r="F71" s="2683"/>
      <c r="G71" s="2683"/>
      <c r="H71" s="2683"/>
      <c r="I71" s="2683"/>
      <c r="J71" s="2683"/>
      <c r="K71" s="2683"/>
      <c r="L71" s="2683"/>
      <c r="M71" s="2683"/>
      <c r="N71" s="2683"/>
      <c r="O71" s="2806"/>
      <c r="P71" s="2806"/>
      <c r="Q71" s="2806"/>
      <c r="R71" s="2806"/>
      <c r="S71" s="2806"/>
      <c r="T71" s="2806"/>
      <c r="U71" s="2806"/>
      <c r="V71" s="2806"/>
      <c r="W71" s="2806"/>
      <c r="X71" s="2806"/>
      <c r="Y71" s="2806"/>
      <c r="Z71" s="2806"/>
      <c r="AA71" s="2807"/>
      <c r="AB71" s="1529"/>
      <c r="AC71" s="2824" t="s">
        <v>2087</v>
      </c>
      <c r="AD71" s="2825"/>
      <c r="AE71" s="2825"/>
      <c r="AF71" s="2796"/>
      <c r="AG71" s="2796"/>
      <c r="AH71" s="2796"/>
      <c r="AI71" s="2796"/>
      <c r="AJ71" s="2796"/>
      <c r="AK71" s="2796"/>
      <c r="AL71" s="2796"/>
      <c r="AM71" s="2796"/>
      <c r="AN71" s="2796"/>
      <c r="AO71" s="2796"/>
      <c r="AP71" s="2796"/>
      <c r="AQ71" s="2796"/>
      <c r="AR71" s="2796"/>
      <c r="AS71" s="2796"/>
      <c r="AT71" s="2796"/>
      <c r="AU71" s="2797"/>
      <c r="AV71" s="1529"/>
      <c r="AW71" s="1529"/>
      <c r="AX71" s="1529"/>
      <c r="AY71" s="1529"/>
      <c r="AZ71" s="1529"/>
      <c r="BA71" s="1529"/>
      <c r="BB71" s="1529"/>
      <c r="BC71" s="1529"/>
      <c r="BD71" s="1529"/>
      <c r="BE71" s="1535"/>
    </row>
    <row r="72" spans="1:57" ht="15.75" customHeight="1">
      <c r="A72" s="1818"/>
      <c r="B72" s="2805"/>
      <c r="C72" s="2683"/>
      <c r="D72" s="2683"/>
      <c r="E72" s="2683"/>
      <c r="F72" s="2683"/>
      <c r="G72" s="2683"/>
      <c r="H72" s="2683"/>
      <c r="I72" s="2683"/>
      <c r="J72" s="2683"/>
      <c r="K72" s="2683"/>
      <c r="L72" s="2683"/>
      <c r="M72" s="2683"/>
      <c r="N72" s="2683"/>
      <c r="O72" s="2806"/>
      <c r="P72" s="2806"/>
      <c r="Q72" s="2806"/>
      <c r="R72" s="2806"/>
      <c r="S72" s="2806"/>
      <c r="T72" s="2806"/>
      <c r="U72" s="2806"/>
      <c r="V72" s="2806"/>
      <c r="W72" s="2806"/>
      <c r="X72" s="2806"/>
      <c r="Y72" s="2806"/>
      <c r="Z72" s="2806"/>
      <c r="AA72" s="2807"/>
      <c r="AB72" s="1529"/>
      <c r="AC72" s="2808" t="s">
        <v>2088</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9"/>
      <c r="BE72" s="1535"/>
    </row>
    <row r="73" spans="1:57" ht="15.75" customHeight="1">
      <c r="A73" s="1818"/>
      <c r="B73" s="2805"/>
      <c r="C73" s="2683"/>
      <c r="D73" s="2683"/>
      <c r="E73" s="2683"/>
      <c r="F73" s="2683"/>
      <c r="G73" s="2683"/>
      <c r="H73" s="2683"/>
      <c r="I73" s="2683"/>
      <c r="J73" s="2683"/>
      <c r="K73" s="2683"/>
      <c r="L73" s="2683"/>
      <c r="M73" s="2683"/>
      <c r="N73" s="2683"/>
      <c r="O73" s="2806"/>
      <c r="P73" s="2806"/>
      <c r="Q73" s="2806"/>
      <c r="R73" s="2806"/>
      <c r="S73" s="2806"/>
      <c r="T73" s="2806"/>
      <c r="U73" s="2806"/>
      <c r="V73" s="2806"/>
      <c r="W73" s="2806"/>
      <c r="X73" s="2806"/>
      <c r="Y73" s="2806"/>
      <c r="Z73" s="2806"/>
      <c r="AA73" s="2807"/>
      <c r="AB73" s="1529"/>
      <c r="AC73" s="2805"/>
      <c r="AD73" s="2683"/>
      <c r="AE73" s="2683"/>
      <c r="AF73" s="2683"/>
      <c r="AG73" s="2683"/>
      <c r="AH73" s="2683"/>
      <c r="AI73" s="2683"/>
      <c r="AJ73" s="2683"/>
      <c r="AK73" s="2683"/>
      <c r="AL73" s="2683"/>
      <c r="AM73" s="2683"/>
      <c r="AN73" s="2683"/>
      <c r="AO73" s="2683"/>
      <c r="AP73" s="2683"/>
      <c r="AQ73" s="2683"/>
      <c r="AR73" s="2683"/>
      <c r="AS73" s="2683"/>
      <c r="AT73" s="2683"/>
      <c r="AU73" s="2683"/>
      <c r="AV73" s="2683"/>
      <c r="AW73" s="2683"/>
      <c r="AX73" s="2683"/>
      <c r="AY73" s="2683"/>
      <c r="AZ73" s="2683"/>
      <c r="BA73" s="2683"/>
      <c r="BB73" s="2683"/>
      <c r="BC73" s="2811"/>
      <c r="BD73" s="1529"/>
      <c r="BE73" s="1535"/>
    </row>
    <row r="74" spans="1:57" ht="15.75" customHeight="1" thickBot="1">
      <c r="A74" s="1818"/>
      <c r="B74" s="2805"/>
      <c r="C74" s="2683"/>
      <c r="D74" s="2683"/>
      <c r="E74" s="2683"/>
      <c r="F74" s="2683"/>
      <c r="G74" s="2683"/>
      <c r="H74" s="2683"/>
      <c r="I74" s="2683"/>
      <c r="J74" s="2683"/>
      <c r="K74" s="2683"/>
      <c r="L74" s="2683"/>
      <c r="M74" s="2683"/>
      <c r="N74" s="2683"/>
      <c r="O74" s="2813"/>
      <c r="P74" s="2813"/>
      <c r="Q74" s="2813"/>
      <c r="R74" s="2813"/>
      <c r="S74" s="2813"/>
      <c r="T74" s="2813"/>
      <c r="U74" s="2813"/>
      <c r="V74" s="2813"/>
      <c r="W74" s="2813"/>
      <c r="X74" s="2813"/>
      <c r="Y74" s="2813"/>
      <c r="Z74" s="2813"/>
      <c r="AA74" s="2814"/>
      <c r="AB74" s="1529"/>
      <c r="AC74" s="2805"/>
      <c r="AD74" s="2683"/>
      <c r="AE74" s="2683"/>
      <c r="AF74" s="2683"/>
      <c r="AG74" s="2683"/>
      <c r="AH74" s="2683"/>
      <c r="AI74" s="2683"/>
      <c r="AJ74" s="2683"/>
      <c r="AK74" s="2683"/>
      <c r="AL74" s="2683"/>
      <c r="AM74" s="2683"/>
      <c r="AN74" s="2683"/>
      <c r="AO74" s="2683"/>
      <c r="AP74" s="2683"/>
      <c r="AQ74" s="2683"/>
      <c r="AR74" s="2683"/>
      <c r="AS74" s="2683"/>
      <c r="AT74" s="2683"/>
      <c r="AU74" s="2683"/>
      <c r="AV74" s="2683"/>
      <c r="AW74" s="2683"/>
      <c r="AX74" s="2683"/>
      <c r="AY74" s="2683"/>
      <c r="AZ74" s="2683"/>
      <c r="BA74" s="2683"/>
      <c r="BB74" s="2683"/>
      <c r="BC74" s="2811"/>
      <c r="BD74" s="1529"/>
      <c r="BE74" s="1535"/>
    </row>
    <row r="75" spans="1:57" ht="15.75" customHeight="1" thickTop="1" thickBot="1">
      <c r="A75" s="1818"/>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9"/>
      <c r="AC75" s="2805"/>
      <c r="AD75" s="2683"/>
      <c r="AE75" s="2683"/>
      <c r="AF75" s="2683"/>
      <c r="AG75" s="2683"/>
      <c r="AH75" s="2683"/>
      <c r="AI75" s="2683"/>
      <c r="AJ75" s="2683"/>
      <c r="AK75" s="2683"/>
      <c r="AL75" s="2683"/>
      <c r="AM75" s="2683"/>
      <c r="AN75" s="2683"/>
      <c r="AO75" s="2683"/>
      <c r="AP75" s="2683"/>
      <c r="AQ75" s="2683"/>
      <c r="AR75" s="2683"/>
      <c r="AS75" s="2683"/>
      <c r="AT75" s="2683"/>
      <c r="AU75" s="2683"/>
      <c r="AV75" s="2683"/>
      <c r="AW75" s="2683"/>
      <c r="AX75" s="2683"/>
      <c r="AY75" s="2683"/>
      <c r="AZ75" s="2683"/>
      <c r="BA75" s="2683"/>
      <c r="BB75" s="2683"/>
      <c r="BC75" s="281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5"/>
      <c r="AD76" s="2683"/>
      <c r="AE76" s="2683"/>
      <c r="AF76" s="2683"/>
      <c r="AG76" s="2683"/>
      <c r="AH76" s="2683"/>
      <c r="AI76" s="2683"/>
      <c r="AJ76" s="2683"/>
      <c r="AK76" s="2683"/>
      <c r="AL76" s="2683"/>
      <c r="AM76" s="2683"/>
      <c r="AN76" s="2683"/>
      <c r="AO76" s="2683"/>
      <c r="AP76" s="2683"/>
      <c r="AQ76" s="2683"/>
      <c r="AR76" s="2683"/>
      <c r="AS76" s="2683"/>
      <c r="AT76" s="2683"/>
      <c r="AU76" s="2683"/>
      <c r="AV76" s="2683"/>
      <c r="AW76" s="2683"/>
      <c r="AX76" s="2683"/>
      <c r="AY76" s="2683"/>
      <c r="AZ76" s="2683"/>
      <c r="BA76" s="2683"/>
      <c r="BB76" s="2683"/>
      <c r="BC76" s="2811"/>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12"/>
      <c r="AD77" s="2796"/>
      <c r="AE77" s="2796"/>
      <c r="AF77" s="2796"/>
      <c r="AG77" s="2796"/>
      <c r="AH77" s="2796"/>
      <c r="AI77" s="2796"/>
      <c r="AJ77" s="2796"/>
      <c r="AK77" s="2796"/>
      <c r="AL77" s="2796"/>
      <c r="AM77" s="2796"/>
      <c r="AN77" s="2796"/>
      <c r="AO77" s="2796"/>
      <c r="AP77" s="2796"/>
      <c r="AQ77" s="2796"/>
      <c r="AR77" s="2796"/>
      <c r="AS77" s="2796"/>
      <c r="AT77" s="2796"/>
      <c r="AU77" s="2796"/>
      <c r="AV77" s="2796"/>
      <c r="AW77" s="2796"/>
      <c r="AX77" s="2796"/>
      <c r="AY77" s="2796"/>
      <c r="AZ77" s="2796"/>
      <c r="BA77" s="2796"/>
      <c r="BB77" s="2796"/>
      <c r="BC77" s="279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5" t="s">
        <v>2090</v>
      </c>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803"/>
      <c r="AC79" s="2803"/>
      <c r="AD79" s="2803"/>
      <c r="AE79" s="2803"/>
      <c r="AF79" s="2803"/>
      <c r="AG79" s="280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5"/>
      <c r="C80" s="2696"/>
      <c r="D80" s="2696"/>
      <c r="E80" s="2696"/>
      <c r="F80" s="2696"/>
      <c r="G80" s="2696"/>
      <c r="H80" s="2697"/>
      <c r="I80" s="2785" t="s">
        <v>2091</v>
      </c>
      <c r="J80" s="2786"/>
      <c r="K80" s="2786"/>
      <c r="L80" s="2786"/>
      <c r="M80" s="2786"/>
      <c r="N80" s="2787"/>
      <c r="O80" s="2785" t="s">
        <v>2092</v>
      </c>
      <c r="P80" s="2786"/>
      <c r="Q80" s="2786"/>
      <c r="R80" s="2786"/>
      <c r="S80" s="2786"/>
      <c r="T80" s="2786"/>
      <c r="U80" s="2787"/>
      <c r="V80" s="2785" t="s">
        <v>2093</v>
      </c>
      <c r="W80" s="2786"/>
      <c r="X80" s="2786"/>
      <c r="Y80" s="2786"/>
      <c r="Z80" s="2786"/>
      <c r="AA80" s="2787"/>
      <c r="AB80" s="2785" t="s">
        <v>2094</v>
      </c>
      <c r="AC80" s="2786"/>
      <c r="AD80" s="2786"/>
      <c r="AE80" s="2786"/>
      <c r="AF80" s="2786"/>
      <c r="AG80" s="278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5" t="s">
        <v>2095</v>
      </c>
      <c r="C81" s="2786"/>
      <c r="D81" s="2786"/>
      <c r="E81" s="2786"/>
      <c r="F81" s="2786"/>
      <c r="G81" s="2786"/>
      <c r="H81" s="2787"/>
      <c r="I81" s="2788"/>
      <c r="J81" s="2789"/>
      <c r="K81" s="2789"/>
      <c r="L81" s="2789"/>
      <c r="M81" s="2789"/>
      <c r="N81" s="2789"/>
      <c r="O81" s="2789"/>
      <c r="P81" s="2789"/>
      <c r="Q81" s="2789"/>
      <c r="R81" s="2789"/>
      <c r="S81" s="2789"/>
      <c r="T81" s="2789"/>
      <c r="U81" s="2789"/>
      <c r="V81" s="2789"/>
      <c r="W81" s="2789"/>
      <c r="X81" s="2789"/>
      <c r="Y81" s="2789"/>
      <c r="Z81" s="2789"/>
      <c r="AA81" s="2790"/>
      <c r="AB81" s="2789"/>
      <c r="AC81" s="2789"/>
      <c r="AD81" s="2789"/>
      <c r="AE81" s="2789"/>
      <c r="AF81" s="2789"/>
      <c r="AG81" s="279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5" t="s">
        <v>2096</v>
      </c>
      <c r="C82" s="2786"/>
      <c r="D82" s="2786"/>
      <c r="E82" s="2786"/>
      <c r="F82" s="2786"/>
      <c r="G82" s="2786"/>
      <c r="H82" s="2787"/>
      <c r="I82" s="2793"/>
      <c r="J82" s="2794"/>
      <c r="K82" s="2794"/>
      <c r="L82" s="2794"/>
      <c r="M82" s="2794"/>
      <c r="N82" s="2794"/>
      <c r="O82" s="2794"/>
      <c r="P82" s="2794"/>
      <c r="Q82" s="2794"/>
      <c r="R82" s="2794"/>
      <c r="S82" s="2794"/>
      <c r="T82" s="2794"/>
      <c r="U82" s="2794"/>
      <c r="V82" s="2794"/>
      <c r="W82" s="2794"/>
      <c r="X82" s="2794"/>
      <c r="Y82" s="2794"/>
      <c r="Z82" s="2794"/>
      <c r="AA82" s="2795"/>
      <c r="AB82" s="2794"/>
      <c r="AC82" s="2794"/>
      <c r="AD82" s="2794"/>
      <c r="AE82" s="2794"/>
      <c r="AF82" s="2794"/>
      <c r="AG82" s="279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1" t="s">
        <v>2098</v>
      </c>
      <c r="C86" s="2702"/>
      <c r="D86" s="2702"/>
      <c r="E86" s="2702"/>
      <c r="F86" s="2702"/>
      <c r="G86" s="2702"/>
      <c r="H86" s="2702"/>
      <c r="I86" s="2702"/>
      <c r="J86" s="2702"/>
      <c r="K86" s="2702"/>
      <c r="L86" s="2702"/>
      <c r="M86" s="2702"/>
      <c r="N86" s="2702"/>
      <c r="O86" s="2702"/>
      <c r="P86" s="2702"/>
      <c r="Q86" s="2702"/>
      <c r="R86" s="2702"/>
      <c r="S86" s="2702"/>
      <c r="T86" s="2702"/>
      <c r="U86" s="2702"/>
      <c r="V86" s="2702"/>
      <c r="W86" s="2702"/>
      <c r="X86" s="2702"/>
      <c r="Y86" s="2702"/>
      <c r="Z86" s="2702"/>
      <c r="AA86" s="2702"/>
      <c r="AB86" s="2702"/>
      <c r="AC86" s="2702"/>
      <c r="AD86" s="2702"/>
      <c r="AE86" s="2702"/>
      <c r="AF86" s="2702"/>
      <c r="AG86" s="2702"/>
      <c r="AH86" s="270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5"/>
      <c r="C87" s="2696"/>
      <c r="D87" s="2696"/>
      <c r="E87" s="2696"/>
      <c r="F87" s="2696"/>
      <c r="G87" s="2696"/>
      <c r="H87" s="2697"/>
      <c r="I87" s="2785" t="s">
        <v>2091</v>
      </c>
      <c r="J87" s="2786"/>
      <c r="K87" s="2786"/>
      <c r="L87" s="2786"/>
      <c r="M87" s="2786"/>
      <c r="N87" s="2787"/>
      <c r="O87" s="2785" t="s">
        <v>2092</v>
      </c>
      <c r="P87" s="2786"/>
      <c r="Q87" s="2786"/>
      <c r="R87" s="2786"/>
      <c r="S87" s="2786"/>
      <c r="T87" s="2786"/>
      <c r="U87" s="2787"/>
      <c r="V87" s="2785" t="s">
        <v>2093</v>
      </c>
      <c r="W87" s="2786"/>
      <c r="X87" s="2786"/>
      <c r="Y87" s="2786"/>
      <c r="Z87" s="2786"/>
      <c r="AA87" s="2787"/>
      <c r="AB87" s="2798" t="s">
        <v>2094</v>
      </c>
      <c r="AC87" s="2799"/>
      <c r="AD87" s="2799"/>
      <c r="AE87" s="2799"/>
      <c r="AF87" s="2799"/>
      <c r="AG87" s="2799"/>
      <c r="AH87" s="280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5" t="s">
        <v>2095</v>
      </c>
      <c r="C88" s="2786"/>
      <c r="D88" s="2786"/>
      <c r="E88" s="2786"/>
      <c r="F88" s="2786"/>
      <c r="G88" s="2786"/>
      <c r="H88" s="2787"/>
      <c r="I88" s="2788"/>
      <c r="J88" s="2789"/>
      <c r="K88" s="2789"/>
      <c r="L88" s="2789"/>
      <c r="M88" s="2789"/>
      <c r="N88" s="2789"/>
      <c r="O88" s="2789"/>
      <c r="P88" s="2789"/>
      <c r="Q88" s="2789"/>
      <c r="R88" s="2789"/>
      <c r="S88" s="2789"/>
      <c r="T88" s="2789"/>
      <c r="U88" s="2789"/>
      <c r="V88" s="2789"/>
      <c r="W88" s="2789"/>
      <c r="X88" s="2789"/>
      <c r="Y88" s="2789"/>
      <c r="Z88" s="2789"/>
      <c r="AA88" s="2801"/>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5" t="s">
        <v>2096</v>
      </c>
      <c r="C89" s="2786"/>
      <c r="D89" s="2786"/>
      <c r="E89" s="2786"/>
      <c r="F89" s="2786"/>
      <c r="G89" s="2786"/>
      <c r="H89" s="2787"/>
      <c r="I89" s="2793"/>
      <c r="J89" s="2794"/>
      <c r="K89" s="2794"/>
      <c r="L89" s="2794"/>
      <c r="M89" s="2794"/>
      <c r="N89" s="2794"/>
      <c r="O89" s="2794"/>
      <c r="P89" s="2794"/>
      <c r="Q89" s="2794"/>
      <c r="R89" s="2794"/>
      <c r="S89" s="2794"/>
      <c r="T89" s="2794"/>
      <c r="U89" s="2794"/>
      <c r="V89" s="2794"/>
      <c r="W89" s="2794"/>
      <c r="X89" s="2794"/>
      <c r="Y89" s="2794"/>
      <c r="Z89" s="2794"/>
      <c r="AA89" s="2802"/>
      <c r="AB89" s="2796"/>
      <c r="AC89" s="2796"/>
      <c r="AD89" s="2796"/>
      <c r="AE89" s="2796"/>
      <c r="AF89" s="2796"/>
      <c r="AG89" s="2796"/>
      <c r="AH89" s="279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5" t="s">
        <v>2100</v>
      </c>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5"/>
      <c r="C94" s="2696"/>
      <c r="D94" s="2696"/>
      <c r="E94" s="2696"/>
      <c r="F94" s="2696"/>
      <c r="G94" s="2696"/>
      <c r="H94" s="2697"/>
      <c r="I94" s="2785" t="s">
        <v>2091</v>
      </c>
      <c r="J94" s="2786"/>
      <c r="K94" s="2786"/>
      <c r="L94" s="2786"/>
      <c r="M94" s="2786"/>
      <c r="N94" s="2787"/>
      <c r="O94" s="2785" t="s">
        <v>2092</v>
      </c>
      <c r="P94" s="2786"/>
      <c r="Q94" s="2786"/>
      <c r="R94" s="2786"/>
      <c r="S94" s="2786"/>
      <c r="T94" s="2786"/>
      <c r="U94" s="2787"/>
      <c r="V94" s="2785" t="s">
        <v>2093</v>
      </c>
      <c r="W94" s="2786"/>
      <c r="X94" s="2786"/>
      <c r="Y94" s="2786"/>
      <c r="Z94" s="2786"/>
      <c r="AA94" s="2787"/>
      <c r="AB94" s="2798" t="s">
        <v>2094</v>
      </c>
      <c r="AC94" s="2799"/>
      <c r="AD94" s="2799"/>
      <c r="AE94" s="2799"/>
      <c r="AF94" s="2799"/>
      <c r="AG94" s="2799"/>
      <c r="AH94" s="280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5" t="s">
        <v>2095</v>
      </c>
      <c r="C95" s="2786"/>
      <c r="D95" s="2786"/>
      <c r="E95" s="2786"/>
      <c r="F95" s="2786"/>
      <c r="G95" s="2786"/>
      <c r="H95" s="2787"/>
      <c r="I95" s="2788"/>
      <c r="J95" s="2789"/>
      <c r="K95" s="2789"/>
      <c r="L95" s="2789"/>
      <c r="M95" s="2789"/>
      <c r="N95" s="2789"/>
      <c r="O95" s="2789"/>
      <c r="P95" s="2789"/>
      <c r="Q95" s="2789"/>
      <c r="R95" s="2789"/>
      <c r="S95" s="2789"/>
      <c r="T95" s="2789"/>
      <c r="U95" s="2789"/>
      <c r="V95" s="2789"/>
      <c r="W95" s="2789"/>
      <c r="X95" s="2789"/>
      <c r="Y95" s="2789"/>
      <c r="Z95" s="2789"/>
      <c r="AA95" s="279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5" t="s">
        <v>2096</v>
      </c>
      <c r="C96" s="2786"/>
      <c r="D96" s="2786"/>
      <c r="E96" s="2786"/>
      <c r="F96" s="2786"/>
      <c r="G96" s="2786"/>
      <c r="H96" s="2787"/>
      <c r="I96" s="2793"/>
      <c r="J96" s="2794"/>
      <c r="K96" s="2794"/>
      <c r="L96" s="2794"/>
      <c r="M96" s="2794"/>
      <c r="N96" s="2794"/>
      <c r="O96" s="2794"/>
      <c r="P96" s="2794"/>
      <c r="Q96" s="2794"/>
      <c r="R96" s="2794"/>
      <c r="S96" s="2794"/>
      <c r="T96" s="2794"/>
      <c r="U96" s="2794"/>
      <c r="V96" s="2794"/>
      <c r="W96" s="2794"/>
      <c r="X96" s="2794"/>
      <c r="Y96" s="2794"/>
      <c r="Z96" s="2794"/>
      <c r="AA96" s="2795"/>
      <c r="AB96" s="2796"/>
      <c r="AC96" s="2796"/>
      <c r="AD96" s="2796"/>
      <c r="AE96" s="2796"/>
      <c r="AF96" s="2796"/>
      <c r="AG96" s="2796"/>
      <c r="AH96" s="279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64" t="s">
        <v>2102</v>
      </c>
      <c r="C100" s="2765"/>
      <c r="D100" s="2765"/>
      <c r="E100" s="2765"/>
      <c r="F100" s="2765"/>
      <c r="G100" s="2765"/>
      <c r="H100" s="2765"/>
      <c r="I100" s="2765"/>
      <c r="J100" s="2765"/>
      <c r="K100" s="2765"/>
      <c r="L100" s="2765"/>
      <c r="M100" s="2765"/>
      <c r="N100" s="2765"/>
      <c r="O100" s="2765"/>
      <c r="P100" s="2765"/>
      <c r="Q100" s="2765"/>
      <c r="R100" s="2765"/>
      <c r="S100" s="2765"/>
      <c r="T100" s="2765"/>
      <c r="U100" s="276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7"/>
      <c r="C101" s="2768"/>
      <c r="D101" s="2768"/>
      <c r="E101" s="2768"/>
      <c r="F101" s="2768"/>
      <c r="G101" s="2768"/>
      <c r="H101" s="2769"/>
      <c r="I101" s="2770" t="s">
        <v>2092</v>
      </c>
      <c r="J101" s="2669"/>
      <c r="K101" s="2669"/>
      <c r="L101" s="2669"/>
      <c r="M101" s="2669"/>
      <c r="N101" s="2669"/>
      <c r="O101" s="2771"/>
      <c r="P101" s="2770" t="s">
        <v>2103</v>
      </c>
      <c r="Q101" s="2669"/>
      <c r="R101" s="2669"/>
      <c r="S101" s="2669"/>
      <c r="T101" s="2669"/>
      <c r="U101" s="277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72" t="s">
        <v>2095</v>
      </c>
      <c r="C102" s="2773"/>
      <c r="D102" s="2773"/>
      <c r="E102" s="2773"/>
      <c r="F102" s="2773"/>
      <c r="G102" s="2773"/>
      <c r="H102" s="2773"/>
      <c r="I102" s="2741"/>
      <c r="J102" s="2742"/>
      <c r="K102" s="2742"/>
      <c r="L102" s="2742"/>
      <c r="M102" s="2742"/>
      <c r="N102" s="2742"/>
      <c r="O102" s="2743"/>
      <c r="P102" s="2741"/>
      <c r="Q102" s="2742"/>
      <c r="R102" s="2742"/>
      <c r="S102" s="2742"/>
      <c r="T102" s="2742"/>
      <c r="U102" s="274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12" t="s">
        <v>2096</v>
      </c>
      <c r="C103" s="2613"/>
      <c r="D103" s="2613"/>
      <c r="E103" s="2613"/>
      <c r="F103" s="2613"/>
      <c r="G103" s="2613"/>
      <c r="H103" s="2613"/>
      <c r="I103" s="2741"/>
      <c r="J103" s="2742"/>
      <c r="K103" s="2742"/>
      <c r="L103" s="2742"/>
      <c r="M103" s="2742"/>
      <c r="N103" s="2742"/>
      <c r="O103" s="2743"/>
      <c r="P103" s="2741"/>
      <c r="Q103" s="2742"/>
      <c r="R103" s="2742"/>
      <c r="S103" s="2742"/>
      <c r="T103" s="2742"/>
      <c r="U103" s="274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74" t="s">
        <v>2104</v>
      </c>
      <c r="C105" s="2775"/>
      <c r="D105" s="2775"/>
      <c r="E105" s="2775"/>
      <c r="F105" s="2775"/>
      <c r="G105" s="2775"/>
      <c r="H105" s="2775"/>
      <c r="I105" s="2775"/>
      <c r="J105" s="2775"/>
      <c r="K105" s="2775"/>
      <c r="L105" s="2775"/>
      <c r="M105" s="2775"/>
      <c r="N105" s="2775"/>
      <c r="O105" s="2775"/>
      <c r="P105" s="2775"/>
      <c r="Q105" s="2775"/>
      <c r="R105" s="2776"/>
      <c r="S105" s="2776"/>
      <c r="T105" s="2776"/>
      <c r="U105" s="2776"/>
      <c r="V105" s="2776"/>
      <c r="W105" s="2776"/>
      <c r="X105" s="2776"/>
      <c r="Y105" s="2776"/>
      <c r="Z105" s="2776"/>
      <c r="AA105" s="2776"/>
      <c r="AB105" s="2776"/>
      <c r="AC105" s="2776"/>
      <c r="AD105" s="2776"/>
      <c r="AE105" s="2776"/>
      <c r="AF105" s="2776"/>
      <c r="AG105" s="2777" t="s">
        <v>2038</v>
      </c>
      <c r="AH105" s="2777"/>
      <c r="AI105" s="2777"/>
      <c r="AJ105" s="277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9" t="s">
        <v>2105</v>
      </c>
      <c r="C106" s="2780"/>
      <c r="D106" s="2780"/>
      <c r="E106" s="2780"/>
      <c r="F106" s="2780"/>
      <c r="G106" s="2780"/>
      <c r="H106" s="2780"/>
      <c r="I106" s="2780"/>
      <c r="J106" s="2780"/>
      <c r="K106" s="2780"/>
      <c r="L106" s="2780"/>
      <c r="M106" s="2780"/>
      <c r="N106" s="2780"/>
      <c r="O106" s="2780"/>
      <c r="P106" s="2780"/>
      <c r="Q106" s="2781"/>
      <c r="R106" s="2782" t="s">
        <v>2106</v>
      </c>
      <c r="S106" s="2783"/>
      <c r="T106" s="2783"/>
      <c r="U106" s="2783"/>
      <c r="V106" s="2783"/>
      <c r="W106" s="2783"/>
      <c r="X106" s="2783"/>
      <c r="Y106" s="2783"/>
      <c r="Z106" s="2783"/>
      <c r="AA106" s="2783"/>
      <c r="AB106" s="2783"/>
      <c r="AC106" s="2783"/>
      <c r="AD106" s="2783"/>
      <c r="AE106" s="2783"/>
      <c r="AF106" s="2783"/>
      <c r="AG106" s="2783"/>
      <c r="AH106" s="2783"/>
      <c r="AI106" s="2783"/>
      <c r="AJ106" s="2783"/>
      <c r="AK106" s="2783"/>
      <c r="AL106" s="2783"/>
      <c r="AM106" s="2783"/>
      <c r="AN106" s="2783"/>
      <c r="AO106" s="2783"/>
      <c r="AP106" s="2783"/>
      <c r="AQ106" s="2783"/>
      <c r="AR106" s="2783"/>
      <c r="AS106" s="2783"/>
      <c r="AT106" s="2783"/>
      <c r="AU106" s="2783"/>
      <c r="AV106" s="2783"/>
      <c r="AW106" s="2783"/>
      <c r="AX106" s="2784"/>
      <c r="AY106" s="1529"/>
      <c r="AZ106" s="1529"/>
      <c r="BA106" s="1529"/>
      <c r="BB106" s="1529"/>
      <c r="BC106" s="1529"/>
      <c r="BD106" s="1529"/>
      <c r="BE106" s="1535"/>
    </row>
    <row r="107" spans="1:57" ht="15.75" customHeight="1">
      <c r="A107" s="1818"/>
      <c r="B107" s="2755" t="s">
        <v>2107</v>
      </c>
      <c r="C107" s="2756"/>
      <c r="D107" s="2756"/>
      <c r="E107" s="2756"/>
      <c r="F107" s="2756"/>
      <c r="G107" s="2756"/>
      <c r="H107" s="2756"/>
      <c r="I107" s="2756"/>
      <c r="J107" s="2756"/>
      <c r="K107" s="2756"/>
      <c r="L107" s="2756"/>
      <c r="M107" s="2756"/>
      <c r="N107" s="2756"/>
      <c r="O107" s="2756"/>
      <c r="P107" s="2756"/>
      <c r="Q107" s="2756"/>
      <c r="R107" s="2756"/>
      <c r="S107" s="2756"/>
      <c r="T107" s="2756"/>
      <c r="U107" s="2756"/>
      <c r="V107" s="2756"/>
      <c r="W107" s="2756"/>
      <c r="X107" s="2756"/>
      <c r="Y107" s="2756"/>
      <c r="Z107" s="2756"/>
      <c r="AA107" s="2756"/>
      <c r="AB107" s="2756"/>
      <c r="AC107" s="2756"/>
      <c r="AD107" s="2756"/>
      <c r="AE107" s="2756"/>
      <c r="AF107" s="2756"/>
      <c r="AG107" s="2756"/>
      <c r="AH107" s="2756"/>
      <c r="AI107" s="2756"/>
      <c r="AJ107" s="2756"/>
      <c r="AK107" s="2756"/>
      <c r="AL107" s="2756"/>
      <c r="AM107" s="2756"/>
      <c r="AN107" s="2756"/>
      <c r="AO107" s="2756"/>
      <c r="AP107" s="2756"/>
      <c r="AQ107" s="2756"/>
      <c r="AR107" s="2756"/>
      <c r="AS107" s="2756"/>
      <c r="AT107" s="2756"/>
      <c r="AU107" s="2756"/>
      <c r="AV107" s="2756"/>
      <c r="AW107" s="2756"/>
      <c r="AX107" s="2757"/>
      <c r="AY107" s="1529"/>
      <c r="AZ107" s="1529"/>
      <c r="BA107" s="1529"/>
      <c r="BB107" s="1529"/>
      <c r="BC107" s="1529"/>
      <c r="BD107" s="1529"/>
      <c r="BE107" s="1535"/>
    </row>
    <row r="108" spans="1:57" ht="15.75" customHeight="1">
      <c r="A108" s="1818"/>
      <c r="B108" s="2758"/>
      <c r="C108" s="2759"/>
      <c r="D108" s="2759"/>
      <c r="E108" s="2759"/>
      <c r="F108" s="2759"/>
      <c r="G108" s="2759"/>
      <c r="H108" s="2759"/>
      <c r="I108" s="2759"/>
      <c r="J108" s="2759"/>
      <c r="K108" s="2759"/>
      <c r="L108" s="2759"/>
      <c r="M108" s="2759"/>
      <c r="N108" s="2759"/>
      <c r="O108" s="2759"/>
      <c r="P108" s="2759"/>
      <c r="Q108" s="2759"/>
      <c r="R108" s="2759"/>
      <c r="S108" s="2759"/>
      <c r="T108" s="2759"/>
      <c r="U108" s="2759"/>
      <c r="V108" s="2759"/>
      <c r="W108" s="2759"/>
      <c r="X108" s="2759"/>
      <c r="Y108" s="2759"/>
      <c r="Z108" s="2759"/>
      <c r="AA108" s="2759"/>
      <c r="AB108" s="2759"/>
      <c r="AC108" s="2759"/>
      <c r="AD108" s="2759"/>
      <c r="AE108" s="2759"/>
      <c r="AF108" s="2759"/>
      <c r="AG108" s="2759"/>
      <c r="AH108" s="2759"/>
      <c r="AI108" s="2759"/>
      <c r="AJ108" s="2759"/>
      <c r="AK108" s="2759"/>
      <c r="AL108" s="2759"/>
      <c r="AM108" s="2759"/>
      <c r="AN108" s="2759"/>
      <c r="AO108" s="2759"/>
      <c r="AP108" s="2759"/>
      <c r="AQ108" s="2759"/>
      <c r="AR108" s="2759"/>
      <c r="AS108" s="2759"/>
      <c r="AT108" s="2759"/>
      <c r="AU108" s="2759"/>
      <c r="AV108" s="2759"/>
      <c r="AW108" s="2759"/>
      <c r="AX108" s="2760"/>
      <c r="AY108" s="1529"/>
      <c r="AZ108" s="1529"/>
      <c r="BA108" s="1529"/>
      <c r="BB108" s="1529"/>
      <c r="BC108" s="1529"/>
      <c r="BD108" s="1529"/>
      <c r="BE108" s="1535"/>
    </row>
    <row r="109" spans="1:57" ht="15.75" customHeight="1">
      <c r="A109" s="1818"/>
      <c r="B109" s="2758"/>
      <c r="C109" s="2759"/>
      <c r="D109" s="2759"/>
      <c r="E109" s="2759"/>
      <c r="F109" s="2759"/>
      <c r="G109" s="2759"/>
      <c r="H109" s="2759"/>
      <c r="I109" s="2759"/>
      <c r="J109" s="2759"/>
      <c r="K109" s="2759"/>
      <c r="L109" s="2759"/>
      <c r="M109" s="2759"/>
      <c r="N109" s="2759"/>
      <c r="O109" s="2759"/>
      <c r="P109" s="2759"/>
      <c r="Q109" s="2759"/>
      <c r="R109" s="2759"/>
      <c r="S109" s="2759"/>
      <c r="T109" s="2759"/>
      <c r="U109" s="2759"/>
      <c r="V109" s="2759"/>
      <c r="W109" s="2759"/>
      <c r="X109" s="2759"/>
      <c r="Y109" s="2759"/>
      <c r="Z109" s="2759"/>
      <c r="AA109" s="2759"/>
      <c r="AB109" s="2759"/>
      <c r="AC109" s="2759"/>
      <c r="AD109" s="2759"/>
      <c r="AE109" s="2759"/>
      <c r="AF109" s="2759"/>
      <c r="AG109" s="2759"/>
      <c r="AH109" s="2759"/>
      <c r="AI109" s="2759"/>
      <c r="AJ109" s="2759"/>
      <c r="AK109" s="2759"/>
      <c r="AL109" s="2759"/>
      <c r="AM109" s="2759"/>
      <c r="AN109" s="2759"/>
      <c r="AO109" s="2759"/>
      <c r="AP109" s="2759"/>
      <c r="AQ109" s="2759"/>
      <c r="AR109" s="2759"/>
      <c r="AS109" s="2759"/>
      <c r="AT109" s="2759"/>
      <c r="AU109" s="2759"/>
      <c r="AV109" s="2759"/>
      <c r="AW109" s="2759"/>
      <c r="AX109" s="2760"/>
      <c r="AY109" s="1529"/>
      <c r="AZ109" s="1529"/>
      <c r="BA109" s="1529"/>
      <c r="BB109" s="1529"/>
      <c r="BC109" s="1529"/>
      <c r="BD109" s="1529"/>
      <c r="BE109" s="1535"/>
    </row>
    <row r="110" spans="1:57" ht="15.75" customHeight="1">
      <c r="A110" s="1818"/>
      <c r="B110" s="2758"/>
      <c r="C110" s="2759"/>
      <c r="D110" s="2759"/>
      <c r="E110" s="2759"/>
      <c r="F110" s="2759"/>
      <c r="G110" s="2759"/>
      <c r="H110" s="2759"/>
      <c r="I110" s="2759"/>
      <c r="J110" s="2759"/>
      <c r="K110" s="2759"/>
      <c r="L110" s="2759"/>
      <c r="M110" s="2759"/>
      <c r="N110" s="2759"/>
      <c r="O110" s="2759"/>
      <c r="P110" s="2759"/>
      <c r="Q110" s="2759"/>
      <c r="R110" s="2759"/>
      <c r="S110" s="2759"/>
      <c r="T110" s="2759"/>
      <c r="U110" s="2759"/>
      <c r="V110" s="2759"/>
      <c r="W110" s="2759"/>
      <c r="X110" s="2759"/>
      <c r="Y110" s="2759"/>
      <c r="Z110" s="2759"/>
      <c r="AA110" s="2759"/>
      <c r="AB110" s="2759"/>
      <c r="AC110" s="2759"/>
      <c r="AD110" s="2759"/>
      <c r="AE110" s="2759"/>
      <c r="AF110" s="2759"/>
      <c r="AG110" s="2759"/>
      <c r="AH110" s="2759"/>
      <c r="AI110" s="2759"/>
      <c r="AJ110" s="2759"/>
      <c r="AK110" s="2759"/>
      <c r="AL110" s="2759"/>
      <c r="AM110" s="2759"/>
      <c r="AN110" s="2759"/>
      <c r="AO110" s="2759"/>
      <c r="AP110" s="2759"/>
      <c r="AQ110" s="2759"/>
      <c r="AR110" s="2759"/>
      <c r="AS110" s="2759"/>
      <c r="AT110" s="2759"/>
      <c r="AU110" s="2759"/>
      <c r="AV110" s="2759"/>
      <c r="AW110" s="2759"/>
      <c r="AX110" s="2760"/>
      <c r="AY110" s="1529"/>
      <c r="AZ110" s="1529"/>
      <c r="BA110" s="1529"/>
      <c r="BB110" s="1529"/>
      <c r="BC110" s="1529"/>
      <c r="BD110" s="1529"/>
      <c r="BE110" s="1535"/>
    </row>
    <row r="111" spans="1:57" ht="15.75" customHeight="1">
      <c r="A111" s="1818"/>
      <c r="B111" s="2758"/>
      <c r="C111" s="2759"/>
      <c r="D111" s="2759"/>
      <c r="E111" s="2759"/>
      <c r="F111" s="2759"/>
      <c r="G111" s="2759"/>
      <c r="H111" s="2759"/>
      <c r="I111" s="2759"/>
      <c r="J111" s="2759"/>
      <c r="K111" s="2759"/>
      <c r="L111" s="2759"/>
      <c r="M111" s="2759"/>
      <c r="N111" s="2759"/>
      <c r="O111" s="2759"/>
      <c r="P111" s="2759"/>
      <c r="Q111" s="2759"/>
      <c r="R111" s="2759"/>
      <c r="S111" s="2759"/>
      <c r="T111" s="2759"/>
      <c r="U111" s="2759"/>
      <c r="V111" s="2759"/>
      <c r="W111" s="2759"/>
      <c r="X111" s="2759"/>
      <c r="Y111" s="2759"/>
      <c r="Z111" s="2759"/>
      <c r="AA111" s="2759"/>
      <c r="AB111" s="2759"/>
      <c r="AC111" s="2759"/>
      <c r="AD111" s="2759"/>
      <c r="AE111" s="2759"/>
      <c r="AF111" s="2759"/>
      <c r="AG111" s="2759"/>
      <c r="AH111" s="2759"/>
      <c r="AI111" s="2759"/>
      <c r="AJ111" s="2759"/>
      <c r="AK111" s="2759"/>
      <c r="AL111" s="2759"/>
      <c r="AM111" s="2759"/>
      <c r="AN111" s="2759"/>
      <c r="AO111" s="2759"/>
      <c r="AP111" s="2759"/>
      <c r="AQ111" s="2759"/>
      <c r="AR111" s="2759"/>
      <c r="AS111" s="2759"/>
      <c r="AT111" s="2759"/>
      <c r="AU111" s="2759"/>
      <c r="AV111" s="2759"/>
      <c r="AW111" s="2759"/>
      <c r="AX111" s="2760"/>
      <c r="AY111" s="1529"/>
      <c r="AZ111" s="1529"/>
      <c r="BA111" s="1529"/>
      <c r="BB111" s="1529"/>
      <c r="BC111" s="1529"/>
      <c r="BD111" s="1529"/>
      <c r="BE111" s="1535"/>
    </row>
    <row r="112" spans="1:57" ht="15.75" customHeight="1">
      <c r="A112" s="1818"/>
      <c r="B112" s="2758"/>
      <c r="C112" s="2759"/>
      <c r="D112" s="2759"/>
      <c r="E112" s="2759"/>
      <c r="F112" s="2759"/>
      <c r="G112" s="2759"/>
      <c r="H112" s="2759"/>
      <c r="I112" s="2759"/>
      <c r="J112" s="2759"/>
      <c r="K112" s="2759"/>
      <c r="L112" s="2759"/>
      <c r="M112" s="2759"/>
      <c r="N112" s="2759"/>
      <c r="O112" s="2759"/>
      <c r="P112" s="2759"/>
      <c r="Q112" s="2759"/>
      <c r="R112" s="2759"/>
      <c r="S112" s="2759"/>
      <c r="T112" s="2759"/>
      <c r="U112" s="2759"/>
      <c r="V112" s="2759"/>
      <c r="W112" s="2759"/>
      <c r="X112" s="2759"/>
      <c r="Y112" s="2759"/>
      <c r="Z112" s="2759"/>
      <c r="AA112" s="2759"/>
      <c r="AB112" s="2759"/>
      <c r="AC112" s="2759"/>
      <c r="AD112" s="2759"/>
      <c r="AE112" s="2759"/>
      <c r="AF112" s="2759"/>
      <c r="AG112" s="2759"/>
      <c r="AH112" s="2759"/>
      <c r="AI112" s="2759"/>
      <c r="AJ112" s="2759"/>
      <c r="AK112" s="2759"/>
      <c r="AL112" s="2759"/>
      <c r="AM112" s="2759"/>
      <c r="AN112" s="2759"/>
      <c r="AO112" s="2759"/>
      <c r="AP112" s="2759"/>
      <c r="AQ112" s="2759"/>
      <c r="AR112" s="2759"/>
      <c r="AS112" s="2759"/>
      <c r="AT112" s="2759"/>
      <c r="AU112" s="2759"/>
      <c r="AV112" s="2759"/>
      <c r="AW112" s="2759"/>
      <c r="AX112" s="2760"/>
      <c r="AY112" s="1529"/>
      <c r="AZ112" s="1529"/>
      <c r="BA112" s="1529"/>
      <c r="BB112" s="1529"/>
      <c r="BC112" s="1529"/>
      <c r="BD112" s="1529"/>
      <c r="BE112" s="1535"/>
    </row>
    <row r="113" spans="1:57" ht="15.75" customHeight="1">
      <c r="A113" s="1818"/>
      <c r="B113" s="2758"/>
      <c r="C113" s="2759"/>
      <c r="D113" s="2759"/>
      <c r="E113" s="2759"/>
      <c r="F113" s="2759"/>
      <c r="G113" s="2759"/>
      <c r="H113" s="2759"/>
      <c r="I113" s="2759"/>
      <c r="J113" s="2759"/>
      <c r="K113" s="2759"/>
      <c r="L113" s="2759"/>
      <c r="M113" s="2759"/>
      <c r="N113" s="2759"/>
      <c r="O113" s="2759"/>
      <c r="P113" s="2759"/>
      <c r="Q113" s="2759"/>
      <c r="R113" s="2759"/>
      <c r="S113" s="2759"/>
      <c r="T113" s="2759"/>
      <c r="U113" s="2759"/>
      <c r="V113" s="2759"/>
      <c r="W113" s="2759"/>
      <c r="X113" s="2759"/>
      <c r="Y113" s="2759"/>
      <c r="Z113" s="2759"/>
      <c r="AA113" s="2759"/>
      <c r="AB113" s="2759"/>
      <c r="AC113" s="2759"/>
      <c r="AD113" s="2759"/>
      <c r="AE113" s="2759"/>
      <c r="AF113" s="2759"/>
      <c r="AG113" s="2759"/>
      <c r="AH113" s="2759"/>
      <c r="AI113" s="2759"/>
      <c r="AJ113" s="2759"/>
      <c r="AK113" s="2759"/>
      <c r="AL113" s="2759"/>
      <c r="AM113" s="2759"/>
      <c r="AN113" s="2759"/>
      <c r="AO113" s="2759"/>
      <c r="AP113" s="2759"/>
      <c r="AQ113" s="2759"/>
      <c r="AR113" s="2759"/>
      <c r="AS113" s="2759"/>
      <c r="AT113" s="2759"/>
      <c r="AU113" s="2759"/>
      <c r="AV113" s="2759"/>
      <c r="AW113" s="2759"/>
      <c r="AX113" s="2760"/>
      <c r="AY113" s="1529"/>
      <c r="AZ113" s="1529"/>
      <c r="BA113" s="1529"/>
      <c r="BB113" s="1529"/>
      <c r="BC113" s="1529"/>
      <c r="BD113" s="1529"/>
      <c r="BE113" s="1535"/>
    </row>
    <row r="114" spans="1:57" ht="15.75" customHeight="1">
      <c r="A114" s="1818"/>
      <c r="B114" s="2758"/>
      <c r="C114" s="2759"/>
      <c r="D114" s="2759"/>
      <c r="E114" s="2759"/>
      <c r="F114" s="2759"/>
      <c r="G114" s="2759"/>
      <c r="H114" s="2759"/>
      <c r="I114" s="2759"/>
      <c r="J114" s="2759"/>
      <c r="K114" s="2759"/>
      <c r="L114" s="2759"/>
      <c r="M114" s="2759"/>
      <c r="N114" s="2759"/>
      <c r="O114" s="2759"/>
      <c r="P114" s="2759"/>
      <c r="Q114" s="2759"/>
      <c r="R114" s="2759"/>
      <c r="S114" s="2759"/>
      <c r="T114" s="2759"/>
      <c r="U114" s="2759"/>
      <c r="V114" s="2759"/>
      <c r="W114" s="2759"/>
      <c r="X114" s="2759"/>
      <c r="Y114" s="2759"/>
      <c r="Z114" s="2759"/>
      <c r="AA114" s="2759"/>
      <c r="AB114" s="2759"/>
      <c r="AC114" s="2759"/>
      <c r="AD114" s="2759"/>
      <c r="AE114" s="2759"/>
      <c r="AF114" s="2759"/>
      <c r="AG114" s="2759"/>
      <c r="AH114" s="2759"/>
      <c r="AI114" s="2759"/>
      <c r="AJ114" s="2759"/>
      <c r="AK114" s="2759"/>
      <c r="AL114" s="2759"/>
      <c r="AM114" s="2759"/>
      <c r="AN114" s="2759"/>
      <c r="AO114" s="2759"/>
      <c r="AP114" s="2759"/>
      <c r="AQ114" s="2759"/>
      <c r="AR114" s="2759"/>
      <c r="AS114" s="2759"/>
      <c r="AT114" s="2759"/>
      <c r="AU114" s="2759"/>
      <c r="AV114" s="2759"/>
      <c r="AW114" s="2759"/>
      <c r="AX114" s="2760"/>
      <c r="AY114" s="1529"/>
      <c r="AZ114" s="1529"/>
      <c r="BA114" s="1529"/>
      <c r="BB114" s="1529"/>
      <c r="BC114" s="1529"/>
      <c r="BD114" s="1529"/>
      <c r="BE114" s="1535"/>
    </row>
    <row r="115" spans="1:57" ht="15.75" customHeight="1">
      <c r="A115" s="1818"/>
      <c r="B115" s="2758"/>
      <c r="C115" s="2759"/>
      <c r="D115" s="2759"/>
      <c r="E115" s="2759"/>
      <c r="F115" s="2759"/>
      <c r="G115" s="2759"/>
      <c r="H115" s="2759"/>
      <c r="I115" s="2759"/>
      <c r="J115" s="2759"/>
      <c r="K115" s="2759"/>
      <c r="L115" s="2759"/>
      <c r="M115" s="2759"/>
      <c r="N115" s="2759"/>
      <c r="O115" s="2759"/>
      <c r="P115" s="2759"/>
      <c r="Q115" s="2759"/>
      <c r="R115" s="2759"/>
      <c r="S115" s="2759"/>
      <c r="T115" s="2759"/>
      <c r="U115" s="2759"/>
      <c r="V115" s="2759"/>
      <c r="W115" s="2759"/>
      <c r="X115" s="2759"/>
      <c r="Y115" s="2759"/>
      <c r="Z115" s="2759"/>
      <c r="AA115" s="2759"/>
      <c r="AB115" s="2759"/>
      <c r="AC115" s="2759"/>
      <c r="AD115" s="2759"/>
      <c r="AE115" s="2759"/>
      <c r="AF115" s="2759"/>
      <c r="AG115" s="2759"/>
      <c r="AH115" s="2759"/>
      <c r="AI115" s="2759"/>
      <c r="AJ115" s="2759"/>
      <c r="AK115" s="2759"/>
      <c r="AL115" s="2759"/>
      <c r="AM115" s="2759"/>
      <c r="AN115" s="2759"/>
      <c r="AO115" s="2759"/>
      <c r="AP115" s="2759"/>
      <c r="AQ115" s="2759"/>
      <c r="AR115" s="2759"/>
      <c r="AS115" s="2759"/>
      <c r="AT115" s="2759"/>
      <c r="AU115" s="2759"/>
      <c r="AV115" s="2759"/>
      <c r="AW115" s="2759"/>
      <c r="AX115" s="2760"/>
      <c r="AY115" s="1529"/>
      <c r="AZ115" s="1529"/>
      <c r="BA115" s="1529"/>
      <c r="BB115" s="1529"/>
      <c r="BC115" s="1529"/>
      <c r="BD115" s="1529"/>
      <c r="BE115" s="1535"/>
    </row>
    <row r="116" spans="1:57" ht="15.75" customHeight="1" thickBot="1">
      <c r="A116" s="1818"/>
      <c r="B116" s="2761"/>
      <c r="C116" s="2762"/>
      <c r="D116" s="2762"/>
      <c r="E116" s="2762"/>
      <c r="F116" s="2762"/>
      <c r="G116" s="2762"/>
      <c r="H116" s="2762"/>
      <c r="I116" s="2762"/>
      <c r="J116" s="2762"/>
      <c r="K116" s="2762"/>
      <c r="L116" s="2762"/>
      <c r="M116" s="2762"/>
      <c r="N116" s="2762"/>
      <c r="O116" s="2762"/>
      <c r="P116" s="2762"/>
      <c r="Q116" s="2762"/>
      <c r="R116" s="2762"/>
      <c r="S116" s="2762"/>
      <c r="T116" s="2762"/>
      <c r="U116" s="2762"/>
      <c r="V116" s="2762"/>
      <c r="W116" s="2762"/>
      <c r="X116" s="2762"/>
      <c r="Y116" s="2762"/>
      <c r="Z116" s="2762"/>
      <c r="AA116" s="2762"/>
      <c r="AB116" s="2762"/>
      <c r="AC116" s="2762"/>
      <c r="AD116" s="2762"/>
      <c r="AE116" s="2762"/>
      <c r="AF116" s="2762"/>
      <c r="AG116" s="2762"/>
      <c r="AH116" s="2762"/>
      <c r="AI116" s="2762"/>
      <c r="AJ116" s="2762"/>
      <c r="AK116" s="2762"/>
      <c r="AL116" s="2762"/>
      <c r="AM116" s="2762"/>
      <c r="AN116" s="2762"/>
      <c r="AO116" s="2762"/>
      <c r="AP116" s="2762"/>
      <c r="AQ116" s="2762"/>
      <c r="AR116" s="2762"/>
      <c r="AS116" s="2762"/>
      <c r="AT116" s="2762"/>
      <c r="AU116" s="2762"/>
      <c r="AV116" s="2762"/>
      <c r="AW116" s="2762"/>
      <c r="AX116" s="276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64" t="s">
        <v>2109</v>
      </c>
      <c r="C120" s="2765"/>
      <c r="D120" s="2765"/>
      <c r="E120" s="2765"/>
      <c r="F120" s="2765"/>
      <c r="G120" s="2765"/>
      <c r="H120" s="2765"/>
      <c r="I120" s="2765"/>
      <c r="J120" s="2765"/>
      <c r="K120" s="2765"/>
      <c r="L120" s="2765"/>
      <c r="M120" s="2765"/>
      <c r="N120" s="2765"/>
      <c r="O120" s="2765"/>
      <c r="P120" s="2765"/>
      <c r="Q120" s="2765"/>
      <c r="R120" s="2765"/>
      <c r="S120" s="2765"/>
      <c r="T120" s="2765"/>
      <c r="U120" s="276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7"/>
      <c r="C121" s="2768"/>
      <c r="D121" s="2768"/>
      <c r="E121" s="2768"/>
      <c r="F121" s="2768"/>
      <c r="G121" s="2768"/>
      <c r="H121" s="2769"/>
      <c r="I121" s="2770" t="s">
        <v>2092</v>
      </c>
      <c r="J121" s="2669"/>
      <c r="K121" s="2669"/>
      <c r="L121" s="2669"/>
      <c r="M121" s="2669"/>
      <c r="N121" s="2669"/>
      <c r="O121" s="2771"/>
      <c r="P121" s="2770" t="s">
        <v>2103</v>
      </c>
      <c r="Q121" s="2669"/>
      <c r="R121" s="2669"/>
      <c r="S121" s="2669"/>
      <c r="T121" s="2669"/>
      <c r="U121" s="277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72" t="s">
        <v>2095</v>
      </c>
      <c r="C122" s="2773"/>
      <c r="D122" s="2773"/>
      <c r="E122" s="2773"/>
      <c r="F122" s="2773"/>
      <c r="G122" s="2773"/>
      <c r="H122" s="2773"/>
      <c r="I122" s="2741"/>
      <c r="J122" s="2742"/>
      <c r="K122" s="2742"/>
      <c r="L122" s="2742"/>
      <c r="M122" s="2742"/>
      <c r="N122" s="2742"/>
      <c r="O122" s="2743"/>
      <c r="P122" s="2741"/>
      <c r="Q122" s="2742"/>
      <c r="R122" s="2742"/>
      <c r="S122" s="2742"/>
      <c r="T122" s="2742"/>
      <c r="U122" s="274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12" t="s">
        <v>2096</v>
      </c>
      <c r="C123" s="2613"/>
      <c r="D123" s="2613"/>
      <c r="E123" s="2613"/>
      <c r="F123" s="2613"/>
      <c r="G123" s="2613"/>
      <c r="H123" s="2613"/>
      <c r="I123" s="2741"/>
      <c r="J123" s="2742"/>
      <c r="K123" s="2742"/>
      <c r="L123" s="2742"/>
      <c r="M123" s="2742"/>
      <c r="N123" s="2742"/>
      <c r="O123" s="2743"/>
      <c r="P123" s="2741"/>
      <c r="Q123" s="2742"/>
      <c r="R123" s="2742"/>
      <c r="S123" s="2742"/>
      <c r="T123" s="2742"/>
      <c r="U123" s="274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44" t="s">
        <v>2110</v>
      </c>
      <c r="D125" s="2745"/>
      <c r="E125" s="2745"/>
      <c r="F125" s="2745"/>
      <c r="G125" s="2745"/>
      <c r="H125" s="2745"/>
      <c r="I125" s="2745"/>
      <c r="J125" s="2745"/>
      <c r="K125" s="2745"/>
      <c r="L125" s="2745"/>
      <c r="M125" s="2745"/>
      <c r="N125" s="2745"/>
      <c r="O125" s="2745"/>
      <c r="P125" s="2745"/>
      <c r="Q125" s="2745"/>
      <c r="R125" s="2745"/>
      <c r="S125" s="2745"/>
      <c r="T125" s="2745"/>
      <c r="U125" s="2745"/>
      <c r="V125" s="2745"/>
      <c r="W125" s="2745"/>
      <c r="X125" s="2745"/>
      <c r="Y125" s="2745"/>
      <c r="Z125" s="2745"/>
      <c r="AA125" s="2745"/>
      <c r="AB125" s="2745"/>
      <c r="AC125" s="2745"/>
      <c r="AD125" s="2745"/>
      <c r="AE125" s="2745"/>
      <c r="AF125" s="2745"/>
      <c r="AG125" s="274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0" t="s">
        <v>2111</v>
      </c>
      <c r="D126" s="2661"/>
      <c r="E126" s="2661"/>
      <c r="F126" s="2661"/>
      <c r="G126" s="2661"/>
      <c r="H126" s="2661"/>
      <c r="I126" s="2661"/>
      <c r="J126" s="2661"/>
      <c r="K126" s="2661"/>
      <c r="L126" s="2661"/>
      <c r="M126" s="2661"/>
      <c r="N126" s="2661"/>
      <c r="O126" s="2661"/>
      <c r="P126" s="2747"/>
      <c r="Q126" s="2748" t="s">
        <v>2112</v>
      </c>
      <c r="R126" s="2661"/>
      <c r="S126" s="2747"/>
      <c r="T126" s="2749" t="s">
        <v>2113</v>
      </c>
      <c r="U126" s="2750"/>
      <c r="V126" s="2750"/>
      <c r="W126" s="2750"/>
      <c r="X126" s="2750"/>
      <c r="Y126" s="2750"/>
      <c r="Z126" s="2750"/>
      <c r="AA126" s="2751"/>
      <c r="AB126" s="2752" t="s">
        <v>2114</v>
      </c>
      <c r="AC126" s="2753"/>
      <c r="AD126" s="2753"/>
      <c r="AE126" s="2753"/>
      <c r="AF126" s="2753"/>
      <c r="AG126" s="275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1" t="s">
        <v>2115</v>
      </c>
      <c r="D127" s="2652"/>
      <c r="E127" s="2652"/>
      <c r="F127" s="2652"/>
      <c r="G127" s="2652"/>
      <c r="H127" s="2652"/>
      <c r="I127" s="2652"/>
      <c r="J127" s="2652"/>
      <c r="K127" s="2652"/>
      <c r="L127" s="2652"/>
      <c r="M127" s="2652"/>
      <c r="N127" s="2652"/>
      <c r="O127" s="2652"/>
      <c r="P127" s="2665"/>
      <c r="Q127" s="2731">
        <v>55</v>
      </c>
      <c r="R127" s="2732"/>
      <c r="S127" s="2733"/>
      <c r="T127" s="2725"/>
      <c r="U127" s="2726"/>
      <c r="V127" s="2726"/>
      <c r="W127" s="2726"/>
      <c r="X127" s="2726"/>
      <c r="Y127" s="2726"/>
      <c r="Z127" s="2726"/>
      <c r="AA127" s="272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1" t="s">
        <v>430</v>
      </c>
      <c r="D128" s="2652"/>
      <c r="E128" s="2652"/>
      <c r="F128" s="2652"/>
      <c r="G128" s="2652"/>
      <c r="H128" s="2652"/>
      <c r="I128" s="2652"/>
      <c r="J128" s="2652"/>
      <c r="K128" s="2652"/>
      <c r="L128" s="2652"/>
      <c r="M128" s="2652"/>
      <c r="N128" s="2652"/>
      <c r="O128" s="2652"/>
      <c r="P128" s="2665"/>
      <c r="Q128" s="2731">
        <v>55</v>
      </c>
      <c r="R128" s="2732"/>
      <c r="S128" s="2733"/>
      <c r="T128" s="2739" t="str">
        <f>_xlfn.CONCAT(Application!AC515,"/", Application!AH515)</f>
        <v>N/A/</v>
      </c>
      <c r="U128" s="2740"/>
      <c r="V128" s="2740"/>
      <c r="W128" s="2740"/>
      <c r="X128" s="2740"/>
      <c r="Y128" s="2740"/>
      <c r="Z128" s="2740"/>
      <c r="AA128" s="274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1" t="s">
        <v>2116</v>
      </c>
      <c r="D129" s="2652"/>
      <c r="E129" s="2652"/>
      <c r="F129" s="2652"/>
      <c r="G129" s="2652"/>
      <c r="H129" s="2652"/>
      <c r="I129" s="2652"/>
      <c r="J129" s="2652"/>
      <c r="K129" s="2652"/>
      <c r="L129" s="2652"/>
      <c r="M129" s="2652"/>
      <c r="N129" s="2652"/>
      <c r="O129" s="2652"/>
      <c r="P129" s="2665"/>
      <c r="Q129" s="2731">
        <v>55</v>
      </c>
      <c r="R129" s="2732"/>
      <c r="S129" s="2733"/>
      <c r="T129" s="2734"/>
      <c r="U129" s="2735"/>
      <c r="V129" s="2735"/>
      <c r="W129" s="2735"/>
      <c r="X129" s="2735"/>
      <c r="Y129" s="2735"/>
      <c r="Z129" s="2735"/>
      <c r="AA129" s="273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1" t="s">
        <v>2117</v>
      </c>
      <c r="D130" s="2652"/>
      <c r="E130" s="2652"/>
      <c r="F130" s="2652"/>
      <c r="G130" s="2652"/>
      <c r="H130" s="2652"/>
      <c r="I130" s="2652"/>
      <c r="J130" s="2652"/>
      <c r="K130" s="2652"/>
      <c r="L130" s="2652"/>
      <c r="M130" s="2652"/>
      <c r="N130" s="2652"/>
      <c r="O130" s="2652"/>
      <c r="P130" s="2665"/>
      <c r="Q130" s="2736"/>
      <c r="R130" s="2737"/>
      <c r="S130" s="2738"/>
      <c r="T130" s="2725"/>
      <c r="U130" s="2726"/>
      <c r="V130" s="2726"/>
      <c r="W130" s="2726"/>
      <c r="X130" s="2726"/>
      <c r="Y130" s="2726"/>
      <c r="Z130" s="2726"/>
      <c r="AA130" s="272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1" t="s">
        <v>2070</v>
      </c>
      <c r="D131" s="2652"/>
      <c r="E131" s="2652"/>
      <c r="F131" s="2652"/>
      <c r="G131" s="2652"/>
      <c r="H131" s="2652"/>
      <c r="I131" s="2652"/>
      <c r="J131" s="2652"/>
      <c r="K131" s="2652"/>
      <c r="L131" s="2652"/>
      <c r="M131" s="2652"/>
      <c r="N131" s="2652"/>
      <c r="O131" s="2652"/>
      <c r="P131" s="2665"/>
      <c r="Q131" s="2722">
        <f>Application!AG400</f>
        <v>0</v>
      </c>
      <c r="R131" s="2723"/>
      <c r="S131" s="2724"/>
      <c r="T131" s="2725"/>
      <c r="U131" s="2726"/>
      <c r="V131" s="2726"/>
      <c r="W131" s="2726"/>
      <c r="X131" s="2726"/>
      <c r="Y131" s="2726"/>
      <c r="Z131" s="2726"/>
      <c r="AA131" s="2727"/>
      <c r="AB131" s="2728">
        <f>Application!AE401</f>
        <v>0</v>
      </c>
      <c r="AC131" s="2729"/>
      <c r="AD131" s="2729"/>
      <c r="AE131" s="2729"/>
      <c r="AF131" s="2729"/>
      <c r="AG131" s="273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0" t="s">
        <v>175</v>
      </c>
      <c r="D132" s="2711"/>
      <c r="E132" s="2711"/>
      <c r="F132" s="2642" t="s">
        <v>2118</v>
      </c>
      <c r="G132" s="2642"/>
      <c r="H132" s="2642"/>
      <c r="I132" s="2642"/>
      <c r="J132" s="2642"/>
      <c r="K132" s="2642"/>
      <c r="L132" s="2642"/>
      <c r="M132" s="2642"/>
      <c r="N132" s="2642"/>
      <c r="O132" s="2642"/>
      <c r="P132" s="2642"/>
      <c r="Q132" s="2712">
        <v>55</v>
      </c>
      <c r="R132" s="2712"/>
      <c r="S132" s="2712"/>
      <c r="T132" s="2713"/>
      <c r="U132" s="2713"/>
      <c r="V132" s="2713"/>
      <c r="W132" s="2713"/>
      <c r="X132" s="2713"/>
      <c r="Y132" s="2713"/>
      <c r="Z132" s="2713"/>
      <c r="AA132" s="2713"/>
      <c r="AB132" s="2714"/>
      <c r="AC132" s="2715"/>
      <c r="AD132" s="2715"/>
      <c r="AE132" s="2715"/>
      <c r="AF132" s="2715"/>
      <c r="AG132" s="271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0" t="s">
        <v>175</v>
      </c>
      <c r="D133" s="2711"/>
      <c r="E133" s="2711"/>
      <c r="F133" s="2642" t="s">
        <v>2118</v>
      </c>
      <c r="G133" s="2642"/>
      <c r="H133" s="2642"/>
      <c r="I133" s="2642"/>
      <c r="J133" s="2642"/>
      <c r="K133" s="2642"/>
      <c r="L133" s="2642"/>
      <c r="M133" s="2642"/>
      <c r="N133" s="2642"/>
      <c r="O133" s="2642"/>
      <c r="P133" s="2642"/>
      <c r="Q133" s="2712">
        <v>55</v>
      </c>
      <c r="R133" s="2712"/>
      <c r="S133" s="2712"/>
      <c r="T133" s="2713"/>
      <c r="U133" s="2713"/>
      <c r="V133" s="2713"/>
      <c r="W133" s="2713"/>
      <c r="X133" s="2713"/>
      <c r="Y133" s="2713"/>
      <c r="Z133" s="2713"/>
      <c r="AA133" s="2713"/>
      <c r="AB133" s="2714"/>
      <c r="AC133" s="2715"/>
      <c r="AD133" s="2715"/>
      <c r="AE133" s="2715"/>
      <c r="AF133" s="2715"/>
      <c r="AG133" s="271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0" t="s">
        <v>175</v>
      </c>
      <c r="D134" s="2711"/>
      <c r="E134" s="2711"/>
      <c r="F134" s="2627" t="s">
        <v>2118</v>
      </c>
      <c r="G134" s="2627"/>
      <c r="H134" s="2627"/>
      <c r="I134" s="2627"/>
      <c r="J134" s="2627"/>
      <c r="K134" s="2627"/>
      <c r="L134" s="2627"/>
      <c r="M134" s="2627"/>
      <c r="N134" s="2627"/>
      <c r="O134" s="2627"/>
      <c r="P134" s="2627"/>
      <c r="Q134" s="2717">
        <v>55</v>
      </c>
      <c r="R134" s="2717"/>
      <c r="S134" s="2717"/>
      <c r="T134" s="2718"/>
      <c r="U134" s="2718"/>
      <c r="V134" s="2718"/>
      <c r="W134" s="2718"/>
      <c r="X134" s="2718"/>
      <c r="Y134" s="2718"/>
      <c r="Z134" s="2718"/>
      <c r="AA134" s="2718"/>
      <c r="AB134" s="2719"/>
      <c r="AC134" s="2720"/>
      <c r="AD134" s="2720"/>
      <c r="AE134" s="2720"/>
      <c r="AF134" s="2720"/>
      <c r="AG134" s="272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5" t="s">
        <v>2119</v>
      </c>
      <c r="D136" s="2696"/>
      <c r="E136" s="2696"/>
      <c r="F136" s="2696"/>
      <c r="G136" s="2696"/>
      <c r="H136" s="2696"/>
      <c r="I136" s="2696"/>
      <c r="J136" s="2696"/>
      <c r="K136" s="2696"/>
      <c r="L136" s="2696"/>
      <c r="M136" s="2696"/>
      <c r="N136" s="2697"/>
      <c r="O136" s="1529"/>
      <c r="P136" s="2698" t="s">
        <v>2120</v>
      </c>
      <c r="Q136" s="2699"/>
      <c r="R136" s="2699"/>
      <c r="S136" s="2699"/>
      <c r="T136" s="2699"/>
      <c r="U136" s="2699"/>
      <c r="V136" s="2699"/>
      <c r="W136" s="2699"/>
      <c r="X136" s="2699"/>
      <c r="Y136" s="2699"/>
      <c r="Z136" s="2699"/>
      <c r="AA136" s="2699"/>
      <c r="AB136" s="2699"/>
      <c r="AC136" s="2699"/>
      <c r="AD136" s="2699"/>
      <c r="AE136" s="2699"/>
      <c r="AF136" s="2699"/>
      <c r="AG136" s="2699"/>
      <c r="AH136" s="2699"/>
      <c r="AI136" s="2699"/>
      <c r="AJ136" s="2699"/>
      <c r="AK136" s="2699"/>
      <c r="AL136" s="2699"/>
      <c r="AM136" s="2699"/>
      <c r="AN136" s="2699"/>
      <c r="AO136" s="27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1" t="s">
        <v>2121</v>
      </c>
      <c r="D137" s="2702"/>
      <c r="E137" s="2702"/>
      <c r="F137" s="2702"/>
      <c r="G137" s="2702"/>
      <c r="H137" s="2703"/>
      <c r="I137" s="2701" t="s">
        <v>2122</v>
      </c>
      <c r="J137" s="2702"/>
      <c r="K137" s="2702"/>
      <c r="L137" s="2702"/>
      <c r="M137" s="2702"/>
      <c r="N137" s="2703"/>
      <c r="O137" s="1529"/>
      <c r="P137" s="2704"/>
      <c r="Q137" s="2705"/>
      <c r="R137" s="2705"/>
      <c r="S137" s="2705"/>
      <c r="T137" s="2705"/>
      <c r="U137" s="2705"/>
      <c r="V137" s="2705"/>
      <c r="W137" s="2705"/>
      <c r="X137" s="2705"/>
      <c r="Y137" s="2705"/>
      <c r="Z137" s="2705"/>
      <c r="AA137" s="2705"/>
      <c r="AB137" s="2705"/>
      <c r="AC137" s="2705"/>
      <c r="AD137" s="2705"/>
      <c r="AE137" s="2705"/>
      <c r="AF137" s="2705"/>
      <c r="AG137" s="2705"/>
      <c r="AH137" s="2705"/>
      <c r="AI137" s="2705"/>
      <c r="AJ137" s="2705"/>
      <c r="AK137" s="2705"/>
      <c r="AL137" s="2705"/>
      <c r="AM137" s="2705"/>
      <c r="AN137" s="2705"/>
      <c r="AO137" s="270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3"/>
      <c r="D138" s="2683"/>
      <c r="E138" s="2683"/>
      <c r="F138" s="2683"/>
      <c r="G138" s="2683"/>
      <c r="H138" s="2683"/>
      <c r="I138" s="2684"/>
      <c r="J138" s="2684"/>
      <c r="K138" s="2684"/>
      <c r="L138" s="2684"/>
      <c r="M138" s="2684"/>
      <c r="N138" s="2684"/>
      <c r="O138" s="1529"/>
      <c r="P138" s="2704"/>
      <c r="Q138" s="2705"/>
      <c r="R138" s="2705"/>
      <c r="S138" s="2705"/>
      <c r="T138" s="2705"/>
      <c r="U138" s="2705"/>
      <c r="V138" s="2705"/>
      <c r="W138" s="2705"/>
      <c r="X138" s="2705"/>
      <c r="Y138" s="2705"/>
      <c r="Z138" s="2705"/>
      <c r="AA138" s="2705"/>
      <c r="AB138" s="2705"/>
      <c r="AC138" s="2705"/>
      <c r="AD138" s="2705"/>
      <c r="AE138" s="2705"/>
      <c r="AF138" s="2705"/>
      <c r="AG138" s="2705"/>
      <c r="AH138" s="2705"/>
      <c r="AI138" s="2705"/>
      <c r="AJ138" s="2705"/>
      <c r="AK138" s="2705"/>
      <c r="AL138" s="2705"/>
      <c r="AM138" s="2705"/>
      <c r="AN138" s="2705"/>
      <c r="AO138" s="270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3"/>
      <c r="D139" s="2683"/>
      <c r="E139" s="2683"/>
      <c r="F139" s="2683"/>
      <c r="G139" s="2683"/>
      <c r="H139" s="2683"/>
      <c r="I139" s="2684"/>
      <c r="J139" s="2684"/>
      <c r="K139" s="2684"/>
      <c r="L139" s="2684"/>
      <c r="M139" s="2684"/>
      <c r="N139" s="2684"/>
      <c r="O139" s="1529"/>
      <c r="P139" s="2704"/>
      <c r="Q139" s="2705"/>
      <c r="R139" s="2705"/>
      <c r="S139" s="2705"/>
      <c r="T139" s="2705"/>
      <c r="U139" s="2705"/>
      <c r="V139" s="2705"/>
      <c r="W139" s="2705"/>
      <c r="X139" s="2705"/>
      <c r="Y139" s="2705"/>
      <c r="Z139" s="2705"/>
      <c r="AA139" s="2705"/>
      <c r="AB139" s="2705"/>
      <c r="AC139" s="2705"/>
      <c r="AD139" s="2705"/>
      <c r="AE139" s="2705"/>
      <c r="AF139" s="2705"/>
      <c r="AG139" s="2705"/>
      <c r="AH139" s="2705"/>
      <c r="AI139" s="2705"/>
      <c r="AJ139" s="2705"/>
      <c r="AK139" s="2705"/>
      <c r="AL139" s="2705"/>
      <c r="AM139" s="2705"/>
      <c r="AN139" s="2705"/>
      <c r="AO139" s="270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3"/>
      <c r="D140" s="2683"/>
      <c r="E140" s="2683"/>
      <c r="F140" s="2683"/>
      <c r="G140" s="2683"/>
      <c r="H140" s="2683"/>
      <c r="I140" s="2684"/>
      <c r="J140" s="2684"/>
      <c r="K140" s="2684"/>
      <c r="L140" s="2684"/>
      <c r="M140" s="2684"/>
      <c r="N140" s="2684"/>
      <c r="O140" s="1529"/>
      <c r="P140" s="2704"/>
      <c r="Q140" s="2705"/>
      <c r="R140" s="2705"/>
      <c r="S140" s="2705"/>
      <c r="T140" s="2705"/>
      <c r="U140" s="2705"/>
      <c r="V140" s="2705"/>
      <c r="W140" s="2705"/>
      <c r="X140" s="2705"/>
      <c r="Y140" s="2705"/>
      <c r="Z140" s="2705"/>
      <c r="AA140" s="2705"/>
      <c r="AB140" s="2705"/>
      <c r="AC140" s="2705"/>
      <c r="AD140" s="2705"/>
      <c r="AE140" s="2705"/>
      <c r="AF140" s="2705"/>
      <c r="AG140" s="2705"/>
      <c r="AH140" s="2705"/>
      <c r="AI140" s="2705"/>
      <c r="AJ140" s="2705"/>
      <c r="AK140" s="2705"/>
      <c r="AL140" s="2705"/>
      <c r="AM140" s="2705"/>
      <c r="AN140" s="2705"/>
      <c r="AO140" s="270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3"/>
      <c r="D141" s="2683"/>
      <c r="E141" s="2683"/>
      <c r="F141" s="2683"/>
      <c r="G141" s="2683"/>
      <c r="H141" s="2683"/>
      <c r="I141" s="2684"/>
      <c r="J141" s="2684"/>
      <c r="K141" s="2684"/>
      <c r="L141" s="2684"/>
      <c r="M141" s="2684"/>
      <c r="N141" s="2684"/>
      <c r="O141" s="1529"/>
      <c r="P141" s="2704"/>
      <c r="Q141" s="2705"/>
      <c r="R141" s="2705"/>
      <c r="S141" s="2705"/>
      <c r="T141" s="2705"/>
      <c r="U141" s="2705"/>
      <c r="V141" s="2705"/>
      <c r="W141" s="2705"/>
      <c r="X141" s="2705"/>
      <c r="Y141" s="2705"/>
      <c r="Z141" s="2705"/>
      <c r="AA141" s="2705"/>
      <c r="AB141" s="2705"/>
      <c r="AC141" s="2705"/>
      <c r="AD141" s="2705"/>
      <c r="AE141" s="2705"/>
      <c r="AF141" s="2705"/>
      <c r="AG141" s="2705"/>
      <c r="AH141" s="2705"/>
      <c r="AI141" s="2705"/>
      <c r="AJ141" s="2705"/>
      <c r="AK141" s="2705"/>
      <c r="AL141" s="2705"/>
      <c r="AM141" s="2705"/>
      <c r="AN141" s="2705"/>
      <c r="AO141" s="270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83"/>
      <c r="D142" s="2683"/>
      <c r="E142" s="2683"/>
      <c r="F142" s="2683"/>
      <c r="G142" s="2683"/>
      <c r="H142" s="2683"/>
      <c r="I142" s="2684"/>
      <c r="J142" s="2684"/>
      <c r="K142" s="2684"/>
      <c r="L142" s="2684"/>
      <c r="M142" s="2684"/>
      <c r="N142" s="2684"/>
      <c r="O142" s="1529"/>
      <c r="P142" s="2704"/>
      <c r="Q142" s="2705"/>
      <c r="R142" s="2705"/>
      <c r="S142" s="2705"/>
      <c r="T142" s="2705"/>
      <c r="U142" s="2705"/>
      <c r="V142" s="2705"/>
      <c r="W142" s="2705"/>
      <c r="X142" s="2705"/>
      <c r="Y142" s="2705"/>
      <c r="Z142" s="2705"/>
      <c r="AA142" s="2705"/>
      <c r="AB142" s="2705"/>
      <c r="AC142" s="2705"/>
      <c r="AD142" s="2705"/>
      <c r="AE142" s="2705"/>
      <c r="AF142" s="2705"/>
      <c r="AG142" s="2705"/>
      <c r="AH142" s="2705"/>
      <c r="AI142" s="2705"/>
      <c r="AJ142" s="2705"/>
      <c r="AK142" s="2705"/>
      <c r="AL142" s="2705"/>
      <c r="AM142" s="2705"/>
      <c r="AN142" s="2705"/>
      <c r="AO142" s="270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83"/>
      <c r="D143" s="2683"/>
      <c r="E143" s="2683"/>
      <c r="F143" s="2683"/>
      <c r="G143" s="2683"/>
      <c r="H143" s="2683"/>
      <c r="I143" s="2684"/>
      <c r="J143" s="2684"/>
      <c r="K143" s="2684"/>
      <c r="L143" s="2684"/>
      <c r="M143" s="2684"/>
      <c r="N143" s="2684"/>
      <c r="O143" s="1529"/>
      <c r="P143" s="2704"/>
      <c r="Q143" s="2705"/>
      <c r="R143" s="2705"/>
      <c r="S143" s="2705"/>
      <c r="T143" s="2705"/>
      <c r="U143" s="2705"/>
      <c r="V143" s="2705"/>
      <c r="W143" s="2705"/>
      <c r="X143" s="2705"/>
      <c r="Y143" s="2705"/>
      <c r="Z143" s="2705"/>
      <c r="AA143" s="2705"/>
      <c r="AB143" s="2705"/>
      <c r="AC143" s="2705"/>
      <c r="AD143" s="2705"/>
      <c r="AE143" s="2705"/>
      <c r="AF143" s="2705"/>
      <c r="AG143" s="2705"/>
      <c r="AH143" s="2705"/>
      <c r="AI143" s="2705"/>
      <c r="AJ143" s="2705"/>
      <c r="AK143" s="2705"/>
      <c r="AL143" s="2705"/>
      <c r="AM143" s="2705"/>
      <c r="AN143" s="2705"/>
      <c r="AO143" s="270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83"/>
      <c r="D144" s="2683"/>
      <c r="E144" s="2683"/>
      <c r="F144" s="2683"/>
      <c r="G144" s="2683"/>
      <c r="H144" s="2683"/>
      <c r="I144" s="2684"/>
      <c r="J144" s="2684"/>
      <c r="K144" s="2684"/>
      <c r="L144" s="2684"/>
      <c r="M144" s="2684"/>
      <c r="N144" s="2684"/>
      <c r="O144" s="1529"/>
      <c r="P144" s="2707"/>
      <c r="Q144" s="2708"/>
      <c r="R144" s="2708"/>
      <c r="S144" s="2708"/>
      <c r="T144" s="2708"/>
      <c r="U144" s="2708"/>
      <c r="V144" s="2708"/>
      <c r="W144" s="2708"/>
      <c r="X144" s="2708"/>
      <c r="Y144" s="2708"/>
      <c r="Z144" s="2708"/>
      <c r="AA144" s="2708"/>
      <c r="AB144" s="2708"/>
      <c r="AC144" s="2708"/>
      <c r="AD144" s="2708"/>
      <c r="AE144" s="2708"/>
      <c r="AF144" s="2708"/>
      <c r="AG144" s="2708"/>
      <c r="AH144" s="2708"/>
      <c r="AI144" s="2708"/>
      <c r="AJ144" s="2708"/>
      <c r="AK144" s="2708"/>
      <c r="AL144" s="2708"/>
      <c r="AM144" s="2708"/>
      <c r="AN144" s="2708"/>
      <c r="AO144" s="270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5"/>
      <c r="D149" s="2686"/>
      <c r="E149" s="2686"/>
      <c r="F149" s="2686"/>
      <c r="G149" s="2686"/>
      <c r="H149" s="2686"/>
      <c r="I149" s="2686"/>
      <c r="J149" s="2686"/>
      <c r="K149" s="2686"/>
      <c r="L149" s="2686"/>
      <c r="M149" s="2687"/>
      <c r="N149" s="2688" t="s">
        <v>2125</v>
      </c>
      <c r="O149" s="2688"/>
      <c r="P149" s="2688"/>
      <c r="Q149" s="2688"/>
      <c r="R149" s="2688"/>
      <c r="S149" s="2688"/>
      <c r="T149" s="2689"/>
      <c r="U149" s="2690" t="s">
        <v>2111</v>
      </c>
      <c r="V149" s="2691"/>
      <c r="W149" s="2691"/>
      <c r="X149" s="2691"/>
      <c r="Y149" s="2691"/>
      <c r="Z149" s="2691"/>
      <c r="AA149" s="2691"/>
      <c r="AB149" s="2691"/>
      <c r="AC149" s="2691"/>
      <c r="AD149" s="2691"/>
      <c r="AE149" s="2692"/>
      <c r="AF149" s="1529"/>
      <c r="AG149" s="1529"/>
      <c r="AH149" s="2693" t="s">
        <v>2126</v>
      </c>
      <c r="AI149" s="2694"/>
      <c r="AJ149" s="2694"/>
      <c r="AK149" s="2694"/>
      <c r="AL149" s="2694"/>
      <c r="AM149" s="2694"/>
      <c r="AN149" s="2694"/>
      <c r="AO149" s="2694"/>
      <c r="AP149" s="2694"/>
      <c r="AQ149" s="2694"/>
      <c r="AR149" s="2694"/>
      <c r="AS149" s="2666"/>
      <c r="AT149" s="2667"/>
      <c r="AU149" s="2667"/>
      <c r="AV149" s="2667"/>
      <c r="AW149" s="2667"/>
      <c r="AX149" s="1529"/>
      <c r="AY149" s="1529"/>
      <c r="AZ149" s="1529"/>
      <c r="BA149" s="1529"/>
      <c r="BB149" s="1529"/>
      <c r="BC149" s="1529"/>
      <c r="BD149" s="1529"/>
      <c r="BE149" s="1535"/>
    </row>
    <row r="150" spans="1:57" ht="15.75" customHeight="1">
      <c r="A150" s="1818"/>
      <c r="B150" s="1529"/>
      <c r="C150" s="2660" t="s">
        <v>2127</v>
      </c>
      <c r="D150" s="2661"/>
      <c r="E150" s="2661"/>
      <c r="F150" s="2661"/>
      <c r="G150" s="2661"/>
      <c r="H150" s="2661"/>
      <c r="I150" s="2661"/>
      <c r="J150" s="2661"/>
      <c r="K150" s="2661"/>
      <c r="L150" s="2661"/>
      <c r="M150" s="2662"/>
      <c r="N150" s="2663">
        <f>'Sources and Uses Budget'!B104</f>
        <v>2888858</v>
      </c>
      <c r="O150" s="2663"/>
      <c r="P150" s="2663"/>
      <c r="Q150" s="2663"/>
      <c r="R150" s="2663"/>
      <c r="S150" s="2663"/>
      <c r="T150" s="2664"/>
      <c r="U150" s="2673"/>
      <c r="V150" s="2674"/>
      <c r="W150" s="2674"/>
      <c r="X150" s="2674"/>
      <c r="Y150" s="2674"/>
      <c r="Z150" s="2674"/>
      <c r="AA150" s="2674"/>
      <c r="AB150" s="2674"/>
      <c r="AC150" s="2674"/>
      <c r="AD150" s="2674"/>
      <c r="AE150" s="2680"/>
      <c r="AF150" s="1529"/>
      <c r="AG150" s="1529"/>
      <c r="AH150" s="2681" t="s">
        <v>2128</v>
      </c>
      <c r="AI150" s="2682"/>
      <c r="AJ150" s="2682"/>
      <c r="AK150" s="2682"/>
      <c r="AL150" s="2682"/>
      <c r="AM150" s="2682"/>
      <c r="AN150" s="2682"/>
      <c r="AO150" s="2682"/>
      <c r="AP150" s="2682"/>
      <c r="AQ150" s="2682"/>
      <c r="AR150" s="2682"/>
      <c r="AS150" s="2666"/>
      <c r="AT150" s="2667"/>
      <c r="AU150" s="2667"/>
      <c r="AV150" s="2667"/>
      <c r="AW150" s="2667"/>
      <c r="AX150" s="1529"/>
      <c r="AY150" s="1529"/>
      <c r="AZ150" s="1529"/>
      <c r="BA150" s="1529"/>
      <c r="BB150" s="1529"/>
      <c r="BC150" s="1529"/>
      <c r="BD150" s="1529"/>
      <c r="BE150" s="1535"/>
    </row>
    <row r="151" spans="1:57" ht="15.75" customHeight="1">
      <c r="A151" s="1818"/>
      <c r="B151" s="1529"/>
      <c r="C151" s="2660" t="s">
        <v>2129</v>
      </c>
      <c r="D151" s="2661"/>
      <c r="E151" s="2661"/>
      <c r="F151" s="2661"/>
      <c r="G151" s="2661"/>
      <c r="H151" s="2661"/>
      <c r="I151" s="2661"/>
      <c r="J151" s="2661"/>
      <c r="K151" s="2661"/>
      <c r="L151" s="2661"/>
      <c r="M151" s="2662"/>
      <c r="N151" s="2663">
        <f>N150/J29</f>
        <v>44443.969230769231</v>
      </c>
      <c r="O151" s="2663"/>
      <c r="P151" s="2663"/>
      <c r="Q151" s="2663"/>
      <c r="R151" s="2663"/>
      <c r="S151" s="2663"/>
      <c r="T151" s="2664"/>
      <c r="U151" s="1553"/>
      <c r="V151" s="1553"/>
      <c r="W151" s="1553"/>
      <c r="X151" s="1553"/>
      <c r="Y151" s="1553"/>
      <c r="Z151" s="1553"/>
      <c r="AA151" s="1553"/>
      <c r="AB151" s="1553"/>
      <c r="AC151" s="1553"/>
      <c r="AD151" s="1553"/>
      <c r="AE151" s="1554"/>
      <c r="AF151" s="1529"/>
      <c r="AG151" s="1529"/>
      <c r="AH151" s="2651" t="s">
        <v>2130</v>
      </c>
      <c r="AI151" s="2652"/>
      <c r="AJ151" s="2652"/>
      <c r="AK151" s="2652"/>
      <c r="AL151" s="2652"/>
      <c r="AM151" s="2652"/>
      <c r="AN151" s="2652"/>
      <c r="AO151" s="2652"/>
      <c r="AP151" s="2652"/>
      <c r="AQ151" s="2652"/>
      <c r="AR151" s="2665"/>
      <c r="AS151" s="2666"/>
      <c r="AT151" s="2667"/>
      <c r="AU151" s="2667"/>
      <c r="AV151" s="2667"/>
      <c r="AW151" s="2667"/>
      <c r="AX151" s="1529"/>
      <c r="AY151" s="1529"/>
      <c r="AZ151" s="1529"/>
      <c r="BA151" s="1529"/>
      <c r="BB151" s="1529"/>
      <c r="BC151" s="1529"/>
      <c r="BD151" s="1529"/>
      <c r="BE151" s="1535"/>
    </row>
    <row r="152" spans="1:57" ht="15.75" customHeight="1">
      <c r="A152" s="1818"/>
      <c r="B152" s="1529"/>
      <c r="C152" s="2668" t="s">
        <v>2131</v>
      </c>
      <c r="D152" s="2669"/>
      <c r="E152" s="2669"/>
      <c r="F152" s="2669"/>
      <c r="G152" s="2669"/>
      <c r="H152" s="2669"/>
      <c r="I152" s="2669"/>
      <c r="J152" s="2669"/>
      <c r="K152" s="2669"/>
      <c r="L152" s="2669"/>
      <c r="M152" s="2670"/>
      <c r="N152" s="2671"/>
      <c r="O152" s="2671"/>
      <c r="P152" s="2671"/>
      <c r="Q152" s="2671"/>
      <c r="R152" s="2671"/>
      <c r="S152" s="2671"/>
      <c r="T152" s="2672"/>
      <c r="U152" s="2649"/>
      <c r="V152" s="2650"/>
      <c r="W152" s="2650"/>
      <c r="X152" s="2650"/>
      <c r="Y152" s="2650"/>
      <c r="Z152" s="2650"/>
      <c r="AA152" s="2650"/>
      <c r="AB152" s="2650"/>
      <c r="AC152" s="2650"/>
      <c r="AD152" s="2650"/>
      <c r="AE152" s="2679"/>
      <c r="AF152" s="1529"/>
      <c r="AG152" s="1529"/>
      <c r="AH152" s="2673"/>
      <c r="AI152" s="2674"/>
      <c r="AJ152" s="2674"/>
      <c r="AK152" s="2674"/>
      <c r="AL152" s="2674"/>
      <c r="AM152" s="2674"/>
      <c r="AN152" s="2674"/>
      <c r="AO152" s="2674"/>
      <c r="AP152" s="2674"/>
      <c r="AQ152" s="2674"/>
      <c r="AR152" s="2675"/>
      <c r="AS152" s="2676"/>
      <c r="AT152" s="2677"/>
      <c r="AU152" s="2677"/>
      <c r="AV152" s="2677"/>
      <c r="AW152" s="2678"/>
      <c r="AX152" s="1529"/>
      <c r="AY152" s="1529"/>
      <c r="AZ152" s="1529"/>
      <c r="BA152" s="1529"/>
      <c r="BB152" s="1529"/>
      <c r="BC152" s="1529"/>
      <c r="BD152" s="1529"/>
      <c r="BE152" s="1535"/>
    </row>
    <row r="153" spans="1:57" ht="15.75" customHeight="1" thickBot="1">
      <c r="A153" s="1818"/>
      <c r="B153" s="1529"/>
      <c r="C153" s="2651" t="s">
        <v>2132</v>
      </c>
      <c r="D153" s="2652"/>
      <c r="E153" s="2652"/>
      <c r="F153" s="2652"/>
      <c r="G153" s="2652"/>
      <c r="H153" s="2652"/>
      <c r="I153" s="2652"/>
      <c r="J153" s="2652"/>
      <c r="K153" s="2652"/>
      <c r="L153" s="2652"/>
      <c r="M153" s="2653"/>
      <c r="N153" s="2654">
        <f>SUM('Sources and Uses Budget'!B85:B86)</f>
        <v>2550000</v>
      </c>
      <c r="O153" s="2654"/>
      <c r="P153" s="2654"/>
      <c r="Q153" s="2654"/>
      <c r="R153" s="2654"/>
      <c r="S153" s="2654"/>
      <c r="T153" s="2655"/>
      <c r="U153" s="2646"/>
      <c r="V153" s="2647"/>
      <c r="W153" s="2647"/>
      <c r="X153" s="2647"/>
      <c r="Y153" s="2647"/>
      <c r="Z153" s="2647"/>
      <c r="AA153" s="2647"/>
      <c r="AB153" s="2647"/>
      <c r="AC153" s="2647"/>
      <c r="AD153" s="2647"/>
      <c r="AE153" s="2648"/>
      <c r="AF153" s="1529"/>
      <c r="AG153" s="1529"/>
      <c r="AH153" s="2656" t="s">
        <v>2133</v>
      </c>
      <c r="AI153" s="2657"/>
      <c r="AJ153" s="2657"/>
      <c r="AK153" s="2657"/>
      <c r="AL153" s="2657"/>
      <c r="AM153" s="2657"/>
      <c r="AN153" s="2657"/>
      <c r="AO153" s="2657"/>
      <c r="AP153" s="2657"/>
      <c r="AQ153" s="2657"/>
      <c r="AR153" s="2657"/>
      <c r="AS153" s="2658">
        <f>SUM(AS149:AW151)</f>
        <v>0</v>
      </c>
      <c r="AT153" s="2659"/>
      <c r="AU153" s="2659"/>
      <c r="AV153" s="2659"/>
      <c r="AW153" s="2659"/>
      <c r="AX153" s="1529"/>
      <c r="AY153" s="1529"/>
      <c r="AZ153" s="1529"/>
      <c r="BA153" s="1529"/>
      <c r="BB153" s="1529"/>
      <c r="BC153" s="1529"/>
      <c r="BD153" s="1529"/>
      <c r="BE153" s="1535"/>
    </row>
    <row r="154" spans="1:57" ht="15.75" customHeight="1">
      <c r="A154" s="1818"/>
      <c r="B154" s="1529"/>
      <c r="C154" s="2651" t="s">
        <v>2134</v>
      </c>
      <c r="D154" s="2652"/>
      <c r="E154" s="2652"/>
      <c r="F154" s="2652"/>
      <c r="G154" s="2652"/>
      <c r="H154" s="2652"/>
      <c r="I154" s="2652"/>
      <c r="J154" s="2652"/>
      <c r="K154" s="2652"/>
      <c r="L154" s="2652"/>
      <c r="M154" s="2653"/>
      <c r="N154" s="2654">
        <f>'Sources and Uses Budget'!B8</f>
        <v>2785000</v>
      </c>
      <c r="O154" s="2654"/>
      <c r="P154" s="2654"/>
      <c r="Q154" s="2654"/>
      <c r="R154" s="2654"/>
      <c r="S154" s="2654"/>
      <c r="T154" s="2655"/>
      <c r="U154" s="2646"/>
      <c r="V154" s="2647"/>
      <c r="W154" s="2647"/>
      <c r="X154" s="2647"/>
      <c r="Y154" s="2647"/>
      <c r="Z154" s="2647"/>
      <c r="AA154" s="2647"/>
      <c r="AB154" s="2647"/>
      <c r="AC154" s="2647"/>
      <c r="AD154" s="2647"/>
      <c r="AE154" s="26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1" t="s">
        <v>2135</v>
      </c>
      <c r="D155" s="2652"/>
      <c r="E155" s="2652"/>
      <c r="F155" s="2652"/>
      <c r="G155" s="2652"/>
      <c r="H155" s="2652"/>
      <c r="I155" s="2652"/>
      <c r="J155" s="2652"/>
      <c r="K155" s="2652"/>
      <c r="L155" s="2652"/>
      <c r="M155" s="2653"/>
      <c r="N155" s="2644"/>
      <c r="O155" s="2644"/>
      <c r="P155" s="2644"/>
      <c r="Q155" s="2644"/>
      <c r="R155" s="2644"/>
      <c r="S155" s="2644"/>
      <c r="T155" s="2645"/>
      <c r="U155" s="2646"/>
      <c r="V155" s="2647"/>
      <c r="W155" s="2647"/>
      <c r="X155" s="2647"/>
      <c r="Y155" s="2647"/>
      <c r="Z155" s="2647"/>
      <c r="AA155" s="2647"/>
      <c r="AB155" s="2647"/>
      <c r="AC155" s="2647"/>
      <c r="AD155" s="2647"/>
      <c r="AE155" s="26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1" t="s">
        <v>2128</v>
      </c>
      <c r="D156" s="2652"/>
      <c r="E156" s="2652"/>
      <c r="F156" s="2652"/>
      <c r="G156" s="2652"/>
      <c r="H156" s="2652"/>
      <c r="I156" s="2652"/>
      <c r="J156" s="2652"/>
      <c r="K156" s="2652"/>
      <c r="L156" s="2652"/>
      <c r="M156" s="2653"/>
      <c r="N156" s="2644"/>
      <c r="O156" s="2644"/>
      <c r="P156" s="2644"/>
      <c r="Q156" s="2644"/>
      <c r="R156" s="2644"/>
      <c r="S156" s="2644"/>
      <c r="T156" s="2645"/>
      <c r="U156" s="2646"/>
      <c r="V156" s="2647"/>
      <c r="W156" s="2647"/>
      <c r="X156" s="2647"/>
      <c r="Y156" s="2647"/>
      <c r="Z156" s="2647"/>
      <c r="AA156" s="2647"/>
      <c r="AB156" s="2647"/>
      <c r="AC156" s="2647"/>
      <c r="AD156" s="2647"/>
      <c r="AE156" s="26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0" t="s">
        <v>308</v>
      </c>
      <c r="D157" s="2641"/>
      <c r="E157" s="2642" t="s">
        <v>2118</v>
      </c>
      <c r="F157" s="2642"/>
      <c r="G157" s="2642"/>
      <c r="H157" s="2642"/>
      <c r="I157" s="2642"/>
      <c r="J157" s="2642"/>
      <c r="K157" s="2642"/>
      <c r="L157" s="2642"/>
      <c r="M157" s="2643"/>
      <c r="N157" s="2644"/>
      <c r="O157" s="2644"/>
      <c r="P157" s="2644"/>
      <c r="Q157" s="2644"/>
      <c r="R157" s="2644"/>
      <c r="S157" s="2644"/>
      <c r="T157" s="2645"/>
      <c r="U157" s="2646"/>
      <c r="V157" s="2647"/>
      <c r="W157" s="2647"/>
      <c r="X157" s="2647"/>
      <c r="Y157" s="2647"/>
      <c r="Z157" s="2647"/>
      <c r="AA157" s="2647"/>
      <c r="AB157" s="2647"/>
      <c r="AC157" s="2647"/>
      <c r="AD157" s="2647"/>
      <c r="AE157" s="26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9" t="s">
        <v>308</v>
      </c>
      <c r="D158" s="2650"/>
      <c r="E158" s="2642" t="s">
        <v>2118</v>
      </c>
      <c r="F158" s="2642"/>
      <c r="G158" s="2642"/>
      <c r="H158" s="2642"/>
      <c r="I158" s="2642"/>
      <c r="J158" s="2642"/>
      <c r="K158" s="2642"/>
      <c r="L158" s="2642"/>
      <c r="M158" s="2643"/>
      <c r="N158" s="2644"/>
      <c r="O158" s="2644"/>
      <c r="P158" s="2644"/>
      <c r="Q158" s="2644"/>
      <c r="R158" s="2644"/>
      <c r="S158" s="2644"/>
      <c r="T158" s="2645"/>
      <c r="U158" s="2646"/>
      <c r="V158" s="2647"/>
      <c r="W158" s="2647"/>
      <c r="X158" s="2647"/>
      <c r="Y158" s="2647"/>
      <c r="Z158" s="2647"/>
      <c r="AA158" s="2647"/>
      <c r="AB158" s="2647"/>
      <c r="AC158" s="2647"/>
      <c r="AD158" s="2647"/>
      <c r="AE158" s="26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5" t="s">
        <v>308</v>
      </c>
      <c r="D159" s="2626"/>
      <c r="E159" s="2627" t="s">
        <v>2118</v>
      </c>
      <c r="F159" s="2627"/>
      <c r="G159" s="2627"/>
      <c r="H159" s="2627"/>
      <c r="I159" s="2627"/>
      <c r="J159" s="2627"/>
      <c r="K159" s="2627"/>
      <c r="L159" s="2627"/>
      <c r="M159" s="2628"/>
      <c r="N159" s="2629"/>
      <c r="O159" s="2629"/>
      <c r="P159" s="2629"/>
      <c r="Q159" s="2629"/>
      <c r="R159" s="2629"/>
      <c r="S159" s="2629"/>
      <c r="T159" s="2630"/>
      <c r="U159" s="2631"/>
      <c r="V159" s="2632"/>
      <c r="W159" s="2632"/>
      <c r="X159" s="2632"/>
      <c r="Y159" s="2632"/>
      <c r="Z159" s="2632"/>
      <c r="AA159" s="2632"/>
      <c r="AB159" s="2632"/>
      <c r="AC159" s="2632"/>
      <c r="AD159" s="2632"/>
      <c r="AE159" s="263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34" t="s">
        <v>2136</v>
      </c>
      <c r="D160" s="2635"/>
      <c r="E160" s="2635"/>
      <c r="F160" s="2635"/>
      <c r="G160" s="2635"/>
      <c r="H160" s="2635"/>
      <c r="I160" s="2635"/>
      <c r="J160" s="2635"/>
      <c r="K160" s="2635"/>
      <c r="L160" s="2635"/>
      <c r="M160" s="2636"/>
      <c r="N160" s="2637">
        <f>SUM(N152:T159)</f>
        <v>5335000</v>
      </c>
      <c r="O160" s="2638"/>
      <c r="P160" s="2638"/>
      <c r="Q160" s="2638"/>
      <c r="R160" s="2638"/>
      <c r="S160" s="2638"/>
      <c r="T160" s="263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12" t="s">
        <v>2137</v>
      </c>
      <c r="D161" s="2613"/>
      <c r="E161" s="2613"/>
      <c r="F161" s="2613"/>
      <c r="G161" s="2613"/>
      <c r="H161" s="2613"/>
      <c r="I161" s="2613"/>
      <c r="J161" s="2613"/>
      <c r="K161" s="2613"/>
      <c r="L161" s="2613"/>
      <c r="M161" s="2613"/>
      <c r="N161" s="2614">
        <f>(N150-N160)/J29</f>
        <v>-37632.953846153847</v>
      </c>
      <c r="O161" s="2614"/>
      <c r="P161" s="2614"/>
      <c r="Q161" s="2614"/>
      <c r="R161" s="2614"/>
      <c r="S161" s="2614"/>
      <c r="T161" s="261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6" t="s">
        <v>2138</v>
      </c>
      <c r="C164" s="2617"/>
      <c r="D164" s="2617"/>
      <c r="E164" s="2617"/>
      <c r="F164" s="2617"/>
      <c r="G164" s="2617"/>
      <c r="H164" s="2617"/>
      <c r="I164" s="2617"/>
      <c r="J164" s="2617"/>
      <c r="K164" s="2617"/>
      <c r="L164" s="2617"/>
      <c r="M164" s="2617"/>
      <c r="N164" s="2617"/>
      <c r="O164" s="2617"/>
      <c r="P164" s="2617"/>
      <c r="Q164" s="2617"/>
      <c r="R164" s="2617"/>
      <c r="S164" s="2617"/>
      <c r="T164" s="2617"/>
      <c r="U164" s="2617"/>
      <c r="V164" s="2617"/>
      <c r="W164" s="2617"/>
      <c r="X164" s="2617"/>
      <c r="Y164" s="2617"/>
      <c r="Z164" s="2617"/>
      <c r="AA164" s="2617"/>
      <c r="AB164" s="2617"/>
      <c r="AC164" s="2617"/>
      <c r="AD164" s="2617"/>
      <c r="AE164" s="2617"/>
      <c r="AF164" s="2617"/>
      <c r="AG164" s="2617"/>
      <c r="AH164" s="2617"/>
      <c r="AI164" s="2617"/>
      <c r="AJ164" s="2617"/>
      <c r="AK164" s="2617"/>
      <c r="AL164" s="2617"/>
      <c r="AM164" s="2617"/>
      <c r="AN164" s="2617"/>
      <c r="AO164" s="2617"/>
      <c r="AP164" s="2617"/>
      <c r="AQ164" s="2617"/>
      <c r="AR164" s="2617"/>
      <c r="AS164" s="2617"/>
      <c r="AT164" s="2617"/>
      <c r="AU164" s="2617"/>
      <c r="AV164" s="2617"/>
      <c r="AW164" s="2617"/>
      <c r="AX164" s="2617"/>
      <c r="AY164" s="2617"/>
      <c r="AZ164" s="2617"/>
      <c r="BA164" s="2617"/>
      <c r="BB164" s="2617"/>
      <c r="BC164" s="2617"/>
      <c r="BD164" s="2618"/>
      <c r="BE164" s="1535"/>
    </row>
    <row r="165" spans="1:57" ht="15.75" customHeight="1">
      <c r="A165" s="1818"/>
      <c r="B165" s="2619"/>
      <c r="C165" s="2620"/>
      <c r="D165" s="2620"/>
      <c r="E165" s="2620"/>
      <c r="F165" s="2620"/>
      <c r="G165" s="2620"/>
      <c r="H165" s="2620"/>
      <c r="I165" s="2620"/>
      <c r="J165" s="2620"/>
      <c r="K165" s="2620"/>
      <c r="L165" s="2620"/>
      <c r="M165" s="2620"/>
      <c r="N165" s="2620"/>
      <c r="O165" s="2620"/>
      <c r="P165" s="2620"/>
      <c r="Q165" s="2620"/>
      <c r="R165" s="2620"/>
      <c r="S165" s="2620"/>
      <c r="T165" s="2620"/>
      <c r="U165" s="2620"/>
      <c r="V165" s="2620"/>
      <c r="W165" s="2620"/>
      <c r="X165" s="2620"/>
      <c r="Y165" s="2620"/>
      <c r="Z165" s="2620"/>
      <c r="AA165" s="2620"/>
      <c r="AB165" s="2620"/>
      <c r="AC165" s="2620"/>
      <c r="AD165" s="2620"/>
      <c r="AE165" s="2620"/>
      <c r="AF165" s="2620"/>
      <c r="AG165" s="2620"/>
      <c r="AH165" s="2620"/>
      <c r="AI165" s="2620"/>
      <c r="AJ165" s="2620"/>
      <c r="AK165" s="2620"/>
      <c r="AL165" s="2620"/>
      <c r="AM165" s="2620"/>
      <c r="AN165" s="2620"/>
      <c r="AO165" s="2620"/>
      <c r="AP165" s="2620"/>
      <c r="AQ165" s="2620"/>
      <c r="AR165" s="2620"/>
      <c r="AS165" s="2620"/>
      <c r="AT165" s="2620"/>
      <c r="AU165" s="2620"/>
      <c r="AV165" s="2620"/>
      <c r="AW165" s="2620"/>
      <c r="AX165" s="2620"/>
      <c r="AY165" s="2620"/>
      <c r="AZ165" s="2620"/>
      <c r="BA165" s="2620"/>
      <c r="BB165" s="2620"/>
      <c r="BC165" s="2620"/>
      <c r="BD165" s="2621"/>
      <c r="BE165" s="1535"/>
    </row>
    <row r="166" spans="1:57" ht="15.75" customHeight="1">
      <c r="A166" s="1818"/>
      <c r="B166" s="2622" t="s">
        <v>2139</v>
      </c>
      <c r="C166" s="2623"/>
      <c r="D166" s="2623"/>
      <c r="E166" s="2623"/>
      <c r="F166" s="2623"/>
      <c r="G166" s="2623"/>
      <c r="H166" s="2623"/>
      <c r="I166" s="2623"/>
      <c r="J166" s="2623"/>
      <c r="K166" s="2623"/>
      <c r="L166" s="2623"/>
      <c r="M166" s="2623"/>
      <c r="N166" s="2623"/>
      <c r="O166" s="2623"/>
      <c r="P166" s="2623"/>
      <c r="Q166" s="2623"/>
      <c r="R166" s="2623"/>
      <c r="S166" s="2623"/>
      <c r="T166" s="2623"/>
      <c r="U166" s="2623"/>
      <c r="V166" s="2623"/>
      <c r="W166" s="2623"/>
      <c r="X166" s="2623"/>
      <c r="Y166" s="2623"/>
      <c r="Z166" s="2623"/>
      <c r="AA166" s="2623"/>
      <c r="AB166" s="2623"/>
      <c r="AC166" s="2623"/>
      <c r="AD166" s="2623"/>
      <c r="AE166" s="2623"/>
      <c r="AF166" s="2623"/>
      <c r="AG166" s="2623"/>
      <c r="AH166" s="2623"/>
      <c r="AI166" s="2623"/>
      <c r="AJ166" s="2623"/>
      <c r="AK166" s="2623"/>
      <c r="AL166" s="2623"/>
      <c r="AM166" s="2623"/>
      <c r="AN166" s="2623"/>
      <c r="AO166" s="2623"/>
      <c r="AP166" s="2623"/>
      <c r="AQ166" s="2623"/>
      <c r="AR166" s="2623"/>
      <c r="AS166" s="2623"/>
      <c r="AT166" s="2623"/>
      <c r="AU166" s="2623"/>
      <c r="AV166" s="2623"/>
      <c r="AW166" s="2623"/>
      <c r="AX166" s="2623"/>
      <c r="AY166" s="2623"/>
      <c r="AZ166" s="2623"/>
      <c r="BA166" s="2623"/>
      <c r="BB166" s="2623"/>
      <c r="BC166" s="2623"/>
      <c r="BD166" s="2624"/>
      <c r="BE166" s="1535"/>
    </row>
    <row r="167" spans="1:57" ht="15.75" customHeight="1">
      <c r="A167" s="1818"/>
      <c r="B167" s="2622" t="s">
        <v>2140</v>
      </c>
      <c r="C167" s="2623"/>
      <c r="D167" s="2623"/>
      <c r="E167" s="2623"/>
      <c r="F167" s="2623"/>
      <c r="G167" s="2623"/>
      <c r="H167" s="2623"/>
      <c r="I167" s="2623"/>
      <c r="J167" s="2623"/>
      <c r="K167" s="2623"/>
      <c r="L167" s="2623"/>
      <c r="M167" s="2623"/>
      <c r="N167" s="2623"/>
      <c r="O167" s="2623"/>
      <c r="P167" s="2623"/>
      <c r="Q167" s="2623"/>
      <c r="R167" s="2623"/>
      <c r="S167" s="2623"/>
      <c r="T167" s="2623"/>
      <c r="U167" s="2623"/>
      <c r="V167" s="2623"/>
      <c r="W167" s="2623"/>
      <c r="X167" s="2623"/>
      <c r="Y167" s="2623"/>
      <c r="Z167" s="2623"/>
      <c r="AA167" s="2623"/>
      <c r="AB167" s="2623"/>
      <c r="AC167" s="2623"/>
      <c r="AD167" s="2623"/>
      <c r="AE167" s="2623"/>
      <c r="AF167" s="2623"/>
      <c r="AG167" s="2623"/>
      <c r="AH167" s="2623"/>
      <c r="AI167" s="2623"/>
      <c r="AJ167" s="2623"/>
      <c r="AK167" s="2623"/>
      <c r="AL167" s="2623"/>
      <c r="AM167" s="2623"/>
      <c r="AN167" s="2623"/>
      <c r="AO167" s="2623"/>
      <c r="AP167" s="2623"/>
      <c r="AQ167" s="2623"/>
      <c r="AR167" s="2623"/>
      <c r="AS167" s="2623"/>
      <c r="AT167" s="2623"/>
      <c r="AU167" s="2623"/>
      <c r="AV167" s="2623"/>
      <c r="AW167" s="2623"/>
      <c r="AX167" s="2623"/>
      <c r="AY167" s="2623"/>
      <c r="AZ167" s="2623"/>
      <c r="BA167" s="2623"/>
      <c r="BB167" s="2623"/>
      <c r="BC167" s="2623"/>
      <c r="BD167" s="262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6" t="s">
        <v>2141</v>
      </c>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7"/>
      <c r="AJ169" s="2607"/>
      <c r="AK169" s="2607"/>
      <c r="AL169" s="2607"/>
      <c r="AM169" s="2607"/>
      <c r="AN169" s="2607"/>
      <c r="AO169" s="2607"/>
      <c r="AP169" s="2607"/>
      <c r="AQ169" s="2607"/>
      <c r="AR169" s="2607"/>
      <c r="AS169" s="2607"/>
      <c r="AT169" s="2607"/>
      <c r="AU169" s="2607"/>
      <c r="AV169" s="2607"/>
      <c r="AW169" s="2607"/>
      <c r="AX169" s="2607"/>
      <c r="AY169" s="2607"/>
      <c r="AZ169" s="2607"/>
      <c r="BA169" s="2607"/>
      <c r="BB169" s="2607"/>
      <c r="BC169" s="2607"/>
      <c r="BD169" s="260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9" t="s">
        <v>2143</v>
      </c>
      <c r="I173" s="2609"/>
      <c r="J173" s="2609"/>
      <c r="K173" s="2609"/>
      <c r="L173" s="2609"/>
      <c r="M173" s="2609"/>
      <c r="N173" s="2609"/>
      <c r="O173" s="2609"/>
      <c r="P173" s="2609"/>
      <c r="Q173" s="2609"/>
      <c r="R173" s="2609"/>
      <c r="S173" s="2609"/>
      <c r="T173" s="2609"/>
      <c r="U173" s="2609"/>
      <c r="V173" s="2609"/>
      <c r="W173" s="2609"/>
      <c r="X173" s="2609"/>
      <c r="Y173" s="2609"/>
      <c r="Z173" s="2609"/>
      <c r="AA173" s="2609"/>
      <c r="AB173" s="2609"/>
      <c r="AC173" s="2609"/>
      <c r="AD173" s="2609"/>
      <c r="AE173" s="2609"/>
      <c r="AF173" s="2609"/>
      <c r="AG173" s="2609"/>
      <c r="AH173" s="2609"/>
      <c r="AI173" s="2609"/>
      <c r="AJ173" s="2609"/>
      <c r="AK173" s="2609"/>
      <c r="AL173" s="2609"/>
      <c r="AM173" s="2609"/>
      <c r="AN173" s="2609"/>
      <c r="AO173" s="2609"/>
      <c r="AP173" s="2609"/>
      <c r="AQ173" s="2609"/>
      <c r="AR173" s="2609"/>
      <c r="AS173" s="2609"/>
      <c r="AT173" s="2609"/>
      <c r="AU173" s="2609"/>
      <c r="AV173" s="2609"/>
      <c r="AW173" s="2609"/>
      <c r="AX173" s="2609"/>
      <c r="AY173" s="260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0" t="s">
        <v>2144</v>
      </c>
      <c r="I175" s="2610"/>
      <c r="J175" s="2610"/>
      <c r="K175" s="2610"/>
      <c r="L175" s="2610"/>
      <c r="M175" s="2610"/>
      <c r="N175" s="2610"/>
      <c r="O175" s="2610"/>
      <c r="P175" s="2610"/>
      <c r="Q175" s="2610"/>
      <c r="R175" s="2610"/>
      <c r="S175" s="2610"/>
      <c r="T175" s="2610"/>
      <c r="U175" s="2610"/>
      <c r="V175" s="2610"/>
      <c r="W175" s="2610"/>
      <c r="X175" s="2610"/>
      <c r="Y175" s="2610"/>
      <c r="Z175" s="2610"/>
      <c r="AA175" s="2610"/>
      <c r="AB175" s="2610"/>
      <c r="AC175" s="2610"/>
      <c r="AD175" s="2610"/>
      <c r="AE175" s="2610"/>
      <c r="AF175" s="2610"/>
      <c r="AG175" s="2610"/>
      <c r="AH175" s="2610"/>
      <c r="AI175" s="2610"/>
      <c r="AJ175" s="2610"/>
      <c r="AK175" s="2610"/>
      <c r="AL175" s="2610"/>
      <c r="AM175" s="2610"/>
      <c r="AN175" s="2610"/>
      <c r="AO175" s="2610"/>
      <c r="AP175" s="2610"/>
      <c r="AQ175" s="2610"/>
      <c r="AR175" s="2610"/>
      <c r="AS175" s="2610"/>
      <c r="AT175" s="2610"/>
      <c r="AU175" s="2610"/>
      <c r="AV175" s="2610"/>
      <c r="AW175" s="2610"/>
      <c r="AX175" s="2610"/>
      <c r="AY175" s="2610"/>
      <c r="AZ175" s="2610"/>
      <c r="BA175" s="1555"/>
      <c r="BB175" s="1555"/>
      <c r="BC175" s="1555"/>
      <c r="BD175" s="1535"/>
      <c r="BE175" s="1535"/>
    </row>
    <row r="176" spans="1:57" ht="15.75" customHeight="1">
      <c r="A176" s="1818"/>
      <c r="B176" s="1528"/>
      <c r="C176" s="1555"/>
      <c r="D176" s="1555"/>
      <c r="E176" s="1555"/>
      <c r="F176" s="1555"/>
      <c r="G176" s="1555"/>
      <c r="H176" s="2610"/>
      <c r="I176" s="2610"/>
      <c r="J176" s="2610"/>
      <c r="K176" s="2610"/>
      <c r="L176" s="2610"/>
      <c r="M176" s="2610"/>
      <c r="N176" s="2610"/>
      <c r="O176" s="2610"/>
      <c r="P176" s="2610"/>
      <c r="Q176" s="2610"/>
      <c r="R176" s="2610"/>
      <c r="S176" s="2610"/>
      <c r="T176" s="2610"/>
      <c r="U176" s="2610"/>
      <c r="V176" s="2610"/>
      <c r="W176" s="2610"/>
      <c r="X176" s="2610"/>
      <c r="Y176" s="2610"/>
      <c r="Z176" s="2610"/>
      <c r="AA176" s="2610"/>
      <c r="AB176" s="2610"/>
      <c r="AC176" s="2610"/>
      <c r="AD176" s="2610"/>
      <c r="AE176" s="2610"/>
      <c r="AF176" s="2610"/>
      <c r="AG176" s="2610"/>
      <c r="AH176" s="2610"/>
      <c r="AI176" s="2610"/>
      <c r="AJ176" s="2610"/>
      <c r="AK176" s="2610"/>
      <c r="AL176" s="2610"/>
      <c r="AM176" s="2610"/>
      <c r="AN176" s="2610"/>
      <c r="AO176" s="2610"/>
      <c r="AP176" s="2610"/>
      <c r="AQ176" s="2610"/>
      <c r="AR176" s="2610"/>
      <c r="AS176" s="2610"/>
      <c r="AT176" s="2610"/>
      <c r="AU176" s="2610"/>
      <c r="AV176" s="2610"/>
      <c r="AW176" s="2610"/>
      <c r="AX176" s="2610"/>
      <c r="AY176" s="2610"/>
      <c r="AZ176" s="2610"/>
      <c r="BA176" s="1555"/>
      <c r="BB176" s="1555"/>
      <c r="BC176" s="1555"/>
      <c r="BD176" s="1535"/>
      <c r="BE176" s="1535"/>
    </row>
    <row r="177" spans="1:57" ht="15.75" customHeight="1">
      <c r="A177" s="1818"/>
      <c r="B177" s="1528"/>
      <c r="C177" s="1555"/>
      <c r="D177" s="1555"/>
      <c r="E177" s="1555"/>
      <c r="F177" s="1555"/>
      <c r="G177" s="1555"/>
      <c r="H177" s="2610"/>
      <c r="I177" s="2610"/>
      <c r="J177" s="2610"/>
      <c r="K177" s="2610"/>
      <c r="L177" s="2610"/>
      <c r="M177" s="2610"/>
      <c r="N177" s="2610"/>
      <c r="O177" s="2610"/>
      <c r="P177" s="2610"/>
      <c r="Q177" s="2610"/>
      <c r="R177" s="2610"/>
      <c r="S177" s="2610"/>
      <c r="T177" s="2610"/>
      <c r="U177" s="2610"/>
      <c r="V177" s="2610"/>
      <c r="W177" s="2610"/>
      <c r="X177" s="2610"/>
      <c r="Y177" s="2610"/>
      <c r="Z177" s="2610"/>
      <c r="AA177" s="2610"/>
      <c r="AB177" s="2610"/>
      <c r="AC177" s="2610"/>
      <c r="AD177" s="2610"/>
      <c r="AE177" s="2610"/>
      <c r="AF177" s="2610"/>
      <c r="AG177" s="2610"/>
      <c r="AH177" s="2610"/>
      <c r="AI177" s="2610"/>
      <c r="AJ177" s="2610"/>
      <c r="AK177" s="2610"/>
      <c r="AL177" s="2610"/>
      <c r="AM177" s="2610"/>
      <c r="AN177" s="2610"/>
      <c r="AO177" s="2610"/>
      <c r="AP177" s="2610"/>
      <c r="AQ177" s="2610"/>
      <c r="AR177" s="2610"/>
      <c r="AS177" s="2610"/>
      <c r="AT177" s="2610"/>
      <c r="AU177" s="2610"/>
      <c r="AV177" s="2610"/>
      <c r="AW177" s="2610"/>
      <c r="AX177" s="2610"/>
      <c r="AY177" s="2610"/>
      <c r="AZ177" s="261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1" t="s">
        <v>2145</v>
      </c>
      <c r="I180" s="2611"/>
      <c r="J180" s="2611"/>
      <c r="K180" s="2611"/>
      <c r="L180" s="2611"/>
      <c r="M180" s="2611"/>
      <c r="N180" s="2611"/>
      <c r="O180" s="2611"/>
      <c r="P180" s="2611"/>
      <c r="Q180" s="2611"/>
      <c r="R180" s="2611"/>
      <c r="S180" s="2611"/>
      <c r="T180" s="2611"/>
      <c r="U180" s="2611"/>
      <c r="V180" s="2611"/>
      <c r="W180" s="2611"/>
      <c r="X180" s="2611"/>
      <c r="Y180" s="2611"/>
      <c r="Z180" s="2611"/>
      <c r="AA180" s="2611"/>
      <c r="AB180" s="2611"/>
      <c r="AC180" s="2611"/>
      <c r="AD180" s="2611"/>
      <c r="AE180" s="2611"/>
      <c r="AF180" s="2611"/>
      <c r="AG180" s="2611"/>
      <c r="AH180" s="2611"/>
      <c r="AI180" s="2611"/>
      <c r="AJ180" s="2611"/>
      <c r="AK180" s="2611"/>
      <c r="AL180" s="2611"/>
      <c r="AM180" s="2611"/>
      <c r="AN180" s="2611"/>
      <c r="AO180" s="2611"/>
      <c r="AP180" s="2611"/>
      <c r="AQ180" s="2611"/>
      <c r="AR180" s="2611"/>
      <c r="AS180" s="2611"/>
      <c r="AT180" s="2611"/>
      <c r="AU180" s="2611"/>
      <c r="AV180" s="261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04" t="s">
        <v>2146</v>
      </c>
      <c r="I182" s="2604"/>
      <c r="J182" s="2604"/>
      <c r="K182" s="2604"/>
      <c r="L182" s="1564"/>
      <c r="M182" s="1564"/>
      <c r="N182" s="1564"/>
      <c r="O182" s="1564"/>
      <c r="P182" s="1564"/>
      <c r="Q182" s="1564"/>
      <c r="R182" s="1564"/>
      <c r="S182" s="2601"/>
      <c r="T182" s="2602"/>
      <c r="U182" s="2602"/>
      <c r="V182" s="2602"/>
      <c r="W182" s="2602"/>
      <c r="X182" s="2602"/>
      <c r="Y182" s="2602"/>
      <c r="Z182" s="2602"/>
      <c r="AA182" s="2602"/>
      <c r="AB182" s="2602"/>
      <c r="AC182" s="2602"/>
      <c r="AD182" s="2602"/>
      <c r="AE182" s="2602"/>
      <c r="AF182" s="2602"/>
      <c r="AG182" s="2602"/>
      <c r="AH182" s="2602"/>
      <c r="AI182" s="2602"/>
      <c r="AJ182" s="260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04" t="s">
        <v>2147</v>
      </c>
      <c r="I184" s="2604"/>
      <c r="J184" s="2604"/>
      <c r="K184" s="1566"/>
      <c r="L184" s="1564"/>
      <c r="M184" s="1564"/>
      <c r="N184" s="1564"/>
      <c r="O184" s="1564"/>
      <c r="P184" s="1564"/>
      <c r="Q184" s="1564"/>
      <c r="R184" s="1564"/>
      <c r="S184" s="2601"/>
      <c r="T184" s="2602"/>
      <c r="U184" s="2602"/>
      <c r="V184" s="2602"/>
      <c r="W184" s="2602"/>
      <c r="X184" s="2602"/>
      <c r="Y184" s="2602"/>
      <c r="Z184" s="2602"/>
      <c r="AA184" s="2602"/>
      <c r="AB184" s="2602"/>
      <c r="AC184" s="2602"/>
      <c r="AD184" s="2602"/>
      <c r="AE184" s="2602"/>
      <c r="AF184" s="2602"/>
      <c r="AG184" s="2602"/>
      <c r="AH184" s="2602"/>
      <c r="AI184" s="2602"/>
      <c r="AJ184" s="260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04" t="s">
        <v>464</v>
      </c>
      <c r="I186" s="2604"/>
      <c r="J186" s="1566"/>
      <c r="K186" s="1566"/>
      <c r="L186" s="1564"/>
      <c r="M186" s="1564"/>
      <c r="N186" s="1564"/>
      <c r="O186" s="1564"/>
      <c r="P186" s="1564"/>
      <c r="Q186" s="1564"/>
      <c r="R186" s="1564"/>
      <c r="S186" s="2601"/>
      <c r="T186" s="2602"/>
      <c r="U186" s="2602"/>
      <c r="V186" s="2602"/>
      <c r="W186" s="2602"/>
      <c r="X186" s="2602"/>
      <c r="Y186" s="2602"/>
      <c r="Z186" s="2602"/>
      <c r="AA186" s="2602"/>
      <c r="AB186" s="2602"/>
      <c r="AC186" s="2602"/>
      <c r="AD186" s="2602"/>
      <c r="AE186" s="2602"/>
      <c r="AF186" s="2602"/>
      <c r="AG186" s="2602"/>
      <c r="AH186" s="2602"/>
      <c r="AI186" s="2602"/>
      <c r="AJ186" s="260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5" t="s">
        <v>2148</v>
      </c>
      <c r="I188" s="2605"/>
      <c r="J188" s="2605"/>
      <c r="K188" s="2605"/>
      <c r="L188" s="2605"/>
      <c r="M188" s="2605"/>
      <c r="N188" s="2605"/>
      <c r="O188" s="2605"/>
      <c r="P188" s="1564"/>
      <c r="Q188" s="1564"/>
      <c r="R188" s="1564"/>
      <c r="S188" s="2601"/>
      <c r="T188" s="2602"/>
      <c r="U188" s="2602"/>
      <c r="V188" s="2602"/>
      <c r="W188" s="2602"/>
      <c r="X188" s="2602"/>
      <c r="Y188" s="2602"/>
      <c r="Z188" s="2602"/>
      <c r="AA188" s="2602"/>
      <c r="AB188" s="2602"/>
      <c r="AC188" s="2602"/>
      <c r="AD188" s="2602"/>
      <c r="AE188" s="2602"/>
      <c r="AF188" s="2602"/>
      <c r="AG188" s="2602"/>
      <c r="AH188" s="2602"/>
      <c r="AI188" s="2602"/>
      <c r="AJ188" s="260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0" t="s">
        <v>2149</v>
      </c>
      <c r="I190" s="2600"/>
      <c r="J190" s="1564"/>
      <c r="K190" s="1564"/>
      <c r="L190" s="1564"/>
      <c r="M190" s="1564"/>
      <c r="N190" s="1564"/>
      <c r="O190" s="1564"/>
      <c r="P190" s="1564"/>
      <c r="Q190" s="1564"/>
      <c r="R190" s="1564"/>
      <c r="S190" s="2601"/>
      <c r="T190" s="2602"/>
      <c r="U190" s="2602"/>
      <c r="V190" s="2602"/>
      <c r="W190" s="2602"/>
      <c r="X190" s="2602"/>
      <c r="Y190" s="2602"/>
      <c r="Z190" s="2602"/>
      <c r="AA190" s="2602"/>
      <c r="AB190" s="2602"/>
      <c r="AC190" s="2602"/>
      <c r="AD190" s="2602"/>
      <c r="AE190" s="2602"/>
      <c r="AF190" s="2602"/>
      <c r="AG190" s="2602"/>
      <c r="AH190" s="2602"/>
      <c r="AI190" s="2602"/>
      <c r="AJ190" s="260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68" zoomScaleNormal="100" zoomScaleSheetLayoutView="100" workbookViewId="0">
      <selection activeCell="F756" sqref="F756:AL75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4" t="s">
        <v>1558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row>
    <row r="2" spans="1:42" s="927" customFormat="1" ht="12.75" customHeight="1" thickBot="1">
      <c r="A2" s="3035"/>
      <c r="B2" s="3035"/>
      <c r="C2" s="3035"/>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23" t="s">
        <v>1563</v>
      </c>
      <c r="AF7" s="3023"/>
      <c r="AG7" s="3023"/>
      <c r="AH7" s="3023"/>
      <c r="AI7" s="3023"/>
      <c r="AJ7" s="3023"/>
      <c r="AK7" s="3023"/>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7" t="s">
        <v>626</v>
      </c>
      <c r="C12" s="3007"/>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6"/>
      <c r="AH12" s="3036"/>
      <c r="AI12" s="3036"/>
      <c r="AJ12" s="30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7" t="s">
        <v>626</v>
      </c>
      <c r="C15" s="3007"/>
      <c r="D15" s="940"/>
      <c r="E15" s="3024" t="s">
        <v>1566</v>
      </c>
      <c r="F15" s="3025"/>
      <c r="G15" s="3025"/>
      <c r="H15" s="3025"/>
      <c r="I15" s="3025"/>
      <c r="J15" s="3025"/>
      <c r="K15" s="3025"/>
      <c r="L15" s="3025"/>
      <c r="M15" s="3025"/>
      <c r="N15" s="3025"/>
      <c r="O15" s="3025"/>
      <c r="P15" s="3025"/>
      <c r="Q15" s="3025"/>
      <c r="R15" s="3025"/>
      <c r="S15" s="3025"/>
      <c r="T15" s="3025"/>
      <c r="U15" s="3025"/>
      <c r="V15" s="3025"/>
      <c r="W15" s="3025"/>
      <c r="X15" s="3025"/>
      <c r="Y15" s="3025"/>
      <c r="Z15" s="3025"/>
      <c r="AA15" s="3025"/>
      <c r="AB15" s="3025"/>
      <c r="AC15" s="3025"/>
      <c r="AD15" s="3025"/>
      <c r="AE15" s="3025"/>
      <c r="AF15" s="3025"/>
      <c r="AG15" s="3025"/>
      <c r="AH15" s="3025"/>
      <c r="AI15" s="3025"/>
      <c r="AJ15" s="3026"/>
      <c r="AK15" s="933"/>
      <c r="AL15" s="933"/>
      <c r="AM15" s="933"/>
      <c r="AN15" s="929"/>
      <c r="AO15" s="943">
        <f>IF($B24="yes",20,0)</f>
        <v>0</v>
      </c>
      <c r="AP15" s="51"/>
    </row>
    <row r="16" spans="1:42" s="930" customFormat="1" ht="12.75" customHeight="1">
      <c r="A16" s="933"/>
      <c r="B16" s="933"/>
      <c r="C16" s="933"/>
      <c r="D16" s="944"/>
      <c r="E16" s="3027"/>
      <c r="F16" s="3028"/>
      <c r="G16" s="3028"/>
      <c r="H16" s="3028"/>
      <c r="I16" s="3028"/>
      <c r="J16" s="3028"/>
      <c r="K16" s="3028"/>
      <c r="L16" s="3028"/>
      <c r="M16" s="3028"/>
      <c r="N16" s="3028"/>
      <c r="O16" s="3028"/>
      <c r="P16" s="3028"/>
      <c r="Q16" s="3028"/>
      <c r="R16" s="3028"/>
      <c r="S16" s="3028"/>
      <c r="T16" s="3028"/>
      <c r="U16" s="3028"/>
      <c r="V16" s="3028"/>
      <c r="W16" s="3028"/>
      <c r="X16" s="3028"/>
      <c r="Y16" s="3028"/>
      <c r="Z16" s="3028"/>
      <c r="AA16" s="3028"/>
      <c r="AB16" s="3028"/>
      <c r="AC16" s="3028"/>
      <c r="AD16" s="3028"/>
      <c r="AE16" s="3028"/>
      <c r="AF16" s="3028"/>
      <c r="AG16" s="3028"/>
      <c r="AH16" s="3028"/>
      <c r="AI16" s="3028"/>
      <c r="AJ16" s="3029"/>
      <c r="AK16" s="933"/>
      <c r="AL16" s="933"/>
      <c r="AM16" s="933"/>
      <c r="AN16" s="929"/>
      <c r="AO16" s="930">
        <f>IF(SUM(AO12:AO15)&gt;20,20,(SUM(AO12:AO15)))</f>
        <v>0</v>
      </c>
      <c r="AP16" s="930" t="s">
        <v>1567</v>
      </c>
    </row>
    <row r="17" spans="1:42" s="930" customFormat="1" ht="12.75" customHeight="1">
      <c r="A17" s="933"/>
      <c r="B17" s="933"/>
      <c r="C17" s="933"/>
      <c r="D17" s="944"/>
      <c r="E17" s="3027"/>
      <c r="F17" s="3028"/>
      <c r="G17" s="3028"/>
      <c r="H17" s="3028"/>
      <c r="I17" s="3028"/>
      <c r="J17" s="3028"/>
      <c r="K17" s="3028"/>
      <c r="L17" s="3028"/>
      <c r="M17" s="3028"/>
      <c r="N17" s="3028"/>
      <c r="O17" s="3028"/>
      <c r="P17" s="3028"/>
      <c r="Q17" s="3028"/>
      <c r="R17" s="3028"/>
      <c r="S17" s="3028"/>
      <c r="T17" s="3028"/>
      <c r="U17" s="3028"/>
      <c r="V17" s="3028"/>
      <c r="W17" s="3028"/>
      <c r="X17" s="3028"/>
      <c r="Y17" s="3028"/>
      <c r="Z17" s="3028"/>
      <c r="AA17" s="3028"/>
      <c r="AB17" s="3028"/>
      <c r="AC17" s="3028"/>
      <c r="AD17" s="3028"/>
      <c r="AE17" s="3028"/>
      <c r="AF17" s="3028"/>
      <c r="AG17" s="3028"/>
      <c r="AH17" s="3028"/>
      <c r="AI17" s="3028"/>
      <c r="AJ17" s="3029"/>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04"/>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5"/>
      <c r="AJ19" s="300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7" t="s">
        <v>626</v>
      </c>
      <c r="C21" s="3007"/>
      <c r="D21" s="940"/>
      <c r="E21" s="3008" t="s">
        <v>1569</v>
      </c>
      <c r="F21" s="3009"/>
      <c r="G21" s="3009"/>
      <c r="H21" s="3009"/>
      <c r="I21" s="3009"/>
      <c r="J21" s="3009"/>
      <c r="K21" s="3009"/>
      <c r="L21" s="3009"/>
      <c r="M21" s="3009"/>
      <c r="N21" s="3009"/>
      <c r="O21" s="3009"/>
      <c r="P21" s="3009"/>
      <c r="Q21" s="3009"/>
      <c r="R21" s="3009"/>
      <c r="S21" s="3009"/>
      <c r="T21" s="3009"/>
      <c r="U21" s="3009"/>
      <c r="V21" s="3009"/>
      <c r="W21" s="3009"/>
      <c r="X21" s="3009"/>
      <c r="Y21" s="3009"/>
      <c r="Z21" s="3009"/>
      <c r="AA21" s="3009"/>
      <c r="AB21" s="3009"/>
      <c r="AC21" s="3009"/>
      <c r="AD21" s="3009"/>
      <c r="AE21" s="3009"/>
      <c r="AF21" s="3009"/>
      <c r="AG21" s="3009"/>
      <c r="AH21" s="3009"/>
      <c r="AI21" s="3009"/>
      <c r="AJ21" s="3010"/>
      <c r="AK21" s="933"/>
      <c r="AL21" s="933"/>
      <c r="AM21" s="933"/>
      <c r="AN21" s="929"/>
      <c r="AO21" s="930">
        <f>SUM(AO20)</f>
        <v>0</v>
      </c>
      <c r="AP21" s="930" t="s">
        <v>1567</v>
      </c>
    </row>
    <row r="22" spans="1:42" s="930" customFormat="1" ht="12.75" customHeight="1">
      <c r="A22" s="933"/>
      <c r="B22" s="933"/>
      <c r="C22" s="933"/>
      <c r="D22" s="943"/>
      <c r="E22" s="3011"/>
      <c r="F22" s="3012"/>
      <c r="G22" s="3012"/>
      <c r="H22" s="3012"/>
      <c r="I22" s="3012"/>
      <c r="J22" s="3012"/>
      <c r="K22" s="3012"/>
      <c r="L22" s="3012"/>
      <c r="M22" s="3012"/>
      <c r="N22" s="3012"/>
      <c r="O22" s="3012"/>
      <c r="P22" s="3012"/>
      <c r="Q22" s="3012"/>
      <c r="R22" s="3012"/>
      <c r="S22" s="3012"/>
      <c r="T22" s="3012"/>
      <c r="U22" s="3012"/>
      <c r="V22" s="3012"/>
      <c r="W22" s="3012"/>
      <c r="X22" s="3012"/>
      <c r="Y22" s="3012"/>
      <c r="Z22" s="3012"/>
      <c r="AA22" s="3012"/>
      <c r="AB22" s="3012"/>
      <c r="AC22" s="3012"/>
      <c r="AD22" s="3012"/>
      <c r="AE22" s="3012"/>
      <c r="AF22" s="3012"/>
      <c r="AG22" s="3012"/>
      <c r="AH22" s="3012"/>
      <c r="AI22" s="3012"/>
      <c r="AJ22" s="301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7" t="s">
        <v>626</v>
      </c>
      <c r="C24" s="3007"/>
      <c r="D24" s="940"/>
      <c r="E24" s="3014" t="s">
        <v>1570</v>
      </c>
      <c r="F24" s="3015"/>
      <c r="G24" s="3015"/>
      <c r="H24" s="3015"/>
      <c r="I24" s="3015"/>
      <c r="J24" s="3015"/>
      <c r="K24" s="3015"/>
      <c r="L24" s="3015"/>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6"/>
      <c r="AK24" s="933"/>
      <c r="AL24" s="933"/>
      <c r="AM24" s="933"/>
      <c r="AN24" s="929"/>
      <c r="AO24" s="943">
        <f>IF($B39="yes",6,0)</f>
        <v>0</v>
      </c>
    </row>
    <row r="25" spans="1:42" s="930" customFormat="1" ht="12.75" customHeight="1">
      <c r="A25" s="933"/>
      <c r="B25" s="933"/>
      <c r="C25" s="933"/>
      <c r="D25" s="943"/>
      <c r="E25" s="3017"/>
      <c r="F25" s="3018"/>
      <c r="G25" s="3018"/>
      <c r="H25" s="3018"/>
      <c r="I25" s="3018"/>
      <c r="J25" s="3018"/>
      <c r="K25" s="3018"/>
      <c r="L25" s="3018"/>
      <c r="M25" s="3018"/>
      <c r="N25" s="3018"/>
      <c r="O25" s="3018"/>
      <c r="P25" s="3018"/>
      <c r="Q25" s="3018"/>
      <c r="R25" s="3018"/>
      <c r="S25" s="3018"/>
      <c r="T25" s="3018"/>
      <c r="U25" s="3018"/>
      <c r="V25" s="3018"/>
      <c r="W25" s="3018"/>
      <c r="X25" s="3018"/>
      <c r="Y25" s="3018"/>
      <c r="Z25" s="3018"/>
      <c r="AA25" s="3018"/>
      <c r="AB25" s="3018"/>
      <c r="AC25" s="3018"/>
      <c r="AD25" s="3018"/>
      <c r="AE25" s="3018"/>
      <c r="AF25" s="3018"/>
      <c r="AG25" s="3018"/>
      <c r="AH25" s="3018"/>
      <c r="AI25" s="3018"/>
      <c r="AJ25" s="301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7" t="s">
        <v>626</v>
      </c>
      <c r="C29" s="3007"/>
      <c r="D29" s="940"/>
      <c r="E29" s="3014" t="s">
        <v>1572</v>
      </c>
      <c r="F29" s="3015"/>
      <c r="G29" s="3015"/>
      <c r="H29" s="3015"/>
      <c r="I29" s="3015"/>
      <c r="J29" s="3015"/>
      <c r="K29" s="3015"/>
      <c r="L29" s="3015"/>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6"/>
      <c r="AK29" s="933"/>
      <c r="AL29" s="933"/>
      <c r="AM29" s="933"/>
      <c r="AN29" s="929"/>
      <c r="AO29" s="943">
        <f>IF($B49="yes",6,0)</f>
        <v>0</v>
      </c>
    </row>
    <row r="30" spans="1:42" s="930" customFormat="1" ht="12.75" customHeight="1">
      <c r="A30" s="933"/>
      <c r="B30" s="933"/>
      <c r="C30" s="933"/>
      <c r="E30" s="3020"/>
      <c r="F30" s="3021"/>
      <c r="G30" s="3021"/>
      <c r="H30" s="3021"/>
      <c r="I30" s="3021"/>
      <c r="J30" s="3021"/>
      <c r="K30" s="3021"/>
      <c r="L30" s="30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2"/>
      <c r="AK30" s="933"/>
      <c r="AL30" s="933"/>
      <c r="AM30" s="933"/>
      <c r="AN30" s="929"/>
      <c r="AO30" s="930">
        <f>IF(SUM(AO23:AO29)&gt;6,6,(SUM(AO23:AO29)))</f>
        <v>0</v>
      </c>
      <c r="AP30" s="930" t="s">
        <v>1567</v>
      </c>
    </row>
    <row r="31" spans="1:42" s="930" customFormat="1" ht="12.75" customHeight="1">
      <c r="A31" s="933"/>
      <c r="B31" s="933"/>
      <c r="C31" s="933"/>
      <c r="E31" s="3017"/>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1" t="s">
        <v>2399</v>
      </c>
      <c r="C34" s="3041"/>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1"/>
      <c r="AL34" s="933"/>
      <c r="AM34" s="933"/>
      <c r="AN34" s="929"/>
    </row>
    <row r="35" spans="1:41" s="930" customFormat="1" ht="12.75" customHeight="1">
      <c r="A35" s="933"/>
      <c r="B35" s="3041"/>
      <c r="C35" s="3041"/>
      <c r="D35" s="3041"/>
      <c r="E35" s="3041"/>
      <c r="F35" s="3041"/>
      <c r="G35" s="3041"/>
      <c r="H35" s="3041"/>
      <c r="I35" s="3041"/>
      <c r="J35" s="3041"/>
      <c r="K35" s="3041"/>
      <c r="L35" s="3041"/>
      <c r="M35" s="3041"/>
      <c r="N35" s="3041"/>
      <c r="O35" s="3041"/>
      <c r="P35" s="3041"/>
      <c r="Q35" s="3041"/>
      <c r="R35" s="3041"/>
      <c r="S35" s="3041"/>
      <c r="T35" s="3041"/>
      <c r="U35" s="3041"/>
      <c r="V35" s="3041"/>
      <c r="W35" s="3041"/>
      <c r="X35" s="3041"/>
      <c r="Y35" s="3041"/>
      <c r="Z35" s="3041"/>
      <c r="AA35" s="3041"/>
      <c r="AB35" s="3041"/>
      <c r="AC35" s="3041"/>
      <c r="AD35" s="3041"/>
      <c r="AE35" s="3041"/>
      <c r="AF35" s="3041"/>
      <c r="AG35" s="3041"/>
      <c r="AH35" s="3041"/>
      <c r="AI35" s="3041"/>
      <c r="AJ35" s="3041"/>
      <c r="AK35" s="304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7" t="s">
        <v>626</v>
      </c>
      <c r="C37" s="3007"/>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7" t="s">
        <v>626</v>
      </c>
      <c r="C39" s="3007"/>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7" t="s">
        <v>626</v>
      </c>
      <c r="C41" s="3007"/>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7" t="s">
        <v>626</v>
      </c>
      <c r="C43" s="3007"/>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7" t="s">
        <v>626</v>
      </c>
      <c r="C45" s="3007"/>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7" t="s">
        <v>626</v>
      </c>
      <c r="C47" s="3007"/>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7" t="s">
        <v>626</v>
      </c>
      <c r="C49" s="3007"/>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38">
        <f>AO32</f>
        <v>0</v>
      </c>
      <c r="AL51" s="3039"/>
      <c r="AM51" s="304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23" t="s">
        <v>1584</v>
      </c>
      <c r="AF54" s="3023"/>
      <c r="AG54" s="3023"/>
      <c r="AH54" s="3023"/>
      <c r="AI54" s="3023"/>
      <c r="AJ54" s="3023"/>
      <c r="AK54" s="3023"/>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7" t="s">
        <v>626</v>
      </c>
      <c r="C57" s="3007"/>
      <c r="D57" s="940" t="s">
        <v>1585</v>
      </c>
      <c r="E57" s="3024" t="s">
        <v>2238</v>
      </c>
      <c r="F57" s="3025"/>
      <c r="G57" s="3025"/>
      <c r="H57" s="3025"/>
      <c r="I57" s="3025"/>
      <c r="J57" s="3025"/>
      <c r="K57" s="3025"/>
      <c r="L57" s="3025"/>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6"/>
      <c r="AK57" s="936"/>
      <c r="AL57" s="933"/>
      <c r="AM57" s="933"/>
      <c r="AN57" s="929"/>
      <c r="AO57" s="943">
        <f>IF($B57="yes",10,0)</f>
        <v>0</v>
      </c>
    </row>
    <row r="58" spans="1:50" s="930" customFormat="1" ht="12.75" customHeight="1">
      <c r="A58" s="931"/>
      <c r="B58" s="933"/>
      <c r="C58" s="933"/>
      <c r="D58" s="944"/>
      <c r="E58" s="3027"/>
      <c r="F58" s="3028"/>
      <c r="G58" s="3028"/>
      <c r="H58" s="3028"/>
      <c r="I58" s="3028"/>
      <c r="J58" s="3028"/>
      <c r="K58" s="3028"/>
      <c r="L58" s="3028"/>
      <c r="M58" s="3028"/>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9"/>
      <c r="AK58" s="936"/>
      <c r="AL58" s="933"/>
      <c r="AM58" s="933"/>
      <c r="AN58" s="929"/>
      <c r="AO58" s="943">
        <f>IF($B62="yes",10,0)</f>
        <v>10</v>
      </c>
    </row>
    <row r="59" spans="1:50" s="930" customFormat="1" ht="12.75" customHeight="1">
      <c r="A59" s="931"/>
      <c r="B59" s="933"/>
      <c r="C59" s="933"/>
      <c r="D59" s="944"/>
      <c r="E59" s="3027"/>
      <c r="F59" s="3028"/>
      <c r="G59" s="3028"/>
      <c r="H59" s="3028"/>
      <c r="I59" s="3028"/>
      <c r="J59" s="3028"/>
      <c r="K59" s="3028"/>
      <c r="L59" s="3028"/>
      <c r="M59" s="3028"/>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9"/>
      <c r="AK59" s="936"/>
      <c r="AL59" s="933"/>
      <c r="AM59" s="933"/>
      <c r="AN59" s="929"/>
      <c r="AO59" s="943">
        <f>IF($B69="yes",10,0)</f>
        <v>0</v>
      </c>
    </row>
    <row r="60" spans="1:50" s="930" customFormat="1" ht="12.75" customHeight="1">
      <c r="A60" s="931"/>
      <c r="B60" s="933"/>
      <c r="C60" s="933"/>
      <c r="D60" s="944"/>
      <c r="E60" s="3030"/>
      <c r="F60" s="3031"/>
      <c r="G60" s="3031"/>
      <c r="H60" s="3031"/>
      <c r="I60" s="3031"/>
      <c r="J60" s="3031"/>
      <c r="K60" s="3031"/>
      <c r="L60" s="3031"/>
      <c r="M60" s="3031"/>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2"/>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7" t="s">
        <v>578</v>
      </c>
      <c r="C62" s="3007"/>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33" t="s">
        <v>626</v>
      </c>
      <c r="F63" s="3007"/>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02" t="s">
        <v>626</v>
      </c>
      <c r="F64" s="300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02" t="s">
        <v>626</v>
      </c>
      <c r="F65" s="3003"/>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33" t="s">
        <v>578</v>
      </c>
      <c r="F67" s="3007"/>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7" t="s">
        <v>626</v>
      </c>
      <c r="C69" s="3007"/>
      <c r="D69" s="940" t="s">
        <v>1590</v>
      </c>
      <c r="E69" s="3014" t="s">
        <v>2239</v>
      </c>
      <c r="F69" s="3015"/>
      <c r="G69" s="3015"/>
      <c r="H69" s="3015"/>
      <c r="I69" s="3015"/>
      <c r="J69" s="3015"/>
      <c r="K69" s="3015"/>
      <c r="L69" s="3015"/>
      <c r="M69" s="3015"/>
      <c r="N69" s="3015"/>
      <c r="O69" s="3015"/>
      <c r="P69" s="3015"/>
      <c r="Q69" s="3015"/>
      <c r="R69" s="3015"/>
      <c r="S69" s="3015"/>
      <c r="T69" s="3015"/>
      <c r="U69" s="3015"/>
      <c r="V69" s="3015"/>
      <c r="W69" s="3015"/>
      <c r="X69" s="3015"/>
      <c r="Y69" s="3015"/>
      <c r="Z69" s="3015"/>
      <c r="AA69" s="3015"/>
      <c r="AB69" s="3015"/>
      <c r="AC69" s="3015"/>
      <c r="AD69" s="3015"/>
      <c r="AE69" s="3015"/>
      <c r="AF69" s="3015"/>
      <c r="AG69" s="3015"/>
      <c r="AH69" s="3015"/>
      <c r="AI69" s="3015"/>
      <c r="AJ69" s="3016"/>
      <c r="AK69" s="936"/>
      <c r="AL69" s="933"/>
      <c r="AM69" s="933"/>
      <c r="AN69" s="929"/>
    </row>
    <row r="70" spans="1:40" s="930" customFormat="1" ht="12.75" customHeight="1">
      <c r="A70" s="931"/>
      <c r="B70" s="933"/>
      <c r="C70" s="933"/>
      <c r="D70" s="943"/>
      <c r="E70" s="3017"/>
      <c r="F70" s="3018"/>
      <c r="G70" s="3018"/>
      <c r="H70" s="3018"/>
      <c r="I70" s="3018"/>
      <c r="J70" s="3018"/>
      <c r="K70" s="3018"/>
      <c r="L70" s="3018"/>
      <c r="M70" s="3018"/>
      <c r="N70" s="3018"/>
      <c r="O70" s="3018"/>
      <c r="P70" s="3018"/>
      <c r="Q70" s="3018"/>
      <c r="R70" s="3018"/>
      <c r="S70" s="3018"/>
      <c r="T70" s="3018"/>
      <c r="U70" s="3018"/>
      <c r="V70" s="3018"/>
      <c r="W70" s="3018"/>
      <c r="X70" s="3018"/>
      <c r="Y70" s="3018"/>
      <c r="Z70" s="3018"/>
      <c r="AA70" s="3018"/>
      <c r="AB70" s="3018"/>
      <c r="AC70" s="3018"/>
      <c r="AD70" s="3018"/>
      <c r="AE70" s="3018"/>
      <c r="AF70" s="3018"/>
      <c r="AG70" s="3018"/>
      <c r="AH70" s="3018"/>
      <c r="AI70" s="3018"/>
      <c r="AJ70" s="301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38">
        <f>IF(AK51&gt;0,0,AO60)</f>
        <v>10</v>
      </c>
      <c r="AL72" s="3039"/>
      <c r="AM72" s="304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23" t="s">
        <v>1563</v>
      </c>
      <c r="AF75" s="3023"/>
      <c r="AG75" s="3023"/>
      <c r="AH75" s="3023"/>
      <c r="AI75" s="3023"/>
      <c r="AJ75" s="3023"/>
      <c r="AK75" s="302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7" t="s">
        <v>626</v>
      </c>
      <c r="C78" s="3007"/>
      <c r="D78" s="940" t="s">
        <v>1585</v>
      </c>
      <c r="E78" s="3046" t="s">
        <v>1595</v>
      </c>
      <c r="F78" s="3047"/>
      <c r="G78" s="3047"/>
      <c r="H78" s="3047"/>
      <c r="I78" s="3047"/>
      <c r="J78" s="3047"/>
      <c r="K78" s="3047"/>
      <c r="L78" s="3047"/>
      <c r="M78" s="3047"/>
      <c r="N78" s="3047"/>
      <c r="O78" s="3047"/>
      <c r="P78" s="3047"/>
      <c r="Q78" s="3047"/>
      <c r="R78" s="3047"/>
      <c r="S78" s="3047"/>
      <c r="T78" s="3047"/>
      <c r="U78" s="3047"/>
      <c r="V78" s="3047"/>
      <c r="W78" s="3047"/>
      <c r="X78" s="3047"/>
      <c r="Y78" s="3047"/>
      <c r="Z78" s="3047"/>
      <c r="AA78" s="3047"/>
      <c r="AB78" s="3047"/>
      <c r="AC78" s="3047"/>
      <c r="AD78" s="3047"/>
      <c r="AE78" s="3047"/>
      <c r="AF78" s="3047"/>
      <c r="AG78" s="3047"/>
      <c r="AH78" s="3047"/>
      <c r="AI78" s="3047"/>
      <c r="AJ78" s="3048"/>
      <c r="AK78" s="936"/>
      <c r="AL78" s="933"/>
      <c r="AM78" s="933"/>
      <c r="AN78" s="929"/>
    </row>
    <row r="79" spans="1:40" s="930" customFormat="1" ht="12.75" customHeight="1">
      <c r="A79" s="931"/>
      <c r="B79" s="932"/>
      <c r="C79" s="932"/>
      <c r="D79" s="932"/>
      <c r="E79" s="3049"/>
      <c r="F79" s="3050"/>
      <c r="G79" s="3050"/>
      <c r="H79" s="3050"/>
      <c r="I79" s="3050"/>
      <c r="J79" s="3050"/>
      <c r="K79" s="3050"/>
      <c r="L79" s="3050"/>
      <c r="M79" s="3050"/>
      <c r="N79" s="3050"/>
      <c r="O79" s="3050"/>
      <c r="P79" s="3050"/>
      <c r="Q79" s="3050"/>
      <c r="R79" s="3050"/>
      <c r="S79" s="3050"/>
      <c r="T79" s="3050"/>
      <c r="U79" s="3050"/>
      <c r="V79" s="3050"/>
      <c r="W79" s="3050"/>
      <c r="X79" s="3050"/>
      <c r="Y79" s="3050"/>
      <c r="Z79" s="3050"/>
      <c r="AA79" s="3050"/>
      <c r="AB79" s="3050"/>
      <c r="AC79" s="3050"/>
      <c r="AD79" s="3050"/>
      <c r="AE79" s="3050"/>
      <c r="AF79" s="3050"/>
      <c r="AG79" s="3050"/>
      <c r="AH79" s="3050"/>
      <c r="AI79" s="3050"/>
      <c r="AJ79" s="305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52">
        <f>Application!AH753</f>
        <v>0.546875</v>
      </c>
      <c r="F81" s="3053"/>
      <c r="G81" s="3053"/>
      <c r="H81" s="305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54">
        <f>0.6-ROUNDUP(E81,2)</f>
        <v>4.9999999999999933E-2</v>
      </c>
      <c r="F82" s="3055"/>
      <c r="G82" s="3055"/>
      <c r="H82" s="3055"/>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44">
        <f>IF(E82*200&gt;20,20,E82*200)</f>
        <v>9.9999999999999858</v>
      </c>
      <c r="F83" s="3045"/>
      <c r="G83" s="3045"/>
      <c r="H83" s="3045"/>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7" t="s">
        <v>578</v>
      </c>
      <c r="C86" s="3007"/>
      <c r="D86" s="940" t="s">
        <v>1587</v>
      </c>
      <c r="E86" s="3046" t="s">
        <v>2223</v>
      </c>
      <c r="F86" s="3047"/>
      <c r="G86" s="3047"/>
      <c r="H86" s="3047"/>
      <c r="I86" s="3047"/>
      <c r="J86" s="3047"/>
      <c r="K86" s="3047"/>
      <c r="L86" s="3047"/>
      <c r="M86" s="3047"/>
      <c r="N86" s="3047"/>
      <c r="O86" s="3047"/>
      <c r="P86" s="3047"/>
      <c r="Q86" s="3047"/>
      <c r="R86" s="3047"/>
      <c r="S86" s="3047"/>
      <c r="T86" s="3047"/>
      <c r="U86" s="3047"/>
      <c r="V86" s="3047"/>
      <c r="W86" s="3047"/>
      <c r="X86" s="3047"/>
      <c r="Y86" s="3047"/>
      <c r="Z86" s="3047"/>
      <c r="AA86" s="3047"/>
      <c r="AB86" s="3047"/>
      <c r="AC86" s="3047"/>
      <c r="AD86" s="3047"/>
      <c r="AE86" s="3047"/>
      <c r="AF86" s="3047"/>
      <c r="AG86" s="3047"/>
      <c r="AH86" s="3047"/>
      <c r="AI86" s="3047"/>
      <c r="AJ86" s="3048"/>
      <c r="AK86" s="936"/>
      <c r="AL86" s="933"/>
      <c r="AM86" s="933"/>
      <c r="AN86" s="929"/>
    </row>
    <row r="87" spans="1:47" s="930" customFormat="1" ht="12.75" customHeight="1">
      <c r="A87" s="931"/>
      <c r="B87" s="932"/>
      <c r="C87" s="932"/>
      <c r="D87" s="932"/>
      <c r="E87" s="3049"/>
      <c r="F87" s="3050"/>
      <c r="G87" s="3050"/>
      <c r="H87" s="3050"/>
      <c r="I87" s="3050"/>
      <c r="J87" s="3050"/>
      <c r="K87" s="3050"/>
      <c r="L87" s="3050"/>
      <c r="M87" s="3050"/>
      <c r="N87" s="3050"/>
      <c r="O87" s="3050"/>
      <c r="P87" s="3050"/>
      <c r="Q87" s="3050"/>
      <c r="R87" s="3050"/>
      <c r="S87" s="3050"/>
      <c r="T87" s="3050"/>
      <c r="U87" s="3050"/>
      <c r="V87" s="3050"/>
      <c r="W87" s="3050"/>
      <c r="X87" s="3050"/>
      <c r="Y87" s="3050"/>
      <c r="Z87" s="3050"/>
      <c r="AA87" s="3050"/>
      <c r="AB87" s="3050"/>
      <c r="AC87" s="3050"/>
      <c r="AD87" s="3050"/>
      <c r="AE87" s="3050"/>
      <c r="AF87" s="3050"/>
      <c r="AG87" s="3050"/>
      <c r="AH87" s="3050"/>
      <c r="AI87" s="3050"/>
      <c r="AJ87" s="3051"/>
      <c r="AK87" s="936"/>
      <c r="AL87" s="933"/>
      <c r="AM87" s="933"/>
      <c r="AN87" s="929"/>
    </row>
    <row r="88" spans="1:47" s="930" customFormat="1" ht="12.75" customHeight="1">
      <c r="A88" s="931"/>
      <c r="B88" s="932"/>
      <c r="C88" s="932"/>
      <c r="D88" s="932"/>
      <c r="E88" s="3049"/>
      <c r="F88" s="3050"/>
      <c r="G88" s="3050"/>
      <c r="H88" s="3050"/>
      <c r="I88" s="3050"/>
      <c r="J88" s="3050"/>
      <c r="K88" s="3050"/>
      <c r="L88" s="3050"/>
      <c r="M88" s="3050"/>
      <c r="N88" s="3050"/>
      <c r="O88" s="3050"/>
      <c r="P88" s="3050"/>
      <c r="Q88" s="3050"/>
      <c r="R88" s="3050"/>
      <c r="S88" s="3050"/>
      <c r="T88" s="3050"/>
      <c r="U88" s="3050"/>
      <c r="V88" s="3050"/>
      <c r="W88" s="3050"/>
      <c r="X88" s="3050"/>
      <c r="Y88" s="3050"/>
      <c r="Z88" s="3050"/>
      <c r="AA88" s="3050"/>
      <c r="AB88" s="3050"/>
      <c r="AC88" s="3050"/>
      <c r="AD88" s="3050"/>
      <c r="AE88" s="3050"/>
      <c r="AF88" s="3050"/>
      <c r="AG88" s="3050"/>
      <c r="AH88" s="3050"/>
      <c r="AI88" s="3050"/>
      <c r="AJ88" s="3051"/>
      <c r="AK88" s="936"/>
      <c r="AL88" s="933"/>
      <c r="AM88" s="933"/>
      <c r="AN88" s="929"/>
    </row>
    <row r="89" spans="1:47" s="930" customFormat="1" ht="12.75" customHeight="1">
      <c r="A89" s="931"/>
      <c r="B89" s="932"/>
      <c r="C89" s="932"/>
      <c r="D89" s="932"/>
      <c r="E89" s="3049"/>
      <c r="F89" s="3050"/>
      <c r="G89" s="3050"/>
      <c r="H89" s="3050"/>
      <c r="I89" s="3050"/>
      <c r="J89" s="3050"/>
      <c r="K89" s="3050"/>
      <c r="L89" s="3050"/>
      <c r="M89" s="3050"/>
      <c r="N89" s="3050"/>
      <c r="O89" s="3050"/>
      <c r="P89" s="3050"/>
      <c r="Q89" s="3050"/>
      <c r="R89" s="3050"/>
      <c r="S89" s="3050"/>
      <c r="T89" s="3050"/>
      <c r="U89" s="3050"/>
      <c r="V89" s="3050"/>
      <c r="W89" s="3050"/>
      <c r="X89" s="3050"/>
      <c r="Y89" s="3050"/>
      <c r="Z89" s="3050"/>
      <c r="AA89" s="3050"/>
      <c r="AB89" s="3050"/>
      <c r="AC89" s="3050"/>
      <c r="AD89" s="3050"/>
      <c r="AE89" s="3050"/>
      <c r="AF89" s="3050"/>
      <c r="AG89" s="3050"/>
      <c r="AH89" s="3050"/>
      <c r="AI89" s="3050"/>
      <c r="AJ89" s="305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52">
        <f>Application!AH753</f>
        <v>0.546875</v>
      </c>
      <c r="F91" s="3053"/>
      <c r="G91" s="3053"/>
      <c r="H91" s="305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52">
        <f ca="1">SUMIF(Application!AH728:AL752,0.2,Application!G728:J752)/Application!G753+SUMIF(Application!AH728:AL752,0.25,Application!G728:J752)/Application!G753+SUMIF(Application!AH728:AL752,0.3,Application!G728:J752)/Application!G753</f>
        <v>0.140625</v>
      </c>
      <c r="F92" s="3053"/>
      <c r="G92" s="3053"/>
      <c r="H92" s="305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52">
        <f ca="1">SUMIF(Application!AH728:AL752,0.35,Application!G728:J752)/Application!G753+SUMIF(Application!AH728:AL752,0.4,Application!G728:J752)/Application!G753+SUMIF(Application!AH728:AL752,0.45,Application!G728:J752)/Application!G753+SUMIF(Application!AH728:AL752,0.5,Application!G728:J752)/Application!G753</f>
        <v>0.109375</v>
      </c>
      <c r="F93" s="3053"/>
      <c r="G93" s="3053"/>
      <c r="H93" s="305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63">
        <f ca="1">IF(AND(E91&lt;=0.6,E92&gt;=0.1,OR(E93&gt;=0.1,E92=1)),20,0)</f>
        <v>20</v>
      </c>
      <c r="F94" s="3064"/>
      <c r="G94" s="3064"/>
      <c r="H94" s="3064"/>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38">
        <f ca="1">MAX(AP83,AP94)</f>
        <v>20</v>
      </c>
      <c r="AL97" s="3039"/>
      <c r="AM97" s="304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23" t="s">
        <v>1584</v>
      </c>
      <c r="AF100" s="3023"/>
      <c r="AG100" s="3023"/>
      <c r="AH100" s="3023"/>
      <c r="AI100" s="3023"/>
      <c r="AJ100" s="3023"/>
      <c r="AK100" s="3023"/>
      <c r="AL100" s="933"/>
      <c r="AM100" s="933"/>
      <c r="AN100" s="929"/>
      <c r="AO100" s="930" t="str">
        <f>Application!B728</f>
        <v>1 Bedroom</v>
      </c>
      <c r="AQ100" s="930">
        <f>Application!O728</f>
        <v>212</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805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1187</v>
      </c>
    </row>
    <row r="103" spans="1:49" s="930" customFormat="1" ht="12.75" customHeight="1">
      <c r="A103" s="933"/>
      <c r="B103" s="3007" t="s">
        <v>578</v>
      </c>
      <c r="C103" s="3007"/>
      <c r="D103" s="940" t="s">
        <v>1585</v>
      </c>
      <c r="E103" s="3046" t="s">
        <v>2385</v>
      </c>
      <c r="F103" s="3047"/>
      <c r="G103" s="3047"/>
      <c r="H103" s="3047"/>
      <c r="I103" s="3047"/>
      <c r="J103" s="3047"/>
      <c r="K103" s="3047"/>
      <c r="L103" s="3047"/>
      <c r="M103" s="3047"/>
      <c r="N103" s="3047"/>
      <c r="O103" s="3047"/>
      <c r="P103" s="3047"/>
      <c r="Q103" s="3047"/>
      <c r="R103" s="3047"/>
      <c r="S103" s="3047"/>
      <c r="T103" s="3047"/>
      <c r="U103" s="3047"/>
      <c r="V103" s="3047"/>
      <c r="W103" s="3047"/>
      <c r="X103" s="3047"/>
      <c r="Y103" s="3047"/>
      <c r="Z103" s="3047"/>
      <c r="AA103" s="3047"/>
      <c r="AB103" s="3047"/>
      <c r="AC103" s="3047"/>
      <c r="AD103" s="3047"/>
      <c r="AE103" s="3047"/>
      <c r="AF103" s="3047"/>
      <c r="AG103" s="3047"/>
      <c r="AH103" s="3047"/>
      <c r="AI103" s="3047"/>
      <c r="AJ103" s="3048"/>
      <c r="AK103" s="933"/>
      <c r="AL103" s="933"/>
      <c r="AM103" s="933"/>
      <c r="AN103" s="929"/>
      <c r="AO103" s="930" t="str">
        <f>Application!B731</f>
        <v>2 Bedrooms</v>
      </c>
      <c r="AQ103" s="930">
        <f>Application!O731</f>
        <v>1410</v>
      </c>
      <c r="AU103" s="930" t="s">
        <v>2363</v>
      </c>
      <c r="AV103" s="1765" t="s">
        <v>2364</v>
      </c>
      <c r="AW103" s="930" t="s">
        <v>2365</v>
      </c>
    </row>
    <row r="104" spans="1:49" s="930" customFormat="1" ht="12.75" customHeight="1">
      <c r="A104" s="933"/>
      <c r="B104" s="932"/>
      <c r="C104" s="932"/>
      <c r="D104" s="932"/>
      <c r="E104" s="3049"/>
      <c r="F104" s="3050"/>
      <c r="G104" s="3050"/>
      <c r="H104" s="3050"/>
      <c r="I104" s="3050"/>
      <c r="J104" s="3050"/>
      <c r="K104" s="3050"/>
      <c r="L104" s="3050"/>
      <c r="M104" s="3050"/>
      <c r="N104" s="3050"/>
      <c r="O104" s="3050"/>
      <c r="P104" s="3050"/>
      <c r="Q104" s="3050"/>
      <c r="R104" s="3050"/>
      <c r="S104" s="3050"/>
      <c r="T104" s="3050"/>
      <c r="U104" s="3050"/>
      <c r="V104" s="3050"/>
      <c r="W104" s="3050"/>
      <c r="X104" s="3050"/>
      <c r="Y104" s="3050"/>
      <c r="Z104" s="3050"/>
      <c r="AA104" s="3050"/>
      <c r="AB104" s="3050"/>
      <c r="AC104" s="3050"/>
      <c r="AD104" s="3050"/>
      <c r="AE104" s="3050"/>
      <c r="AF104" s="3050"/>
      <c r="AG104" s="3050"/>
      <c r="AH104" s="3050"/>
      <c r="AI104" s="3050"/>
      <c r="AJ104" s="3051"/>
      <c r="AK104" s="933"/>
      <c r="AL104" s="933"/>
      <c r="AM104" s="933"/>
      <c r="AN104" s="929"/>
      <c r="AO104" s="930" t="str">
        <f>Application!B732</f>
        <v>1 Bedroom</v>
      </c>
      <c r="AQ104" s="930">
        <f>Application!O732</f>
        <v>1439</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9"/>
      <c r="F105" s="3050"/>
      <c r="G105" s="3050"/>
      <c r="H105" s="3050"/>
      <c r="I105" s="3050"/>
      <c r="J105" s="3050"/>
      <c r="K105" s="3050"/>
      <c r="L105" s="3050"/>
      <c r="M105" s="3050"/>
      <c r="N105" s="3050"/>
      <c r="O105" s="3050"/>
      <c r="P105" s="3050"/>
      <c r="Q105" s="3050"/>
      <c r="R105" s="3050"/>
      <c r="S105" s="3050"/>
      <c r="T105" s="3050"/>
      <c r="U105" s="3050"/>
      <c r="V105" s="3050"/>
      <c r="W105" s="3050"/>
      <c r="X105" s="3050"/>
      <c r="Y105" s="3050"/>
      <c r="Z105" s="3050"/>
      <c r="AA105" s="3050"/>
      <c r="AB105" s="3050"/>
      <c r="AC105" s="3050"/>
      <c r="AD105" s="3050"/>
      <c r="AE105" s="3050"/>
      <c r="AF105" s="3050"/>
      <c r="AG105" s="3050"/>
      <c r="AH105" s="3050"/>
      <c r="AI105" s="3050"/>
      <c r="AJ105" s="3051"/>
      <c r="AK105" s="933"/>
      <c r="AL105" s="933"/>
      <c r="AM105" s="933"/>
      <c r="AN105" s="929"/>
      <c r="AO105" s="930" t="str">
        <f>Application!B733</f>
        <v>2 Bedrooms</v>
      </c>
      <c r="AQ105" s="930">
        <f>Application!O733</f>
        <v>1713</v>
      </c>
      <c r="AU105" s="1768" t="str">
        <f>J112</f>
        <v>1-bedroom</v>
      </c>
      <c r="AV105" s="930">
        <f t="array" ref="AV105">SUM(IF(Application!B728:F752="1 Bedroom",Application!G728:J752))</f>
        <v>52</v>
      </c>
      <c r="AW105" s="1803">
        <f>AV105/AV110</f>
        <v>0.8125</v>
      </c>
    </row>
    <row r="106" spans="1:49" s="930" customFormat="1" ht="12.75" customHeight="1">
      <c r="A106" s="933"/>
      <c r="B106" s="932"/>
      <c r="C106" s="932"/>
      <c r="D106" s="932"/>
      <c r="E106" s="3049"/>
      <c r="F106" s="3050"/>
      <c r="G106" s="3050"/>
      <c r="H106" s="3050"/>
      <c r="I106" s="3050"/>
      <c r="J106" s="3050"/>
      <c r="K106" s="3050"/>
      <c r="L106" s="3050"/>
      <c r="M106" s="3050"/>
      <c r="N106" s="3050"/>
      <c r="O106" s="3050"/>
      <c r="P106" s="3050"/>
      <c r="Q106" s="3050"/>
      <c r="R106" s="3050"/>
      <c r="S106" s="3050"/>
      <c r="T106" s="3050"/>
      <c r="U106" s="3050"/>
      <c r="V106" s="3050"/>
      <c r="W106" s="3050"/>
      <c r="X106" s="3050"/>
      <c r="Y106" s="3050"/>
      <c r="Z106" s="3050"/>
      <c r="AA106" s="3050"/>
      <c r="AB106" s="3050"/>
      <c r="AC106" s="3050"/>
      <c r="AD106" s="3050"/>
      <c r="AE106" s="3050"/>
      <c r="AF106" s="3050"/>
      <c r="AG106" s="3050"/>
      <c r="AH106" s="3050"/>
      <c r="AI106" s="3050"/>
      <c r="AJ106" s="3051"/>
      <c r="AK106" s="933"/>
      <c r="AL106" s="933"/>
      <c r="AM106" s="933"/>
      <c r="AN106" s="929"/>
      <c r="AO106" s="930">
        <f>Application!B734</f>
        <v>0</v>
      </c>
      <c r="AQ106" s="930">
        <f>Application!O734</f>
        <v>0</v>
      </c>
      <c r="AU106" s="1768" t="str">
        <f>O112</f>
        <v>2-bedroom</v>
      </c>
      <c r="AV106" s="930">
        <f t="array" ref="AV106">SUM(IF(Application!B728:F752="2 Bedrooms",Application!G728:J752))</f>
        <v>12</v>
      </c>
      <c r="AW106" s="1803">
        <f>AV106/AV110</f>
        <v>0.1875</v>
      </c>
    </row>
    <row r="107" spans="1:49" s="930" customFormat="1" ht="12.75" customHeight="1">
      <c r="A107" s="933"/>
      <c r="B107" s="932"/>
      <c r="C107" s="932"/>
      <c r="D107" s="932"/>
      <c r="E107" s="3049"/>
      <c r="F107" s="3050"/>
      <c r="G107" s="3050"/>
      <c r="H107" s="3050"/>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50"/>
      <c r="AD107" s="3050"/>
      <c r="AE107" s="3050"/>
      <c r="AF107" s="3050"/>
      <c r="AG107" s="3050"/>
      <c r="AH107" s="3050"/>
      <c r="AI107" s="3050"/>
      <c r="AJ107" s="3051"/>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49"/>
      <c r="F108" s="3050"/>
      <c r="G108" s="3050"/>
      <c r="H108" s="3050"/>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50"/>
      <c r="AD108" s="3050"/>
      <c r="AE108" s="3050"/>
      <c r="AF108" s="3050"/>
      <c r="AG108" s="3050"/>
      <c r="AH108" s="3050"/>
      <c r="AI108" s="3050"/>
      <c r="AJ108" s="3051"/>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9"/>
      <c r="F109" s="3050"/>
      <c r="G109" s="3050"/>
      <c r="H109" s="3050"/>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50"/>
      <c r="AD109" s="3050"/>
      <c r="AE109" s="3050"/>
      <c r="AF109" s="3050"/>
      <c r="AG109" s="3050"/>
      <c r="AH109" s="3050"/>
      <c r="AI109" s="3050"/>
      <c r="AJ109" s="3051"/>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9"/>
      <c r="F110" s="3050"/>
      <c r="G110" s="3050"/>
      <c r="H110" s="3050"/>
      <c r="I110" s="3050"/>
      <c r="J110" s="3050"/>
      <c r="K110" s="3050"/>
      <c r="L110" s="3050"/>
      <c r="M110" s="3050"/>
      <c r="N110" s="3050"/>
      <c r="O110" s="3050"/>
      <c r="P110" s="3050"/>
      <c r="Q110" s="3050"/>
      <c r="R110" s="3050"/>
      <c r="S110" s="3050"/>
      <c r="T110" s="3050"/>
      <c r="U110" s="3050"/>
      <c r="V110" s="3050"/>
      <c r="W110" s="3050"/>
      <c r="X110" s="3050"/>
      <c r="Y110" s="3050"/>
      <c r="Z110" s="3050"/>
      <c r="AA110" s="3050"/>
      <c r="AB110" s="3050"/>
      <c r="AC110" s="3050"/>
      <c r="AD110" s="3050"/>
      <c r="AE110" s="3050"/>
      <c r="AF110" s="3050"/>
      <c r="AG110" s="3050"/>
      <c r="AH110" s="3050"/>
      <c r="AI110" s="3050"/>
      <c r="AJ110" s="3051"/>
      <c r="AK110" s="933"/>
      <c r="AL110" s="933"/>
      <c r="AM110" s="933"/>
      <c r="AN110" s="929"/>
      <c r="AO110" s="930">
        <f>Application!B738</f>
        <v>0</v>
      </c>
      <c r="AQ110" s="930">
        <f>Application!O738</f>
        <v>0</v>
      </c>
      <c r="AV110" s="930">
        <f>SUM(AV104:AV109)</f>
        <v>64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52" t="s">
        <v>1886</v>
      </c>
      <c r="F112" s="3053"/>
      <c r="G112" s="3053"/>
      <c r="H112" s="3053"/>
      <c r="I112" s="1473"/>
      <c r="J112" s="3053" t="s">
        <v>1979</v>
      </c>
      <c r="K112" s="3053"/>
      <c r="L112" s="3053"/>
      <c r="M112" s="3053"/>
      <c r="N112" s="1473"/>
      <c r="O112" s="3053" t="s">
        <v>1980</v>
      </c>
      <c r="P112" s="3053"/>
      <c r="Q112" s="3053"/>
      <c r="R112" s="3053"/>
      <c r="S112" s="1473"/>
      <c r="T112" s="3053" t="s">
        <v>1604</v>
      </c>
      <c r="U112" s="3053"/>
      <c r="V112" s="3053"/>
      <c r="W112" s="3053"/>
      <c r="X112" s="1473"/>
      <c r="Y112" s="3053" t="s">
        <v>1981</v>
      </c>
      <c r="Z112" s="3053"/>
      <c r="AA112" s="3053"/>
      <c r="AB112" s="3053"/>
      <c r="AC112" s="1473"/>
      <c r="AD112" s="3053" t="s">
        <v>1982</v>
      </c>
      <c r="AE112" s="3053"/>
      <c r="AF112" s="3053"/>
      <c r="AG112" s="305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65"/>
      <c r="F115" s="3042"/>
      <c r="G115" s="3042"/>
      <c r="H115" s="3042"/>
      <c r="I115" s="1475"/>
      <c r="J115" s="3042">
        <v>2290</v>
      </c>
      <c r="K115" s="3042"/>
      <c r="L115" s="3042"/>
      <c r="M115" s="3042"/>
      <c r="N115" s="1475"/>
      <c r="O115" s="3042">
        <v>2480</v>
      </c>
      <c r="P115" s="3042"/>
      <c r="Q115" s="3042"/>
      <c r="R115" s="3042"/>
      <c r="S115" s="1475"/>
      <c r="T115" s="3042"/>
      <c r="U115" s="3042"/>
      <c r="V115" s="3042"/>
      <c r="W115" s="3042"/>
      <c r="X115" s="1475"/>
      <c r="Y115" s="3042"/>
      <c r="Z115" s="3042"/>
      <c r="AA115" s="3042"/>
      <c r="AB115" s="3042"/>
      <c r="AC115" s="1475"/>
      <c r="AD115" s="3042"/>
      <c r="AE115" s="3042"/>
      <c r="AF115" s="3042"/>
      <c r="AG115" s="304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43">
        <f>Application!DX663</f>
        <v>0</v>
      </c>
      <c r="F118" s="3001"/>
      <c r="G118" s="3001"/>
      <c r="H118" s="3001"/>
      <c r="I118" s="1475"/>
      <c r="J118" s="3001">
        <f>Application!EC663</f>
        <v>1249.5961538461538</v>
      </c>
      <c r="K118" s="3001"/>
      <c r="L118" s="3001"/>
      <c r="M118" s="3001"/>
      <c r="N118" s="1475"/>
      <c r="O118" s="3001">
        <f>Application!EH663</f>
        <v>1511.1666666666665</v>
      </c>
      <c r="P118" s="3001"/>
      <c r="Q118" s="3001"/>
      <c r="R118" s="3001"/>
      <c r="S118" s="1479"/>
      <c r="T118" s="3001">
        <f>Application!EM663</f>
        <v>0</v>
      </c>
      <c r="U118" s="3001"/>
      <c r="V118" s="3001"/>
      <c r="W118" s="3001"/>
      <c r="X118" s="1479"/>
      <c r="Y118" s="3001">
        <f>Application!ER663</f>
        <v>0</v>
      </c>
      <c r="Z118" s="3001"/>
      <c r="AA118" s="3001"/>
      <c r="AB118" s="3001"/>
      <c r="AC118" s="1479"/>
      <c r="AD118" s="3001">
        <f>Application!EW663</f>
        <v>0</v>
      </c>
      <c r="AE118" s="3001"/>
      <c r="AF118" s="3001"/>
      <c r="AG118" s="300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5" t="e">
        <f>(E115-E118)/E115</f>
        <v>#DIV/0!</v>
      </c>
      <c r="F121" s="3266"/>
      <c r="G121" s="3266"/>
      <c r="H121" s="3267"/>
      <c r="I121" s="971"/>
      <c r="J121" s="3265">
        <f>(J115-J118)/J115</f>
        <v>0.45432482364796778</v>
      </c>
      <c r="K121" s="3266"/>
      <c r="L121" s="3266"/>
      <c r="M121" s="3267"/>
      <c r="N121" s="971"/>
      <c r="O121" s="3265">
        <f>(O115-O118)/O115</f>
        <v>0.39065860215053771</v>
      </c>
      <c r="P121" s="3266"/>
      <c r="Q121" s="3266"/>
      <c r="R121" s="3267"/>
      <c r="S121" s="971"/>
      <c r="T121" s="3265" t="e">
        <f>(T115-T118)/T115</f>
        <v>#DIV/0!</v>
      </c>
      <c r="U121" s="3266"/>
      <c r="V121" s="3266"/>
      <c r="W121" s="3267"/>
      <c r="X121" s="971"/>
      <c r="Y121" s="3265" t="e">
        <f>(Y115-Y118)/Y115</f>
        <v>#DIV/0!</v>
      </c>
      <c r="Z121" s="3266"/>
      <c r="AA121" s="3266"/>
      <c r="AB121" s="3267"/>
      <c r="AC121" s="971"/>
      <c r="AD121" s="3265" t="e">
        <f>(AD115-AD118)/AD115</f>
        <v>#DIV/0!</v>
      </c>
      <c r="AE121" s="3266"/>
      <c r="AF121" s="3266"/>
      <c r="AG121" s="326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8" t="e">
        <f>IF(((E121-0.1)*AW104)&gt;0,((E121-0.1)*AW104),0)</f>
        <v>#DIV/0!</v>
      </c>
      <c r="F124" s="2999"/>
      <c r="G124" s="2999"/>
      <c r="H124" s="3000"/>
      <c r="I124" s="971"/>
      <c r="J124" s="2998">
        <f>IF(((J121-0.1)*AW105)&gt;0,((J121-0.1)*AW105),0)</f>
        <v>0.28788891921397386</v>
      </c>
      <c r="K124" s="2999"/>
      <c r="L124" s="2999"/>
      <c r="M124" s="3000"/>
      <c r="N124" s="971"/>
      <c r="O124" s="2998">
        <f>IF(((O121-0.1)*AW106)&gt;0,((O121-0.1)*AW106),0)</f>
        <v>5.4498487903225826E-2</v>
      </c>
      <c r="P124" s="2999"/>
      <c r="Q124" s="2999"/>
      <c r="R124" s="3000"/>
      <c r="S124" s="971"/>
      <c r="T124" s="2998" t="e">
        <f>IF(((T121-0.1)*AW107)&gt;0,((T121-0.1)*AW107),0)</f>
        <v>#DIV/0!</v>
      </c>
      <c r="U124" s="2999"/>
      <c r="V124" s="2999"/>
      <c r="W124" s="3000"/>
      <c r="X124" s="971"/>
      <c r="Y124" s="2998" t="e">
        <f>IF(((Y121-0.1)*AW108)&gt;0,((Y121-0.1)*AW108),0)</f>
        <v>#DIV/0!</v>
      </c>
      <c r="Z124" s="2999"/>
      <c r="AA124" s="2999"/>
      <c r="AB124" s="3000"/>
      <c r="AC124" s="971"/>
      <c r="AD124" s="2998" t="e">
        <f>IF(((AD121-0.1)*AW109)&gt;0,((AD121-0.1)*AW109),0)</f>
        <v>#DIV/0!</v>
      </c>
      <c r="AE124" s="2999"/>
      <c r="AF124" s="2999"/>
      <c r="AG124" s="300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5">
        <f>ROUNDDOWN(SUMIF(E124:AG124,"&gt;0"),2)</f>
        <v>0.34</v>
      </c>
      <c r="F126" s="3266"/>
      <c r="G126" s="3266"/>
      <c r="H126" s="326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8">
        <f>IF((E126*100)&gt;10,10,E126*100)</f>
        <v>10</v>
      </c>
      <c r="F127" s="3039"/>
      <c r="G127" s="3039"/>
      <c r="H127" s="304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38">
        <f>E127</f>
        <v>10</v>
      </c>
      <c r="AL131" s="3039"/>
      <c r="AM131" s="304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23" t="s">
        <v>1584</v>
      </c>
      <c r="AF134" s="3023"/>
      <c r="AG134" s="3023"/>
      <c r="AH134" s="3023"/>
      <c r="AI134" s="3023"/>
      <c r="AJ134" s="3023"/>
      <c r="AK134" s="3023"/>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1" t="s">
        <v>1608</v>
      </c>
      <c r="AG136" s="3061"/>
      <c r="AH136" s="3061"/>
      <c r="AI136" s="3061"/>
      <c r="AJ136" s="3061"/>
      <c r="AK136" s="3061"/>
      <c r="AL136" s="306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62" t="s">
        <v>2527</v>
      </c>
      <c r="C138" s="3062"/>
      <c r="D138" s="3062"/>
      <c r="E138" s="3062"/>
      <c r="F138" s="3062"/>
      <c r="G138" s="3062"/>
      <c r="H138" s="3062"/>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6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78" t="s">
        <v>1611</v>
      </c>
      <c r="C141" s="3078"/>
      <c r="D141" s="3078"/>
      <c r="E141" s="3078"/>
      <c r="F141" s="3078"/>
      <c r="G141" s="3078"/>
      <c r="H141" s="3078"/>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78"/>
      <c r="AD141" s="3078"/>
      <c r="AE141" s="3078"/>
      <c r="AF141" s="3078"/>
      <c r="AG141" s="3078"/>
      <c r="AH141" s="3078"/>
      <c r="AI141" s="3078"/>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79" t="s">
        <v>626</v>
      </c>
      <c r="AC143" s="307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78" t="s">
        <v>1613</v>
      </c>
      <c r="C146" s="3078"/>
      <c r="D146" s="3078"/>
      <c r="E146" s="3078"/>
      <c r="F146" s="3078"/>
      <c r="G146" s="3078"/>
      <c r="H146" s="3078"/>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78"/>
      <c r="AD146" s="3078"/>
      <c r="AE146" s="3078"/>
      <c r="AF146" s="3078"/>
      <c r="AG146" s="3078"/>
      <c r="AH146" s="3078"/>
      <c r="AI146" s="3078"/>
      <c r="AJ146" s="3078"/>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81">
        <f>IF($AB$143="N/A",VLOOKUP($B$141,$AO$139:$AP$142,2,FALSE),VLOOKUP($B$146,$AO$144:$AP$147,2,FALSE))</f>
        <v>7</v>
      </c>
      <c r="AK149" s="308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1" t="s">
        <v>1622</v>
      </c>
      <c r="AG151" s="3061"/>
      <c r="AH151" s="3061"/>
      <c r="AI151" s="3061"/>
      <c r="AJ151" s="3061"/>
      <c r="AK151" s="3061"/>
      <c r="AL151" s="306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8" t="s">
        <v>1620</v>
      </c>
      <c r="D153" s="3078"/>
      <c r="E153" s="3078"/>
      <c r="F153" s="3078"/>
      <c r="G153" s="3078"/>
      <c r="H153" s="3078"/>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78"/>
      <c r="AD153" s="3078"/>
      <c r="AE153" s="3078"/>
      <c r="AF153" s="3078"/>
      <c r="AG153" s="3078"/>
      <c r="AH153" s="3078"/>
      <c r="AI153" s="3078"/>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9" t="s">
        <v>626</v>
      </c>
      <c r="AD155" s="307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78" t="s">
        <v>1613</v>
      </c>
      <c r="D157" s="3078"/>
      <c r="E157" s="3078"/>
      <c r="F157" s="3078"/>
      <c r="G157" s="3078"/>
      <c r="H157" s="3078"/>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78"/>
      <c r="AD157" s="307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62" t="s">
        <v>2573</v>
      </c>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c r="AD161" s="3062"/>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80">
        <f>IF($AC$155="N/A",VLOOKUP($C$153,$AO$153:$AP$156,2,FALSE),VLOOKUP($C$157,$AO$160:$AP$162,2,FALSE))</f>
        <v>3</v>
      </c>
      <c r="AK163" s="308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38">
        <f>$AJ$149+$AJ$163</f>
        <v>10</v>
      </c>
      <c r="AL166" s="3039"/>
      <c r="AM166" s="304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5" t="s">
        <v>1584</v>
      </c>
      <c r="AF169" s="3075"/>
      <c r="AG169" s="3075"/>
      <c r="AH169" s="3075"/>
      <c r="AI169" s="3075"/>
      <c r="AJ169" s="3075"/>
      <c r="AK169" s="3075"/>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76" t="s">
        <v>1632</v>
      </c>
      <c r="C171" s="3076"/>
      <c r="D171" s="3076"/>
      <c r="E171" s="3076"/>
      <c r="F171" s="3076"/>
      <c r="G171" s="3076"/>
      <c r="H171" s="3076"/>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6"/>
      <c r="AD171" s="1023"/>
      <c r="AE171" s="1023"/>
      <c r="AF171" s="3061" t="s">
        <v>1633</v>
      </c>
      <c r="AG171" s="3061"/>
      <c r="AH171" s="3061"/>
      <c r="AI171" s="3061"/>
      <c r="AJ171" s="3061"/>
      <c r="AK171" s="3061"/>
      <c r="AL171" s="3061"/>
      <c r="AN171" s="1000"/>
      <c r="AP171" s="943" t="s">
        <v>1156</v>
      </c>
      <c r="AQ171" s="943">
        <v>10</v>
      </c>
    </row>
    <row r="172" spans="1:81" s="943" customFormat="1" ht="12.75" customHeight="1">
      <c r="A172" s="927"/>
      <c r="B172" s="3077" t="s">
        <v>2224</v>
      </c>
      <c r="C172" s="3077"/>
      <c r="D172" s="3077"/>
      <c r="E172" s="3077"/>
      <c r="F172" s="3077"/>
      <c r="G172" s="3077"/>
      <c r="H172" s="3077"/>
      <c r="I172" s="3077"/>
      <c r="J172" s="3077"/>
      <c r="K172" s="3077"/>
      <c r="L172" s="3077"/>
      <c r="M172" s="3077"/>
      <c r="N172" s="3077"/>
      <c r="O172" s="3077"/>
      <c r="P172" s="3077"/>
      <c r="Q172" s="3077"/>
      <c r="R172" s="3077"/>
      <c r="S172" s="3077"/>
      <c r="T172" s="3062" t="s">
        <v>626</v>
      </c>
      <c r="U172" s="3062"/>
      <c r="V172" s="3062"/>
      <c r="W172" s="3062"/>
      <c r="X172" s="3062"/>
      <c r="Y172" s="3062"/>
      <c r="Z172" s="3062"/>
      <c r="AA172" s="3062"/>
      <c r="AB172" s="3062"/>
      <c r="AC172" s="3062"/>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85">
        <f>IF(AK72&gt;0,VLOOKUP($B$171,AP168:AQ175,2,FALSE),0)</f>
        <v>10</v>
      </c>
      <c r="AL174" s="3086"/>
      <c r="AM174" s="308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5" t="s">
        <v>1642</v>
      </c>
      <c r="AF177" s="3075"/>
      <c r="AG177" s="3075"/>
      <c r="AH177" s="3075"/>
      <c r="AI177" s="3075"/>
      <c r="AJ177" s="3075"/>
      <c r="AK177" s="3075"/>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7" t="s">
        <v>2615</v>
      </c>
      <c r="C182" s="3067"/>
      <c r="D182" s="3067"/>
      <c r="E182" s="3067"/>
      <c r="F182" s="3067"/>
      <c r="G182" s="3067"/>
      <c r="H182" s="3067"/>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1397"/>
      <c r="AD182" s="3070">
        <v>1192320</v>
      </c>
      <c r="AE182" s="3070"/>
      <c r="AF182" s="3070"/>
      <c r="AG182" s="3070"/>
      <c r="AH182" s="3070"/>
      <c r="AI182" s="3070"/>
      <c r="AJ182" s="3070"/>
      <c r="AK182" s="1024"/>
    </row>
    <row r="183" spans="1:37">
      <c r="A183" s="1016"/>
      <c r="B183" s="3067" t="s">
        <v>2616</v>
      </c>
      <c r="C183" s="3067"/>
      <c r="D183" s="3067"/>
      <c r="E183" s="3067"/>
      <c r="F183" s="3067"/>
      <c r="G183" s="3067"/>
      <c r="H183" s="3067"/>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1397"/>
      <c r="AD183" s="3070">
        <v>2760000</v>
      </c>
      <c r="AE183" s="3070"/>
      <c r="AF183" s="3070"/>
      <c r="AG183" s="3070"/>
      <c r="AH183" s="3070"/>
      <c r="AI183" s="3070"/>
      <c r="AJ183" s="3070"/>
      <c r="AK183" s="1024"/>
    </row>
    <row r="184" spans="1:37">
      <c r="A184" s="1016"/>
      <c r="B184" s="3067"/>
      <c r="C184" s="3067"/>
      <c r="D184" s="3067"/>
      <c r="E184" s="3067"/>
      <c r="F184" s="3067"/>
      <c r="G184" s="3067"/>
      <c r="H184" s="3067"/>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1397"/>
      <c r="AD184" s="3070"/>
      <c r="AE184" s="3070"/>
      <c r="AF184" s="3070"/>
      <c r="AG184" s="3070"/>
      <c r="AH184" s="3070"/>
      <c r="AI184" s="3070"/>
      <c r="AJ184" s="3070"/>
      <c r="AK184" s="1024"/>
    </row>
    <row r="185" spans="1:37">
      <c r="A185" s="1016"/>
      <c r="B185" s="3067"/>
      <c r="C185" s="3067"/>
      <c r="D185" s="3067"/>
      <c r="E185" s="3067"/>
      <c r="F185" s="3067"/>
      <c r="G185" s="3067"/>
      <c r="H185" s="3067"/>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1397"/>
      <c r="AD185" s="3070"/>
      <c r="AE185" s="3070"/>
      <c r="AF185" s="3070"/>
      <c r="AG185" s="3070"/>
      <c r="AH185" s="3070"/>
      <c r="AI185" s="3070"/>
      <c r="AJ185" s="3070"/>
      <c r="AK185" s="1024"/>
    </row>
    <row r="186" spans="1:37">
      <c r="A186" s="1016"/>
      <c r="B186" s="3067"/>
      <c r="C186" s="3067"/>
      <c r="D186" s="3067"/>
      <c r="E186" s="3067"/>
      <c r="F186" s="3067"/>
      <c r="G186" s="3067"/>
      <c r="H186" s="3067"/>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1397"/>
      <c r="AD186" s="3070"/>
      <c r="AE186" s="3070"/>
      <c r="AF186" s="3070"/>
      <c r="AG186" s="3070"/>
      <c r="AH186" s="3070"/>
      <c r="AI186" s="3070"/>
      <c r="AJ186" s="3070"/>
      <c r="AK186" s="1024"/>
    </row>
    <row r="187" spans="1:37">
      <c r="A187" s="1016"/>
      <c r="B187" s="3067"/>
      <c r="C187" s="3067"/>
      <c r="D187" s="3067"/>
      <c r="E187" s="3067"/>
      <c r="F187" s="3067"/>
      <c r="G187" s="3067"/>
      <c r="H187" s="3067"/>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1397"/>
      <c r="AD187" s="3070"/>
      <c r="AE187" s="3070"/>
      <c r="AF187" s="3070"/>
      <c r="AG187" s="3070"/>
      <c r="AH187" s="3070"/>
      <c r="AI187" s="3070"/>
      <c r="AJ187" s="3070"/>
      <c r="AK187" s="1024"/>
    </row>
    <row r="188" spans="1:37">
      <c r="A188" s="1016"/>
      <c r="B188" s="3067"/>
      <c r="C188" s="3067"/>
      <c r="D188" s="3067"/>
      <c r="E188" s="3067"/>
      <c r="F188" s="3067"/>
      <c r="G188" s="3067"/>
      <c r="H188" s="3067"/>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1397"/>
      <c r="AD188" s="3070"/>
      <c r="AE188" s="3070"/>
      <c r="AF188" s="3070"/>
      <c r="AG188" s="3070"/>
      <c r="AH188" s="3070"/>
      <c r="AI188" s="3070"/>
      <c r="AJ188" s="3070"/>
      <c r="AK188" s="1024"/>
    </row>
    <row r="189" spans="1:37">
      <c r="A189" s="1016"/>
      <c r="B189" s="3067"/>
      <c r="C189" s="3067"/>
      <c r="D189" s="3067"/>
      <c r="E189" s="3067"/>
      <c r="F189" s="3067"/>
      <c r="G189" s="3067"/>
      <c r="H189" s="3067"/>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1397"/>
      <c r="AD189" s="3070"/>
      <c r="AE189" s="3070"/>
      <c r="AF189" s="3070"/>
      <c r="AG189" s="3070"/>
      <c r="AH189" s="3070"/>
      <c r="AI189" s="3070"/>
      <c r="AJ189" s="3070"/>
      <c r="AK189" s="1024"/>
    </row>
    <row r="190" spans="1:37">
      <c r="A190" s="1016"/>
      <c r="B190" s="3067"/>
      <c r="C190" s="3067"/>
      <c r="D190" s="3067"/>
      <c r="E190" s="3067"/>
      <c r="F190" s="3067"/>
      <c r="G190" s="3067"/>
      <c r="H190" s="3067"/>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1397"/>
      <c r="AD190" s="3070"/>
      <c r="AE190" s="3070"/>
      <c r="AF190" s="3070"/>
      <c r="AG190" s="3070"/>
      <c r="AH190" s="3070"/>
      <c r="AI190" s="3070"/>
      <c r="AJ190" s="3070"/>
      <c r="AK190" s="1024"/>
    </row>
    <row r="191" spans="1:37">
      <c r="A191" s="1016"/>
      <c r="B191" s="3067"/>
      <c r="C191" s="3067"/>
      <c r="D191" s="3067"/>
      <c r="E191" s="3067"/>
      <c r="F191" s="3067"/>
      <c r="G191" s="3067"/>
      <c r="H191" s="3067"/>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1397"/>
      <c r="AD191" s="3070"/>
      <c r="AE191" s="3070"/>
      <c r="AF191" s="3070"/>
      <c r="AG191" s="3070"/>
      <c r="AH191" s="3070"/>
      <c r="AI191" s="3070"/>
      <c r="AJ191" s="3070"/>
      <c r="AK191" s="1024"/>
    </row>
    <row r="192" spans="1:37">
      <c r="A192" s="1016"/>
      <c r="B192" s="3235" t="s">
        <v>1930</v>
      </c>
      <c r="C192" s="3235"/>
      <c r="D192" s="3235"/>
      <c r="E192" s="3235"/>
      <c r="F192" s="3235"/>
      <c r="G192" s="3235"/>
      <c r="H192" s="3235"/>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927"/>
      <c r="AD192" s="3092">
        <f>AB243</f>
        <v>0</v>
      </c>
      <c r="AE192" s="3092"/>
      <c r="AF192" s="3092"/>
      <c r="AG192" s="3092"/>
      <c r="AH192" s="3092"/>
      <c r="AI192" s="3092"/>
      <c r="AJ192" s="3092"/>
      <c r="AK192" s="1024"/>
    </row>
    <row r="193" spans="1:37">
      <c r="A193" s="1016"/>
      <c r="B193" s="3233" t="s">
        <v>1893</v>
      </c>
      <c r="C193" s="3233"/>
      <c r="D193" s="3233"/>
      <c r="E193" s="3233"/>
      <c r="F193" s="3233"/>
      <c r="G193" s="3233"/>
      <c r="H193" s="3233"/>
      <c r="I193" s="3233"/>
      <c r="J193" s="3233"/>
      <c r="K193" s="3233"/>
      <c r="L193" s="3233"/>
      <c r="M193" s="3233"/>
      <c r="N193" s="3233"/>
      <c r="O193" s="3233"/>
      <c r="P193" s="3233"/>
      <c r="Q193" s="3233"/>
      <c r="R193" s="3233"/>
      <c r="S193" s="3233"/>
      <c r="T193" s="3233"/>
      <c r="U193" s="3233"/>
      <c r="V193" s="3233"/>
      <c r="W193" s="3233"/>
      <c r="X193" s="3233"/>
      <c r="Y193" s="3233"/>
      <c r="Z193" s="3233"/>
      <c r="AA193" s="3233"/>
      <c r="AB193" s="3233"/>
      <c r="AC193" s="1397"/>
      <c r="AD193" s="3093">
        <f>'Sources and Uses Budget'!B15</f>
        <v>0</v>
      </c>
      <c r="AE193" s="3093"/>
      <c r="AF193" s="3093"/>
      <c r="AG193" s="3093"/>
      <c r="AH193" s="3093"/>
      <c r="AI193" s="3093"/>
      <c r="AJ193" s="3093"/>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97">
        <f>SUM(AD182:AJ192)-AD193</f>
        <v>3952320</v>
      </c>
      <c r="AE194" s="3097"/>
      <c r="AF194" s="3097"/>
      <c r="AG194" s="3097"/>
      <c r="AH194" s="3097"/>
      <c r="AI194" s="3097"/>
      <c r="AJ194" s="30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73" t="s">
        <v>1910</v>
      </c>
      <c r="J205" s="3073"/>
      <c r="K205" s="3073"/>
      <c r="L205" s="991"/>
      <c r="M205" s="991"/>
      <c r="N205" s="991"/>
      <c r="O205" s="991"/>
      <c r="P205" s="991"/>
      <c r="Q205" s="991"/>
      <c r="R205" s="991"/>
      <c r="S205" s="991"/>
      <c r="T205" s="3269" t="s">
        <v>1904</v>
      </c>
      <c r="U205" s="3269"/>
      <c r="V205" s="3269"/>
      <c r="W205" s="3269"/>
      <c r="X205" s="3269"/>
      <c r="Y205" s="3269"/>
      <c r="Z205" s="1401"/>
      <c r="AA205" s="1402"/>
      <c r="AB205" s="3066" t="s">
        <v>1905</v>
      </c>
      <c r="AC205" s="3066"/>
      <c r="AD205" s="3066"/>
      <c r="AE205" s="3066"/>
      <c r="AF205" s="3066"/>
      <c r="AG205" s="3066"/>
      <c r="AH205" s="1371"/>
      <c r="AI205" s="1371"/>
      <c r="AJ205" s="1371"/>
      <c r="AK205" s="1024"/>
    </row>
    <row r="206" spans="1:37">
      <c r="A206" s="1016"/>
      <c r="B206" s="3071" t="s">
        <v>1883</v>
      </c>
      <c r="C206" s="3071"/>
      <c r="D206" s="3071"/>
      <c r="E206" s="3071"/>
      <c r="F206" s="3071"/>
      <c r="G206" s="3071"/>
      <c r="I206" s="3072" t="s">
        <v>1911</v>
      </c>
      <c r="J206" s="3072"/>
      <c r="K206" s="3072"/>
      <c r="L206" s="1799"/>
      <c r="N206" s="3059" t="s">
        <v>1906</v>
      </c>
      <c r="O206" s="3059"/>
      <c r="P206" s="3059"/>
      <c r="Q206" s="3059"/>
      <c r="R206" s="3059"/>
      <c r="T206" s="3059" t="s">
        <v>1907</v>
      </c>
      <c r="U206" s="3059"/>
      <c r="V206" s="3059"/>
      <c r="W206" s="3059"/>
      <c r="X206" s="3059"/>
      <c r="Y206" s="3059"/>
      <c r="Z206" s="1403"/>
      <c r="AA206" s="1402"/>
      <c r="AB206" s="3236" t="s">
        <v>1908</v>
      </c>
      <c r="AC206" s="3236"/>
      <c r="AD206" s="3236"/>
      <c r="AE206" s="3236"/>
      <c r="AF206" s="3236"/>
      <c r="AG206" s="3236"/>
      <c r="AH206" s="1371"/>
      <c r="AI206" s="1371"/>
      <c r="AJ206" s="1371"/>
      <c r="AK206" s="1024"/>
    </row>
    <row r="207" spans="1:37">
      <c r="A207" s="1016"/>
      <c r="B207" s="3074" t="s">
        <v>1383</v>
      </c>
      <c r="C207" s="3074"/>
      <c r="D207" s="3074"/>
      <c r="E207" s="3074"/>
      <c r="F207" s="3074"/>
      <c r="G207" s="3074"/>
      <c r="H207" s="1405"/>
      <c r="I207" s="3057"/>
      <c r="J207" s="3057"/>
      <c r="K207" s="3057"/>
      <c r="L207" s="1799"/>
      <c r="N207" s="3060"/>
      <c r="O207" s="3060"/>
      <c r="P207" s="3060"/>
      <c r="Q207" s="3060"/>
      <c r="R207" s="3060"/>
      <c r="T207" s="3234"/>
      <c r="U207" s="3234"/>
      <c r="V207" s="3234"/>
      <c r="W207" s="3234"/>
      <c r="X207" s="3234"/>
      <c r="Y207" s="3234"/>
      <c r="Z207" s="1404"/>
      <c r="AA207" s="1404"/>
      <c r="AB207" s="3056">
        <f t="shared" ref="AB207:AB216" si="0">MAX(($T207-$N207)*$I207*12,0)</f>
        <v>0</v>
      </c>
      <c r="AC207" s="3056"/>
      <c r="AD207" s="3056"/>
      <c r="AE207" s="3056"/>
      <c r="AF207" s="3056"/>
      <c r="AG207" s="3056"/>
      <c r="AH207" s="1371"/>
      <c r="AI207" s="1371"/>
      <c r="AJ207" s="1371"/>
      <c r="AK207" s="1024"/>
    </row>
    <row r="208" spans="1:37">
      <c r="A208" s="1016"/>
      <c r="B208" s="3074" t="s">
        <v>1383</v>
      </c>
      <c r="C208" s="3074"/>
      <c r="D208" s="3074"/>
      <c r="E208" s="3074"/>
      <c r="F208" s="3074"/>
      <c r="G208" s="3074"/>
      <c r="I208" s="3057"/>
      <c r="J208" s="3057"/>
      <c r="K208" s="3057"/>
      <c r="L208" s="1799"/>
      <c r="N208" s="3060"/>
      <c r="O208" s="3060"/>
      <c r="P208" s="3060"/>
      <c r="Q208" s="3060"/>
      <c r="R208" s="3060"/>
      <c r="T208" s="3234"/>
      <c r="U208" s="3234"/>
      <c r="V208" s="3234"/>
      <c r="W208" s="3234"/>
      <c r="X208" s="3234"/>
      <c r="Y208" s="3234"/>
      <c r="Z208" s="1404"/>
      <c r="AA208" s="1404"/>
      <c r="AB208" s="3056">
        <f t="shared" si="0"/>
        <v>0</v>
      </c>
      <c r="AC208" s="3056"/>
      <c r="AD208" s="3056"/>
      <c r="AE208" s="3056"/>
      <c r="AF208" s="3056"/>
      <c r="AG208" s="3056"/>
      <c r="AH208" s="1371"/>
      <c r="AI208" s="1371"/>
      <c r="AJ208" s="1371"/>
      <c r="AK208" s="1024"/>
    </row>
    <row r="209" spans="1:37">
      <c r="A209" s="1016"/>
      <c r="B209" s="3074" t="s">
        <v>1383</v>
      </c>
      <c r="C209" s="3074"/>
      <c r="D209" s="3074"/>
      <c r="E209" s="3074"/>
      <c r="F209" s="3074"/>
      <c r="G209" s="3074"/>
      <c r="I209" s="3057"/>
      <c r="J209" s="3057"/>
      <c r="K209" s="3057"/>
      <c r="L209" s="1799"/>
      <c r="N209" s="3060"/>
      <c r="O209" s="3060"/>
      <c r="P209" s="3060"/>
      <c r="Q209" s="3060"/>
      <c r="R209" s="3060"/>
      <c r="T209" s="3234"/>
      <c r="U209" s="3234"/>
      <c r="V209" s="3234"/>
      <c r="W209" s="3234"/>
      <c r="X209" s="3234"/>
      <c r="Y209" s="3234"/>
      <c r="Z209" s="1404"/>
      <c r="AA209" s="1404"/>
      <c r="AB209" s="3056">
        <f t="shared" si="0"/>
        <v>0</v>
      </c>
      <c r="AC209" s="3056"/>
      <c r="AD209" s="3056"/>
      <c r="AE209" s="3056"/>
      <c r="AF209" s="3056"/>
      <c r="AG209" s="3056"/>
      <c r="AH209" s="1371"/>
      <c r="AI209" s="1371"/>
      <c r="AJ209" s="1371"/>
      <c r="AK209" s="1024"/>
    </row>
    <row r="210" spans="1:37">
      <c r="A210" s="1016"/>
      <c r="B210" s="3074" t="s">
        <v>1383</v>
      </c>
      <c r="C210" s="3074"/>
      <c r="D210" s="3074"/>
      <c r="E210" s="3074"/>
      <c r="F210" s="3074"/>
      <c r="G210" s="3074"/>
      <c r="I210" s="3057"/>
      <c r="J210" s="3057"/>
      <c r="K210" s="3057"/>
      <c r="L210" s="1799"/>
      <c r="N210" s="3060"/>
      <c r="O210" s="3060"/>
      <c r="P210" s="3060"/>
      <c r="Q210" s="3060"/>
      <c r="R210" s="3060"/>
      <c r="T210" s="3234"/>
      <c r="U210" s="3234"/>
      <c r="V210" s="3234"/>
      <c r="W210" s="3234"/>
      <c r="X210" s="3234"/>
      <c r="Y210" s="3234"/>
      <c r="Z210" s="1404"/>
      <c r="AA210" s="1404"/>
      <c r="AB210" s="3056">
        <f t="shared" si="0"/>
        <v>0</v>
      </c>
      <c r="AC210" s="3056"/>
      <c r="AD210" s="3056"/>
      <c r="AE210" s="3056"/>
      <c r="AF210" s="3056"/>
      <c r="AG210" s="3056"/>
      <c r="AH210" s="1371"/>
      <c r="AI210" s="1371"/>
      <c r="AJ210" s="1371"/>
      <c r="AK210" s="1024"/>
    </row>
    <row r="211" spans="1:37">
      <c r="A211" s="1016"/>
      <c r="B211" s="3074" t="s">
        <v>1383</v>
      </c>
      <c r="C211" s="3074"/>
      <c r="D211" s="3074"/>
      <c r="E211" s="3074"/>
      <c r="F211" s="3074"/>
      <c r="G211" s="3074"/>
      <c r="I211" s="3057"/>
      <c r="J211" s="3057"/>
      <c r="K211" s="3057"/>
      <c r="L211" s="1811"/>
      <c r="N211" s="3060"/>
      <c r="O211" s="3060"/>
      <c r="P211" s="3060"/>
      <c r="Q211" s="3060"/>
      <c r="R211" s="3060"/>
      <c r="T211" s="3234"/>
      <c r="U211" s="3234"/>
      <c r="V211" s="3234"/>
      <c r="W211" s="3234"/>
      <c r="X211" s="3234"/>
      <c r="Y211" s="3234"/>
      <c r="Z211" s="1404"/>
      <c r="AA211" s="1404"/>
      <c r="AB211" s="3056">
        <f t="shared" si="0"/>
        <v>0</v>
      </c>
      <c r="AC211" s="3056"/>
      <c r="AD211" s="3056"/>
      <c r="AE211" s="3056"/>
      <c r="AF211" s="3056"/>
      <c r="AG211" s="3056"/>
      <c r="AH211" s="1371"/>
      <c r="AI211" s="1371"/>
      <c r="AJ211" s="1371"/>
      <c r="AK211" s="1024"/>
    </row>
    <row r="212" spans="1:37">
      <c r="A212" s="1016"/>
      <c r="B212" s="3074" t="s">
        <v>1383</v>
      </c>
      <c r="C212" s="3074"/>
      <c r="D212" s="3074"/>
      <c r="E212" s="3074"/>
      <c r="F212" s="3074"/>
      <c r="G212" s="3074"/>
      <c r="I212" s="3057"/>
      <c r="J212" s="3057"/>
      <c r="K212" s="3057"/>
      <c r="L212" s="1811"/>
      <c r="N212" s="3060"/>
      <c r="O212" s="3060"/>
      <c r="P212" s="3060"/>
      <c r="Q212" s="3060"/>
      <c r="R212" s="3060"/>
      <c r="T212" s="3234"/>
      <c r="U212" s="3234"/>
      <c r="V212" s="3234"/>
      <c r="W212" s="3234"/>
      <c r="X212" s="3234"/>
      <c r="Y212" s="3234"/>
      <c r="Z212" s="1404"/>
      <c r="AA212" s="1404"/>
      <c r="AB212" s="3056">
        <f t="shared" si="0"/>
        <v>0</v>
      </c>
      <c r="AC212" s="3056"/>
      <c r="AD212" s="3056"/>
      <c r="AE212" s="3056"/>
      <c r="AF212" s="3056"/>
      <c r="AG212" s="3056"/>
      <c r="AH212" s="1371"/>
      <c r="AI212" s="1371"/>
      <c r="AJ212" s="1371"/>
      <c r="AK212" s="1024"/>
    </row>
    <row r="213" spans="1:37">
      <c r="A213" s="1016"/>
      <c r="B213" s="3074" t="s">
        <v>1383</v>
      </c>
      <c r="C213" s="3074"/>
      <c r="D213" s="3074"/>
      <c r="E213" s="3074"/>
      <c r="F213" s="3074"/>
      <c r="G213" s="3074"/>
      <c r="I213" s="3057"/>
      <c r="J213" s="3057"/>
      <c r="K213" s="3057"/>
      <c r="L213" s="1811"/>
      <c r="N213" s="3060"/>
      <c r="O213" s="3060"/>
      <c r="P213" s="3060"/>
      <c r="Q213" s="3060"/>
      <c r="R213" s="3060"/>
      <c r="T213" s="3234"/>
      <c r="U213" s="3234"/>
      <c r="V213" s="3234"/>
      <c r="W213" s="3234"/>
      <c r="X213" s="3234"/>
      <c r="Y213" s="3234"/>
      <c r="Z213" s="1404"/>
      <c r="AA213" s="1404"/>
      <c r="AB213" s="3056">
        <f t="shared" si="0"/>
        <v>0</v>
      </c>
      <c r="AC213" s="3056"/>
      <c r="AD213" s="3056"/>
      <c r="AE213" s="3056"/>
      <c r="AF213" s="3056"/>
      <c r="AG213" s="3056"/>
      <c r="AH213" s="1371"/>
      <c r="AI213" s="1371"/>
      <c r="AJ213" s="1371"/>
      <c r="AK213" s="1024"/>
    </row>
    <row r="214" spans="1:37">
      <c r="A214" s="1016"/>
      <c r="B214" s="3074" t="s">
        <v>1383</v>
      </c>
      <c r="C214" s="3074"/>
      <c r="D214" s="3074"/>
      <c r="E214" s="3074"/>
      <c r="F214" s="3074"/>
      <c r="G214" s="3074"/>
      <c r="I214" s="3057"/>
      <c r="J214" s="3057"/>
      <c r="K214" s="3057"/>
      <c r="L214" s="1811"/>
      <c r="N214" s="3060"/>
      <c r="O214" s="3060"/>
      <c r="P214" s="3060"/>
      <c r="Q214" s="3060"/>
      <c r="R214" s="3060"/>
      <c r="T214" s="3234"/>
      <c r="U214" s="3234"/>
      <c r="V214" s="3234"/>
      <c r="W214" s="3234"/>
      <c r="X214" s="3234"/>
      <c r="Y214" s="3234"/>
      <c r="Z214" s="1404"/>
      <c r="AA214" s="1404"/>
      <c r="AB214" s="3056">
        <f t="shared" si="0"/>
        <v>0</v>
      </c>
      <c r="AC214" s="3056"/>
      <c r="AD214" s="3056"/>
      <c r="AE214" s="3056"/>
      <c r="AF214" s="3056"/>
      <c r="AG214" s="3056"/>
      <c r="AH214" s="1371"/>
      <c r="AI214" s="1371"/>
      <c r="AJ214" s="1371"/>
      <c r="AK214" s="1024"/>
    </row>
    <row r="215" spans="1:37">
      <c r="A215" s="1016"/>
      <c r="B215" s="3074" t="s">
        <v>1383</v>
      </c>
      <c r="C215" s="3074"/>
      <c r="D215" s="3074"/>
      <c r="E215" s="3074"/>
      <c r="F215" s="3074"/>
      <c r="G215" s="3074"/>
      <c r="I215" s="3057"/>
      <c r="J215" s="3057"/>
      <c r="K215" s="3057"/>
      <c r="L215" s="1811"/>
      <c r="N215" s="3060"/>
      <c r="O215" s="3060"/>
      <c r="P215" s="3060"/>
      <c r="Q215" s="3060"/>
      <c r="R215" s="3060"/>
      <c r="T215" s="3234"/>
      <c r="U215" s="3234"/>
      <c r="V215" s="3234"/>
      <c r="W215" s="3234"/>
      <c r="X215" s="3234"/>
      <c r="Y215" s="3234"/>
      <c r="Z215" s="1404"/>
      <c r="AA215" s="1404"/>
      <c r="AB215" s="3056">
        <f t="shared" si="0"/>
        <v>0</v>
      </c>
      <c r="AC215" s="3056"/>
      <c r="AD215" s="3056"/>
      <c r="AE215" s="3056"/>
      <c r="AF215" s="3056"/>
      <c r="AG215" s="3056"/>
      <c r="AH215" s="1371"/>
      <c r="AI215" s="1371"/>
      <c r="AJ215" s="1371"/>
      <c r="AK215" s="1024"/>
    </row>
    <row r="216" spans="1:37">
      <c r="A216" s="1016"/>
      <c r="B216" s="3074" t="s">
        <v>1383</v>
      </c>
      <c r="C216" s="3074"/>
      <c r="D216" s="3074"/>
      <c r="E216" s="3074"/>
      <c r="F216" s="3074"/>
      <c r="G216" s="3074"/>
      <c r="I216" s="3058"/>
      <c r="J216" s="3058"/>
      <c r="K216" s="3058"/>
      <c r="L216" s="1811"/>
      <c r="N216" s="3060"/>
      <c r="O216" s="3060"/>
      <c r="P216" s="3060"/>
      <c r="Q216" s="3060"/>
      <c r="R216" s="3060"/>
      <c r="T216" s="3234"/>
      <c r="U216" s="3234"/>
      <c r="V216" s="3234"/>
      <c r="W216" s="3234"/>
      <c r="X216" s="3234"/>
      <c r="Y216" s="3234"/>
      <c r="Z216" s="1404"/>
      <c r="AA216" s="1404"/>
      <c r="AB216" s="3244">
        <f t="shared" si="0"/>
        <v>0</v>
      </c>
      <c r="AC216" s="3244"/>
      <c r="AD216" s="3244"/>
      <c r="AE216" s="3244"/>
      <c r="AF216" s="3244"/>
      <c r="AG216" s="324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56">
        <f>SUM(AB207:AB216)</f>
        <v>0</v>
      </c>
      <c r="AC217" s="3056"/>
      <c r="AD217" s="3056"/>
      <c r="AE217" s="3056"/>
      <c r="AF217" s="3056"/>
      <c r="AG217" s="305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7"/>
      <c r="AC223" s="3237"/>
      <c r="AD223" s="3237"/>
      <c r="AE223" s="3237"/>
      <c r="AF223" s="3237"/>
      <c r="AG223" s="3237"/>
      <c r="AH223" s="1024"/>
      <c r="AI223" s="1024"/>
      <c r="AJ223" s="1024"/>
      <c r="AK223" s="1024"/>
    </row>
    <row r="224" spans="1:37" ht="13">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7"/>
      <c r="AC226" s="3237"/>
      <c r="AD226" s="3237"/>
      <c r="AE226" s="3237"/>
      <c r="AF226" s="3237"/>
      <c r="AG226" s="3237"/>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8"/>
      <c r="AC227" s="3268"/>
      <c r="AD227" s="3268"/>
      <c r="AE227" s="3268"/>
      <c r="AF227" s="3268"/>
      <c r="AG227" s="326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5">
        <f>IFERROR(AB226/AB227,0)</f>
        <v>0</v>
      </c>
      <c r="AC228" s="3245"/>
      <c r="AD228" s="3245"/>
      <c r="AE228" s="3245"/>
      <c r="AF228" s="3245"/>
      <c r="AG228" s="324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32">
        <f>MAX(AB223,AB228)</f>
        <v>0</v>
      </c>
      <c r="AC230" s="3232"/>
      <c r="AD230" s="3232"/>
      <c r="AE230" s="3232"/>
      <c r="AF230" s="3232"/>
      <c r="AG230" s="323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8">
        <f>AB217+AB230</f>
        <v>0</v>
      </c>
      <c r="AC233" s="3068"/>
      <c r="AD233" s="3068"/>
      <c r="AE233" s="3068"/>
      <c r="AF233" s="3068"/>
      <c r="AG233" s="306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1">
        <v>0.05</v>
      </c>
      <c r="AC234" s="3101"/>
      <c r="AD234" s="3101"/>
      <c r="AE234" s="3101"/>
      <c r="AF234" s="3101"/>
      <c r="AG234" s="310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02">
        <f>AB233-(AB233*AB234)</f>
        <v>0</v>
      </c>
      <c r="AC235" s="3102"/>
      <c r="AD235" s="3102"/>
      <c r="AE235" s="3102"/>
      <c r="AF235" s="3102"/>
      <c r="AG235" s="310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8">
        <f>AB235/AB241</f>
        <v>0</v>
      </c>
      <c r="AC237" s="3068"/>
      <c r="AD237" s="3068"/>
      <c r="AE237" s="3068"/>
      <c r="AF237" s="3068"/>
      <c r="AG237" s="306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9">
        <v>15</v>
      </c>
      <c r="AC239" s="3069"/>
      <c r="AD239" s="3069"/>
      <c r="AE239" s="3069"/>
      <c r="AF239" s="3069"/>
      <c r="AG239" s="3069"/>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03">
        <v>0.04</v>
      </c>
      <c r="AC240" s="3103"/>
      <c r="AD240" s="3103"/>
      <c r="AE240" s="3103"/>
      <c r="AF240" s="3103"/>
      <c r="AG240" s="310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04">
        <v>1.1499999999999999</v>
      </c>
      <c r="AC241" s="3104"/>
      <c r="AD241" s="3104"/>
      <c r="AE241" s="3104"/>
      <c r="AF241" s="3104"/>
      <c r="AG241" s="310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94">
        <f>PV(AB240/12,AB239*12,-AB237/12, ,0)</f>
        <v>0</v>
      </c>
      <c r="AC243" s="3095"/>
      <c r="AD243" s="3095"/>
      <c r="AE243" s="3095"/>
      <c r="AF243" s="3095"/>
      <c r="AG243" s="3096"/>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8">
        <f>IFERROR(('Sources and Uses Budget'!D105/'Sources and Uses Budget'!B105),0)</f>
        <v>0</v>
      </c>
      <c r="AC249" s="3099"/>
      <c r="AD249" s="3099"/>
      <c r="AE249" s="3099"/>
      <c r="AF249" s="3099"/>
      <c r="AG249" s="31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8">
        <f>AD194*(1-AB249)</f>
        <v>3952320</v>
      </c>
      <c r="AH251" s="3088"/>
      <c r="AI251" s="3088"/>
      <c r="AJ251" s="3088"/>
      <c r="AK251" s="3088"/>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8">
        <f>'Sources and Uses Budget'!C105</f>
        <v>25826330</v>
      </c>
      <c r="AH252" s="3088"/>
      <c r="AI252" s="3088"/>
      <c r="AJ252" s="3088"/>
      <c r="AK252" s="308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9">
        <f>ROUNDDOWN(IF(AND(C274="Yes",AK72=10),((AG251*2)/AG252),AG251/AG252),2)</f>
        <v>0.15</v>
      </c>
      <c r="AH253" s="3089"/>
      <c r="AI253" s="3089"/>
      <c r="AJ253" s="3089"/>
      <c r="AK253" s="3089"/>
    </row>
    <row r="254" spans="1:39" ht="13">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90">
        <f>IF(AG253=0,0,IF((AG253*100)&gt;8,8,(AG253*100)))</f>
        <v>8</v>
      </c>
      <c r="AL256" s="3090"/>
      <c r="AM256" s="3091"/>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82" t="s">
        <v>578</v>
      </c>
      <c r="D261" s="3082"/>
      <c r="E261" s="940"/>
      <c r="F261" s="3253" t="s">
        <v>2414</v>
      </c>
      <c r="G261" s="3254"/>
      <c r="H261" s="3254"/>
      <c r="I261" s="3254"/>
      <c r="J261" s="3254"/>
      <c r="K261" s="3254"/>
      <c r="L261" s="3254"/>
      <c r="M261" s="3254"/>
      <c r="N261" s="3254"/>
      <c r="O261" s="3254"/>
      <c r="P261" s="3254"/>
      <c r="Q261" s="3254"/>
      <c r="R261" s="3254"/>
      <c r="S261" s="3254"/>
      <c r="T261" s="3254"/>
      <c r="U261" s="3254"/>
      <c r="V261" s="3254"/>
      <c r="W261" s="3254"/>
      <c r="X261" s="3254"/>
      <c r="Y261" s="3254"/>
      <c r="Z261" s="3254"/>
      <c r="AA261" s="3254"/>
      <c r="AB261" s="3254"/>
      <c r="AC261" s="3254"/>
      <c r="AD261" s="3255"/>
      <c r="AE261" s="943"/>
      <c r="AF261" s="1066"/>
      <c r="AG261" s="3083" t="s">
        <v>1633</v>
      </c>
      <c r="AH261" s="3083"/>
      <c r="AI261" s="3083"/>
      <c r="AJ261" s="3083"/>
      <c r="AK261" s="1026"/>
      <c r="AL261" s="1026"/>
      <c r="AM261" s="1026"/>
      <c r="AN261" s="1061"/>
      <c r="AO261" s="943"/>
      <c r="AS261" s="21"/>
      <c r="AT261" s="21"/>
    </row>
    <row r="262" spans="1:81" ht="13.75" customHeight="1">
      <c r="A262" s="1060"/>
      <c r="B262" s="1065"/>
      <c r="C262" s="1067"/>
      <c r="D262" s="943"/>
      <c r="E262" s="940"/>
      <c r="F262" s="3256"/>
      <c r="G262" s="3257"/>
      <c r="H262" s="3257"/>
      <c r="I262" s="3257"/>
      <c r="J262" s="3257"/>
      <c r="K262" s="3257"/>
      <c r="L262" s="3257"/>
      <c r="M262" s="3257"/>
      <c r="N262" s="3257"/>
      <c r="O262" s="3257"/>
      <c r="P262" s="3257"/>
      <c r="Q262" s="3257"/>
      <c r="R262" s="3257"/>
      <c r="S262" s="3257"/>
      <c r="T262" s="3257"/>
      <c r="U262" s="3257"/>
      <c r="V262" s="3257"/>
      <c r="W262" s="3257"/>
      <c r="X262" s="3257"/>
      <c r="Y262" s="3257"/>
      <c r="Z262" s="3257"/>
      <c r="AA262" s="3257"/>
      <c r="AB262" s="3257"/>
      <c r="AC262" s="3257"/>
      <c r="AD262" s="325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6"/>
      <c r="G263" s="3257"/>
      <c r="H263" s="3257"/>
      <c r="I263" s="3257"/>
      <c r="J263" s="3257"/>
      <c r="K263" s="3257"/>
      <c r="L263" s="3257"/>
      <c r="M263" s="3257"/>
      <c r="N263" s="3257"/>
      <c r="O263" s="3257"/>
      <c r="P263" s="3257"/>
      <c r="Q263" s="3257"/>
      <c r="R263" s="3257"/>
      <c r="S263" s="3257"/>
      <c r="T263" s="3257"/>
      <c r="U263" s="3257"/>
      <c r="V263" s="3257"/>
      <c r="W263" s="3257"/>
      <c r="X263" s="3257"/>
      <c r="Y263" s="3257"/>
      <c r="Z263" s="3257"/>
      <c r="AA263" s="3257"/>
      <c r="AB263" s="3257"/>
      <c r="AC263" s="3257"/>
      <c r="AD263" s="3258"/>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84"/>
      <c r="D264" s="3084"/>
      <c r="E264" s="940"/>
      <c r="F264" s="3259"/>
      <c r="G264" s="3260"/>
      <c r="H264" s="3260"/>
      <c r="I264" s="3260"/>
      <c r="J264" s="3260"/>
      <c r="K264" s="3260"/>
      <c r="L264" s="3260"/>
      <c r="M264" s="3260"/>
      <c r="N264" s="3260"/>
      <c r="O264" s="3260"/>
      <c r="P264" s="3260"/>
      <c r="Q264" s="3260"/>
      <c r="R264" s="3260"/>
      <c r="S264" s="3260"/>
      <c r="T264" s="3260"/>
      <c r="U264" s="3260"/>
      <c r="V264" s="3260"/>
      <c r="W264" s="3260"/>
      <c r="X264" s="3260"/>
      <c r="Y264" s="3260"/>
      <c r="Z264" s="3260"/>
      <c r="AA264" s="3260"/>
      <c r="AB264" s="3260"/>
      <c r="AC264" s="3260"/>
      <c r="AD264" s="3261"/>
      <c r="AE264" s="943"/>
      <c r="AF264" s="1066"/>
      <c r="AG264" s="3083"/>
      <c r="AH264" s="3083"/>
      <c r="AI264" s="3083"/>
      <c r="AJ264" s="3083"/>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90">
        <f>IF($C$261="yes",10,0)</f>
        <v>10</v>
      </c>
      <c r="AL267" s="3090"/>
      <c r="AM267" s="3091"/>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1650</v>
      </c>
      <c r="B270" s="988" t="s">
        <v>2380</v>
      </c>
      <c r="AH270" s="1034" t="s">
        <v>1563</v>
      </c>
    </row>
    <row r="271" spans="1:81" ht="15" customHeight="1">
      <c r="B271" s="932" t="s">
        <v>2379</v>
      </c>
    </row>
    <row r="272" spans="1:81" ht="15" customHeight="1">
      <c r="B272" s="932" t="s">
        <v>2381</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1" t="s">
        <v>1652</v>
      </c>
      <c r="B274" s="3111"/>
      <c r="C274" s="3082" t="s">
        <v>626</v>
      </c>
      <c r="D274" s="3082"/>
      <c r="E274" s="940"/>
      <c r="F274" s="3112" t="s">
        <v>1653</v>
      </c>
      <c r="G274" s="3113"/>
      <c r="H274" s="3113"/>
      <c r="I274" s="3113"/>
      <c r="J274" s="3113"/>
      <c r="K274" s="3113"/>
      <c r="L274" s="3113"/>
      <c r="M274" s="3113"/>
      <c r="N274" s="3113"/>
      <c r="O274" s="3113"/>
      <c r="P274" s="3113"/>
      <c r="Q274" s="3113"/>
      <c r="R274" s="3113"/>
      <c r="S274" s="3113"/>
      <c r="T274" s="3113"/>
      <c r="U274" s="3113"/>
      <c r="V274" s="3113"/>
      <c r="W274" s="3113"/>
      <c r="X274" s="3113"/>
      <c r="Y274" s="3113"/>
      <c r="Z274" s="3113"/>
      <c r="AA274" s="3113"/>
      <c r="AB274" s="3113"/>
      <c r="AC274" s="3113"/>
      <c r="AD274" s="3114"/>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05"/>
      <c r="G275" s="3106"/>
      <c r="H275" s="3106"/>
      <c r="I275" s="3106"/>
      <c r="J275" s="3106"/>
      <c r="K275" s="3106"/>
      <c r="L275" s="3106"/>
      <c r="M275" s="3106"/>
      <c r="N275" s="3106"/>
      <c r="O275" s="3106"/>
      <c r="P275" s="3106"/>
      <c r="Q275" s="3106"/>
      <c r="R275" s="3106"/>
      <c r="S275" s="3106"/>
      <c r="T275" s="3106"/>
      <c r="U275" s="3106"/>
      <c r="V275" s="3106"/>
      <c r="W275" s="3106"/>
      <c r="X275" s="3106"/>
      <c r="Y275" s="3106"/>
      <c r="Z275" s="3106"/>
      <c r="AA275" s="3106"/>
      <c r="AB275" s="3106"/>
      <c r="AC275" s="3106"/>
      <c r="AD275" s="310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5"/>
      <c r="G276" s="3106"/>
      <c r="H276" s="3106"/>
      <c r="I276" s="3106"/>
      <c r="J276" s="3106"/>
      <c r="K276" s="3106"/>
      <c r="L276" s="3106"/>
      <c r="M276" s="3106"/>
      <c r="N276" s="3106"/>
      <c r="O276" s="3106"/>
      <c r="P276" s="3106"/>
      <c r="Q276" s="3106"/>
      <c r="R276" s="3106"/>
      <c r="S276" s="3106"/>
      <c r="T276" s="3106"/>
      <c r="U276" s="3106"/>
      <c r="V276" s="3106"/>
      <c r="W276" s="3106"/>
      <c r="X276" s="3106"/>
      <c r="Y276" s="3106"/>
      <c r="Z276" s="3106"/>
      <c r="AA276" s="3106"/>
      <c r="AB276" s="3106"/>
      <c r="AC276" s="3106"/>
      <c r="AD276" s="310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5" t="s">
        <v>1655</v>
      </c>
      <c r="G277" s="3106"/>
      <c r="H277" s="3106"/>
      <c r="I277" s="3106"/>
      <c r="J277" s="3106"/>
      <c r="K277" s="3106"/>
      <c r="L277" s="3106"/>
      <c r="M277" s="3106"/>
      <c r="N277" s="3106"/>
      <c r="O277" s="3106"/>
      <c r="P277" s="3106"/>
      <c r="Q277" s="3106"/>
      <c r="R277" s="3106"/>
      <c r="S277" s="3106"/>
      <c r="T277" s="3106"/>
      <c r="U277" s="3106"/>
      <c r="V277" s="3106"/>
      <c r="W277" s="3106"/>
      <c r="X277" s="3106"/>
      <c r="Y277" s="3106"/>
      <c r="Z277" s="3106"/>
      <c r="AA277" s="3106"/>
      <c r="AB277" s="3106"/>
      <c r="AC277" s="3106"/>
      <c r="AD277" s="310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05"/>
      <c r="G278" s="3106"/>
      <c r="H278" s="3106"/>
      <c r="I278" s="3106"/>
      <c r="J278" s="3106"/>
      <c r="K278" s="3106"/>
      <c r="L278" s="3106"/>
      <c r="M278" s="3106"/>
      <c r="N278" s="3106"/>
      <c r="O278" s="3106"/>
      <c r="P278" s="3106"/>
      <c r="Q278" s="3106"/>
      <c r="R278" s="3106"/>
      <c r="S278" s="3106"/>
      <c r="T278" s="3106"/>
      <c r="U278" s="3106"/>
      <c r="V278" s="3106"/>
      <c r="W278" s="3106"/>
      <c r="X278" s="3106"/>
      <c r="Y278" s="3106"/>
      <c r="Z278" s="3106"/>
      <c r="AA278" s="3106"/>
      <c r="AB278" s="3106"/>
      <c r="AC278" s="3106"/>
      <c r="AD278" s="310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5" t="s">
        <v>1656</v>
      </c>
      <c r="G279" s="3106"/>
      <c r="H279" s="3106"/>
      <c r="I279" s="3106"/>
      <c r="J279" s="3106"/>
      <c r="K279" s="3106"/>
      <c r="L279" s="3106"/>
      <c r="M279" s="3106"/>
      <c r="N279" s="3106"/>
      <c r="O279" s="3106"/>
      <c r="P279" s="3106"/>
      <c r="Q279" s="3106"/>
      <c r="R279" s="3106"/>
      <c r="S279" s="3106"/>
      <c r="T279" s="3106"/>
      <c r="U279" s="3106"/>
      <c r="V279" s="3106"/>
      <c r="W279" s="3106"/>
      <c r="X279" s="3106"/>
      <c r="Y279" s="3106"/>
      <c r="Z279" s="3106"/>
      <c r="AA279" s="3106"/>
      <c r="AB279" s="3106"/>
      <c r="AC279" s="3106"/>
      <c r="AD279" s="3107"/>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05"/>
      <c r="G280" s="3106"/>
      <c r="H280" s="3106"/>
      <c r="I280" s="3106"/>
      <c r="J280" s="3106"/>
      <c r="K280" s="3106"/>
      <c r="L280" s="3106"/>
      <c r="M280" s="3106"/>
      <c r="N280" s="3106"/>
      <c r="O280" s="3106"/>
      <c r="P280" s="3106"/>
      <c r="Q280" s="3106"/>
      <c r="R280" s="3106"/>
      <c r="S280" s="3106"/>
      <c r="T280" s="3106"/>
      <c r="U280" s="3106"/>
      <c r="V280" s="3106"/>
      <c r="W280" s="3106"/>
      <c r="X280" s="3106"/>
      <c r="Y280" s="3106"/>
      <c r="Z280" s="3106"/>
      <c r="AA280" s="3106"/>
      <c r="AB280" s="3106"/>
      <c r="AC280" s="3106"/>
      <c r="AD280" s="310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5" t="s">
        <v>1657</v>
      </c>
      <c r="G281" s="3106"/>
      <c r="H281" s="3106"/>
      <c r="I281" s="3106"/>
      <c r="J281" s="3106"/>
      <c r="K281" s="3106"/>
      <c r="L281" s="3106"/>
      <c r="M281" s="3106"/>
      <c r="N281" s="3106"/>
      <c r="O281" s="3106"/>
      <c r="P281" s="3106"/>
      <c r="Q281" s="3106"/>
      <c r="R281" s="3106"/>
      <c r="S281" s="3106"/>
      <c r="T281" s="3106"/>
      <c r="U281" s="3106"/>
      <c r="V281" s="3106"/>
      <c r="W281" s="3106"/>
      <c r="X281" s="3106"/>
      <c r="Y281" s="3106"/>
      <c r="Z281" s="3106"/>
      <c r="AA281" s="3106"/>
      <c r="AB281" s="3106"/>
      <c r="AC281" s="3106"/>
      <c r="AD281" s="310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8"/>
      <c r="G282" s="3109"/>
      <c r="H282" s="3109"/>
      <c r="I282" s="3109"/>
      <c r="J282" s="3109"/>
      <c r="K282" s="3109"/>
      <c r="L282" s="3109"/>
      <c r="M282" s="3109"/>
      <c r="N282" s="3109"/>
      <c r="O282" s="3109"/>
      <c r="P282" s="3109"/>
      <c r="Q282" s="3109"/>
      <c r="R282" s="3109"/>
      <c r="S282" s="3109"/>
      <c r="T282" s="3109"/>
      <c r="U282" s="3109"/>
      <c r="V282" s="3109"/>
      <c r="W282" s="3109"/>
      <c r="X282" s="3109"/>
      <c r="Y282" s="3109"/>
      <c r="Z282" s="3109"/>
      <c r="AA282" s="3109"/>
      <c r="AB282" s="3109"/>
      <c r="AC282" s="3109"/>
      <c r="AD282" s="311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1" t="s">
        <v>1658</v>
      </c>
      <c r="B284" s="3111"/>
      <c r="C284" s="3082" t="s">
        <v>626</v>
      </c>
      <c r="D284" s="308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05" t="s">
        <v>1661</v>
      </c>
      <c r="G285" s="3106"/>
      <c r="H285" s="3106"/>
      <c r="I285" s="3106"/>
      <c r="J285" s="3106"/>
      <c r="K285" s="3106"/>
      <c r="L285" s="3106"/>
      <c r="M285" s="3106"/>
      <c r="N285" s="3106"/>
      <c r="O285" s="3106"/>
      <c r="P285" s="3106"/>
      <c r="Q285" s="3106"/>
      <c r="R285" s="3106"/>
      <c r="S285" s="3106"/>
      <c r="T285" s="3106"/>
      <c r="U285" s="3106"/>
      <c r="V285" s="3106"/>
      <c r="W285" s="3106"/>
      <c r="X285" s="3106"/>
      <c r="Y285" s="3106"/>
      <c r="Z285" s="3106"/>
      <c r="AA285" s="3106"/>
      <c r="AB285" s="3106"/>
      <c r="AC285" s="3106"/>
      <c r="AD285" s="3107"/>
      <c r="AE285" s="944"/>
      <c r="AF285" s="944"/>
      <c r="AG285" s="944"/>
      <c r="AH285" s="944"/>
      <c r="AI285" s="944"/>
      <c r="AJ285" s="943"/>
      <c r="AK285" s="1026"/>
      <c r="AL285" s="1026"/>
      <c r="AM285" s="1026"/>
      <c r="AR285" s="1086"/>
    </row>
    <row r="286" spans="1:53" ht="15" customHeight="1">
      <c r="A286" s="1060"/>
      <c r="B286" s="944"/>
      <c r="C286" s="943"/>
      <c r="D286" s="944"/>
      <c r="E286" s="943"/>
      <c r="F286" s="3105"/>
      <c r="G286" s="3106"/>
      <c r="H286" s="3106"/>
      <c r="I286" s="3106"/>
      <c r="J286" s="3106"/>
      <c r="K286" s="3106"/>
      <c r="L286" s="3106"/>
      <c r="M286" s="3106"/>
      <c r="N286" s="3106"/>
      <c r="O286" s="3106"/>
      <c r="P286" s="3106"/>
      <c r="Q286" s="3106"/>
      <c r="R286" s="3106"/>
      <c r="S286" s="3106"/>
      <c r="T286" s="3106"/>
      <c r="U286" s="3106"/>
      <c r="V286" s="3106"/>
      <c r="W286" s="3106"/>
      <c r="X286" s="3106"/>
      <c r="Y286" s="3106"/>
      <c r="Z286" s="3106"/>
      <c r="AA286" s="3106"/>
      <c r="AB286" s="3106"/>
      <c r="AC286" s="3106"/>
      <c r="AD286" s="3107"/>
      <c r="AE286" s="944"/>
      <c r="AF286" s="944"/>
      <c r="AG286" s="944"/>
      <c r="AH286" s="944"/>
      <c r="AI286" s="944"/>
      <c r="AJ286" s="943"/>
      <c r="AK286" s="1026"/>
      <c r="AL286" s="1026"/>
      <c r="AM286" s="1026"/>
      <c r="AR286" s="1086"/>
    </row>
    <row r="287" spans="1:53">
      <c r="A287" s="1060"/>
      <c r="B287" s="944"/>
      <c r="C287" s="943"/>
      <c r="D287" s="944"/>
      <c r="E287" s="943"/>
      <c r="F287" s="3105" t="s">
        <v>1656</v>
      </c>
      <c r="G287" s="3106"/>
      <c r="H287" s="3106"/>
      <c r="I287" s="3106"/>
      <c r="J287" s="3106"/>
      <c r="K287" s="3106"/>
      <c r="L287" s="3106"/>
      <c r="M287" s="3106"/>
      <c r="N287" s="3106"/>
      <c r="O287" s="3106"/>
      <c r="P287" s="3106"/>
      <c r="Q287" s="3106"/>
      <c r="R287" s="3106"/>
      <c r="S287" s="3106"/>
      <c r="T287" s="3106"/>
      <c r="U287" s="3106"/>
      <c r="V287" s="3106"/>
      <c r="W287" s="3106"/>
      <c r="X287" s="3106"/>
      <c r="Y287" s="3106"/>
      <c r="Z287" s="3106"/>
      <c r="AA287" s="3106"/>
      <c r="AB287" s="3106"/>
      <c r="AC287" s="3106"/>
      <c r="AD287" s="310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5"/>
      <c r="G288" s="3106"/>
      <c r="H288" s="3106"/>
      <c r="I288" s="3106"/>
      <c r="J288" s="3106"/>
      <c r="K288" s="3106"/>
      <c r="L288" s="3106"/>
      <c r="M288" s="3106"/>
      <c r="N288" s="3106"/>
      <c r="O288" s="3106"/>
      <c r="P288" s="3106"/>
      <c r="Q288" s="3106"/>
      <c r="R288" s="3106"/>
      <c r="S288" s="3106"/>
      <c r="T288" s="3106"/>
      <c r="U288" s="3106"/>
      <c r="V288" s="3106"/>
      <c r="W288" s="3106"/>
      <c r="X288" s="3106"/>
      <c r="Y288" s="3106"/>
      <c r="Z288" s="3106"/>
      <c r="AA288" s="3106"/>
      <c r="AB288" s="3106"/>
      <c r="AC288" s="3106"/>
      <c r="AD288" s="3107"/>
      <c r="AE288" s="944"/>
      <c r="AF288" s="944"/>
      <c r="AG288" s="944"/>
      <c r="AH288" s="944"/>
      <c r="AI288" s="944"/>
      <c r="AJ288" s="943"/>
      <c r="AK288" s="1026"/>
      <c r="AL288" s="1026"/>
      <c r="AM288" s="1026"/>
      <c r="AP288" s="1079"/>
      <c r="AQ288" s="968"/>
      <c r="AR288" s="1086"/>
    </row>
    <row r="289" spans="1:60">
      <c r="A289" s="1060"/>
      <c r="B289" s="944"/>
      <c r="C289" s="943"/>
      <c r="D289" s="944"/>
      <c r="E289" s="943"/>
      <c r="F289" s="3105" t="s">
        <v>1662</v>
      </c>
      <c r="G289" s="3106"/>
      <c r="H289" s="3106"/>
      <c r="I289" s="3106"/>
      <c r="J289" s="3106"/>
      <c r="K289" s="3106"/>
      <c r="L289" s="3106"/>
      <c r="M289" s="3106"/>
      <c r="N289" s="3106"/>
      <c r="O289" s="3106"/>
      <c r="P289" s="3106"/>
      <c r="Q289" s="3106"/>
      <c r="R289" s="3106"/>
      <c r="S289" s="3106"/>
      <c r="T289" s="3106"/>
      <c r="U289" s="3106"/>
      <c r="V289" s="3106"/>
      <c r="W289" s="3106"/>
      <c r="X289" s="3106"/>
      <c r="Y289" s="3106"/>
      <c r="Z289" s="3106"/>
      <c r="AA289" s="3106"/>
      <c r="AB289" s="3106"/>
      <c r="AC289" s="3106"/>
      <c r="AD289" s="3107"/>
      <c r="AE289" s="944"/>
      <c r="AF289" s="944"/>
      <c r="AG289" s="944"/>
      <c r="AH289" s="944"/>
      <c r="AI289" s="944"/>
      <c r="AJ289" s="943"/>
      <c r="AK289" s="1026"/>
      <c r="AL289" s="1026"/>
      <c r="AM289" s="1026"/>
      <c r="AP289" s="1079"/>
      <c r="AQ289" s="968"/>
      <c r="AR289" s="1086"/>
    </row>
    <row r="290" spans="1:60">
      <c r="A290" s="1060"/>
      <c r="B290" s="944"/>
      <c r="C290" s="943"/>
      <c r="D290" s="944"/>
      <c r="E290" s="943"/>
      <c r="F290" s="3108"/>
      <c r="G290" s="3109"/>
      <c r="H290" s="3109"/>
      <c r="I290" s="3109"/>
      <c r="J290" s="3109"/>
      <c r="K290" s="3109"/>
      <c r="L290" s="3109"/>
      <c r="M290" s="3109"/>
      <c r="N290" s="3109"/>
      <c r="O290" s="3109"/>
      <c r="P290" s="3109"/>
      <c r="Q290" s="3109"/>
      <c r="R290" s="3109"/>
      <c r="S290" s="3109"/>
      <c r="T290" s="3109"/>
      <c r="U290" s="3109"/>
      <c r="V290" s="3109"/>
      <c r="W290" s="3109"/>
      <c r="X290" s="3109"/>
      <c r="Y290" s="3109"/>
      <c r="Z290" s="3109"/>
      <c r="AA290" s="3109"/>
      <c r="AB290" s="3109"/>
      <c r="AC290" s="3109"/>
      <c r="AD290" s="311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11" t="s">
        <v>1663</v>
      </c>
      <c r="B292" s="3111"/>
      <c r="C292" s="3082" t="s">
        <v>626</v>
      </c>
      <c r="D292" s="308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ht="13">
      <c r="A293" s="1796"/>
      <c r="B293" s="1796"/>
      <c r="C293" s="1792"/>
      <c r="D293" s="1792"/>
      <c r="E293" s="940"/>
      <c r="F293" s="3105" t="s">
        <v>1664</v>
      </c>
      <c r="G293" s="3106"/>
      <c r="H293" s="3106"/>
      <c r="I293" s="3106"/>
      <c r="J293" s="3106"/>
      <c r="K293" s="3106"/>
      <c r="L293" s="3106"/>
      <c r="M293" s="3106"/>
      <c r="N293" s="3106"/>
      <c r="O293" s="3106"/>
      <c r="P293" s="3106"/>
      <c r="Q293" s="3106"/>
      <c r="R293" s="3106"/>
      <c r="S293" s="3106"/>
      <c r="T293" s="3106"/>
      <c r="U293" s="3106"/>
      <c r="V293" s="3106"/>
      <c r="W293" s="3106"/>
      <c r="X293" s="3106"/>
      <c r="Y293" s="3106"/>
      <c r="Z293" s="3106"/>
      <c r="AA293" s="3106"/>
      <c r="AB293" s="3106"/>
      <c r="AC293" s="3106"/>
      <c r="AD293" s="3107"/>
      <c r="AE293" s="944"/>
      <c r="AF293" s="944"/>
      <c r="AG293" s="1012"/>
      <c r="AH293" s="944"/>
      <c r="AI293" s="944"/>
      <c r="AJ293" s="943"/>
      <c r="AK293" s="1026"/>
      <c r="AL293" s="1026"/>
      <c r="AM293" s="1026"/>
      <c r="AN293" s="110"/>
      <c r="AO293" s="51"/>
      <c r="AP293" s="950" t="s">
        <v>1383</v>
      </c>
      <c r="AR293" s="21"/>
    </row>
    <row r="294" spans="1:60" s="21" customFormat="1">
      <c r="F294" s="3105"/>
      <c r="G294" s="3106"/>
      <c r="H294" s="3106"/>
      <c r="I294" s="3106"/>
      <c r="J294" s="3106"/>
      <c r="K294" s="3106"/>
      <c r="L294" s="3106"/>
      <c r="M294" s="3106"/>
      <c r="N294" s="3106"/>
      <c r="O294" s="3106"/>
      <c r="P294" s="3106"/>
      <c r="Q294" s="3106"/>
      <c r="R294" s="3106"/>
      <c r="S294" s="3106"/>
      <c r="T294" s="3106"/>
      <c r="U294" s="3106"/>
      <c r="V294" s="3106"/>
      <c r="W294" s="3106"/>
      <c r="X294" s="3106"/>
      <c r="Y294" s="3106"/>
      <c r="Z294" s="3106"/>
      <c r="AA294" s="3106"/>
      <c r="AB294" s="3106"/>
      <c r="AC294" s="3106"/>
      <c r="AD294" s="3107"/>
      <c r="AE294" s="944"/>
      <c r="AF294" s="944"/>
      <c r="AH294" s="944"/>
      <c r="AI294" s="944"/>
      <c r="AJ294" s="1089"/>
      <c r="AK294" s="1060"/>
      <c r="AL294" s="1060"/>
      <c r="AM294" s="1060"/>
      <c r="AN294" s="1090"/>
      <c r="AP294" s="1091" t="s">
        <v>2228</v>
      </c>
      <c r="BD294" s="1092"/>
      <c r="BE294" s="1092"/>
      <c r="BF294" s="1092"/>
      <c r="BG294" s="1092"/>
      <c r="BH294" s="1092"/>
    </row>
    <row r="295" spans="1:60" ht="13">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5" t="s">
        <v>1383</v>
      </c>
      <c r="G298" s="3116"/>
      <c r="H298" s="3116"/>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6"/>
      <c r="AD298" s="3117"/>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15"/>
      <c r="G299" s="3116"/>
      <c r="H299" s="3116"/>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6"/>
      <c r="AD299" s="3117"/>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15"/>
      <c r="G300" s="3116"/>
      <c r="H300" s="3116"/>
      <c r="I300" s="3116"/>
      <c r="J300" s="3116"/>
      <c r="K300" s="3116"/>
      <c r="L300" s="3116"/>
      <c r="M300" s="3116"/>
      <c r="N300" s="3116"/>
      <c r="O300" s="3116"/>
      <c r="P300" s="3116"/>
      <c r="Q300" s="3116"/>
      <c r="R300" s="3116"/>
      <c r="S300" s="3116"/>
      <c r="T300" s="3116"/>
      <c r="U300" s="3116"/>
      <c r="V300" s="3116"/>
      <c r="W300" s="3116"/>
      <c r="X300" s="3116"/>
      <c r="Y300" s="3116"/>
      <c r="Z300" s="3116"/>
      <c r="AA300" s="3116"/>
      <c r="AB300" s="3116"/>
      <c r="AC300" s="3116"/>
      <c r="AD300" s="3117"/>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15"/>
      <c r="G301" s="3116"/>
      <c r="H301" s="3116"/>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6"/>
      <c r="AD301" s="3117"/>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18"/>
      <c r="G302" s="3119"/>
      <c r="H302" s="3119"/>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9"/>
      <c r="AD302" s="3120"/>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725</v>
      </c>
      <c r="H306" s="969"/>
      <c r="I306" s="3121" t="s">
        <v>1383</v>
      </c>
      <c r="J306" s="3121"/>
      <c r="K306" s="3121"/>
      <c r="L306" s="3121"/>
      <c r="M306" s="3121"/>
      <c r="N306" s="3121"/>
      <c r="O306" s="3121"/>
      <c r="P306" s="3121"/>
      <c r="Q306" s="3121"/>
      <c r="R306" s="3121"/>
      <c r="S306" s="3121"/>
      <c r="T306" s="3121"/>
      <c r="U306" s="3121"/>
      <c r="V306" s="3121"/>
      <c r="W306" s="3121"/>
      <c r="X306" s="3121"/>
      <c r="Y306" s="3121"/>
      <c r="Z306" s="3121"/>
      <c r="AA306" s="3121"/>
      <c r="AB306" s="3121"/>
      <c r="AC306" s="3121"/>
      <c r="AD306" s="3122"/>
      <c r="AE306" s="944"/>
      <c r="AF306" s="944"/>
      <c r="AG306" s="986"/>
      <c r="AH306" s="944"/>
      <c r="AI306" s="944"/>
      <c r="AJ306" s="943"/>
      <c r="AK306" s="1026"/>
      <c r="AL306" s="1026"/>
      <c r="AM306" s="1026"/>
      <c r="AN306" s="110"/>
      <c r="AO306" s="51"/>
      <c r="AP306" s="950" t="s">
        <v>1988</v>
      </c>
      <c r="AR306" s="21"/>
    </row>
    <row r="307" spans="1:60" ht="13">
      <c r="A307" s="1060"/>
      <c r="B307" s="944"/>
      <c r="C307" s="1792"/>
      <c r="D307" s="1792"/>
      <c r="E307" s="940"/>
      <c r="F307" s="1098"/>
      <c r="G307" s="969"/>
      <c r="H307" s="969"/>
      <c r="I307" s="3121"/>
      <c r="J307" s="3121"/>
      <c r="K307" s="3121"/>
      <c r="L307" s="3121"/>
      <c r="M307" s="3121"/>
      <c r="N307" s="3121"/>
      <c r="O307" s="3121"/>
      <c r="P307" s="3121"/>
      <c r="Q307" s="3121"/>
      <c r="R307" s="3121"/>
      <c r="S307" s="3121"/>
      <c r="T307" s="3121"/>
      <c r="U307" s="3121"/>
      <c r="V307" s="3121"/>
      <c r="W307" s="3121"/>
      <c r="X307" s="3121"/>
      <c r="Y307" s="3121"/>
      <c r="Z307" s="3121"/>
      <c r="AA307" s="3121"/>
      <c r="AB307" s="3121"/>
      <c r="AC307" s="3121"/>
      <c r="AD307" s="3122"/>
      <c r="AE307" s="944"/>
      <c r="AF307" s="944"/>
      <c r="AG307" s="986"/>
      <c r="AH307" s="944"/>
      <c r="AI307" s="944"/>
      <c r="AJ307" s="943"/>
      <c r="AK307" s="1026"/>
      <c r="AL307" s="1026"/>
      <c r="AM307" s="1026"/>
      <c r="AN307" s="110"/>
      <c r="AO307" s="51"/>
      <c r="AP307" s="950" t="s">
        <v>2231</v>
      </c>
      <c r="AR307" s="21"/>
    </row>
    <row r="308" spans="1:60" ht="13">
      <c r="A308" s="1060"/>
      <c r="B308" s="944"/>
      <c r="C308" s="1093"/>
      <c r="D308" s="1093"/>
      <c r="E308" s="940"/>
      <c r="F308" s="1098"/>
      <c r="G308" s="969"/>
      <c r="H308" s="969"/>
      <c r="I308" s="3121"/>
      <c r="J308" s="3121"/>
      <c r="K308" s="3121"/>
      <c r="L308" s="3121"/>
      <c r="M308" s="3121"/>
      <c r="N308" s="3121"/>
      <c r="O308" s="3121"/>
      <c r="P308" s="3121"/>
      <c r="Q308" s="3121"/>
      <c r="R308" s="3121"/>
      <c r="S308" s="3121"/>
      <c r="T308" s="3121"/>
      <c r="U308" s="3121"/>
      <c r="V308" s="3121"/>
      <c r="W308" s="3121"/>
      <c r="X308" s="3121"/>
      <c r="Y308" s="3121"/>
      <c r="Z308" s="3121"/>
      <c r="AA308" s="3121"/>
      <c r="AB308" s="3121"/>
      <c r="AC308" s="3121"/>
      <c r="AD308" s="3122"/>
      <c r="AE308" s="944"/>
      <c r="AF308" s="944"/>
      <c r="AG308" s="986"/>
      <c r="AH308" s="944"/>
      <c r="AI308" s="944"/>
      <c r="AJ308" s="943"/>
      <c r="AK308" s="1026"/>
      <c r="AL308" s="1026"/>
      <c r="AM308" s="1026"/>
      <c r="AN308" s="110"/>
      <c r="AO308" s="51"/>
      <c r="AP308" s="950" t="s">
        <v>2233</v>
      </c>
      <c r="AR308" s="21"/>
    </row>
    <row r="309" spans="1:60" ht="13">
      <c r="A309" s="1060"/>
      <c r="B309" s="944"/>
      <c r="C309" s="1093"/>
      <c r="D309" s="1093"/>
      <c r="E309" s="940"/>
      <c r="F309" s="1096"/>
      <c r="G309" s="944"/>
      <c r="H309" s="944"/>
      <c r="I309" s="3123"/>
      <c r="J309" s="3123"/>
      <c r="K309" s="3123"/>
      <c r="L309" s="3123"/>
      <c r="M309" s="3123"/>
      <c r="N309" s="3123"/>
      <c r="O309" s="3123"/>
      <c r="P309" s="3123"/>
      <c r="Q309" s="3123"/>
      <c r="R309" s="3123"/>
      <c r="S309" s="3123"/>
      <c r="T309" s="3123"/>
      <c r="U309" s="3123"/>
      <c r="V309" s="3123"/>
      <c r="W309" s="3123"/>
      <c r="X309" s="3123"/>
      <c r="Y309" s="3123"/>
      <c r="Z309" s="3123"/>
      <c r="AA309" s="3123"/>
      <c r="AB309" s="3123"/>
      <c r="AC309" s="3123"/>
      <c r="AD309" s="3124"/>
      <c r="AE309" s="944"/>
      <c r="AF309" s="944"/>
      <c r="AG309" s="986"/>
      <c r="AH309" s="944"/>
      <c r="AI309" s="944"/>
      <c r="AJ309" s="943"/>
      <c r="AK309" s="1026"/>
      <c r="AL309" s="1026"/>
      <c r="AM309" s="1026"/>
      <c r="AN309" s="110"/>
      <c r="AO309" s="51"/>
      <c r="AP309" s="950" t="s">
        <v>2232</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21" t="s">
        <v>1383</v>
      </c>
      <c r="J311" s="3121"/>
      <c r="K311" s="3121"/>
      <c r="L311" s="3121"/>
      <c r="M311" s="3121"/>
      <c r="N311" s="3121"/>
      <c r="O311" s="3121"/>
      <c r="P311" s="3121"/>
      <c r="Q311" s="3121"/>
      <c r="R311" s="3121"/>
      <c r="S311" s="3121"/>
      <c r="T311" s="3121"/>
      <c r="U311" s="3121"/>
      <c r="V311" s="3121"/>
      <c r="W311" s="3121"/>
      <c r="X311" s="3121"/>
      <c r="Y311" s="3121"/>
      <c r="Z311" s="3121"/>
      <c r="AA311" s="3121"/>
      <c r="AB311" s="3121"/>
      <c r="AC311" s="3121"/>
      <c r="AD311" s="3122"/>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21"/>
      <c r="J312" s="3121"/>
      <c r="K312" s="3121"/>
      <c r="L312" s="3121"/>
      <c r="M312" s="3121"/>
      <c r="N312" s="3121"/>
      <c r="O312" s="3121"/>
      <c r="P312" s="3121"/>
      <c r="Q312" s="3121"/>
      <c r="R312" s="3121"/>
      <c r="S312" s="3121"/>
      <c r="T312" s="3121"/>
      <c r="U312" s="3121"/>
      <c r="V312" s="3121"/>
      <c r="W312" s="3121"/>
      <c r="X312" s="3121"/>
      <c r="Y312" s="3121"/>
      <c r="Z312" s="3121"/>
      <c r="AA312" s="3121"/>
      <c r="AB312" s="3121"/>
      <c r="AC312" s="3121"/>
      <c r="AD312" s="3122"/>
      <c r="AE312" s="944"/>
      <c r="AF312" s="944"/>
      <c r="AG312" s="986"/>
      <c r="AH312" s="944"/>
      <c r="AI312" s="944"/>
      <c r="AJ312" s="943"/>
      <c r="AK312" s="1026"/>
      <c r="AL312" s="1026"/>
      <c r="AM312" s="1026"/>
      <c r="AN312" s="110"/>
      <c r="AO312" s="51"/>
      <c r="AP312" s="950" t="s">
        <v>1383</v>
      </c>
      <c r="AR312" s="21"/>
    </row>
    <row r="313" spans="1:60" ht="13">
      <c r="A313" s="1060"/>
      <c r="B313" s="944"/>
      <c r="C313" s="1093"/>
      <c r="D313" s="1093"/>
      <c r="E313" s="940"/>
      <c r="F313" s="1099"/>
      <c r="G313" s="1100"/>
      <c r="H313" s="1100"/>
      <c r="I313" s="3123"/>
      <c r="J313" s="3123"/>
      <c r="K313" s="3123"/>
      <c r="L313" s="3123"/>
      <c r="M313" s="3123"/>
      <c r="N313" s="3123"/>
      <c r="O313" s="3123"/>
      <c r="P313" s="3123"/>
      <c r="Q313" s="3123"/>
      <c r="R313" s="3123"/>
      <c r="S313" s="3123"/>
      <c r="T313" s="3123"/>
      <c r="U313" s="3123"/>
      <c r="V313" s="3123"/>
      <c r="W313" s="3123"/>
      <c r="X313" s="3123"/>
      <c r="Y313" s="3123"/>
      <c r="Z313" s="3123"/>
      <c r="AA313" s="3123"/>
      <c r="AB313" s="3123"/>
      <c r="AC313" s="3123"/>
      <c r="AD313" s="3124"/>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11" t="s">
        <v>1667</v>
      </c>
      <c r="B315" s="3111"/>
      <c r="C315" s="3082" t="s">
        <v>578</v>
      </c>
      <c r="D315" s="3082"/>
      <c r="E315" s="940"/>
      <c r="F315" s="3014" t="s">
        <v>1668</v>
      </c>
      <c r="G315" s="3015"/>
      <c r="H315" s="3015"/>
      <c r="I315" s="3015"/>
      <c r="J315" s="3015"/>
      <c r="K315" s="3015"/>
      <c r="L315" s="3015"/>
      <c r="M315" s="3015"/>
      <c r="N315" s="3015"/>
      <c r="O315" s="3015"/>
      <c r="P315" s="3015"/>
      <c r="Q315" s="3015"/>
      <c r="R315" s="3015"/>
      <c r="S315" s="3015"/>
      <c r="T315" s="3015"/>
      <c r="U315" s="3015"/>
      <c r="V315" s="3015"/>
      <c r="W315" s="3015"/>
      <c r="X315" s="3015"/>
      <c r="Y315" s="3015"/>
      <c r="Z315" s="3015"/>
      <c r="AA315" s="3015"/>
      <c r="AB315" s="3015"/>
      <c r="AC315" s="3015"/>
      <c r="AD315" s="301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20"/>
      <c r="G316" s="3021"/>
      <c r="H316" s="3021"/>
      <c r="I316" s="3021"/>
      <c r="J316" s="3021"/>
      <c r="K316" s="3021"/>
      <c r="L316" s="3021"/>
      <c r="M316" s="3021"/>
      <c r="N316" s="3021"/>
      <c r="O316" s="3021"/>
      <c r="P316" s="3021"/>
      <c r="Q316" s="3021"/>
      <c r="R316" s="3021"/>
      <c r="S316" s="3021"/>
      <c r="T316" s="3021"/>
      <c r="U316" s="3021"/>
      <c r="V316" s="3021"/>
      <c r="W316" s="3021"/>
      <c r="X316" s="3021"/>
      <c r="Y316" s="3021"/>
      <c r="Z316" s="3021"/>
      <c r="AA316" s="3021"/>
      <c r="AB316" s="3021"/>
      <c r="AC316" s="3021"/>
      <c r="AD316" s="3022"/>
      <c r="AE316" s="944"/>
      <c r="AF316" s="944"/>
      <c r="AG316" s="944"/>
      <c r="AH316" s="944"/>
      <c r="AI316" s="944"/>
      <c r="AJ316" s="943"/>
      <c r="AK316" s="1026"/>
      <c r="AL316" s="1026"/>
      <c r="AM316" s="1026"/>
      <c r="AN316" s="110"/>
      <c r="AO316" s="51"/>
    </row>
    <row r="317" spans="1:60" ht="15" customHeight="1">
      <c r="A317" s="1060"/>
      <c r="B317" s="944"/>
      <c r="C317" s="944"/>
      <c r="D317" s="944"/>
      <c r="E317" s="944"/>
      <c r="F317" s="3020"/>
      <c r="G317" s="3021"/>
      <c r="H317" s="3021"/>
      <c r="I317" s="3021"/>
      <c r="J317" s="3021"/>
      <c r="K317" s="3021"/>
      <c r="L317" s="3021"/>
      <c r="M317" s="3021"/>
      <c r="N317" s="3021"/>
      <c r="O317" s="3021"/>
      <c r="P317" s="3021"/>
      <c r="Q317" s="3021"/>
      <c r="R317" s="3021"/>
      <c r="S317" s="3021"/>
      <c r="T317" s="3021"/>
      <c r="U317" s="3021"/>
      <c r="V317" s="3021"/>
      <c r="W317" s="3021"/>
      <c r="X317" s="3021"/>
      <c r="Y317" s="3021"/>
      <c r="Z317" s="3021"/>
      <c r="AA317" s="3021"/>
      <c r="AB317" s="3021"/>
      <c r="AC317" s="3021"/>
      <c r="AD317" s="302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85">
        <f>AP279</f>
        <v>9</v>
      </c>
      <c r="AL320" s="3086"/>
      <c r="AM320" s="308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5" t="s">
        <v>1584</v>
      </c>
      <c r="AF323" s="3075"/>
      <c r="AG323" s="3075"/>
      <c r="AH323" s="3075"/>
      <c r="AI323" s="3075"/>
      <c r="AJ323" s="3075"/>
      <c r="AK323" s="307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6" t="s">
        <v>2191</v>
      </c>
      <c r="C325" s="3106"/>
      <c r="D325" s="3106"/>
      <c r="E325" s="3106"/>
      <c r="F325" s="3106"/>
      <c r="G325" s="3106"/>
      <c r="H325" s="3106"/>
      <c r="I325" s="3106"/>
      <c r="J325" s="3106"/>
      <c r="K325" s="3106"/>
      <c r="L325" s="3106"/>
      <c r="M325" s="3106"/>
      <c r="N325" s="3106"/>
      <c r="O325" s="3106"/>
      <c r="P325" s="3106"/>
      <c r="Q325" s="3106"/>
      <c r="R325" s="3106"/>
      <c r="S325" s="3106"/>
      <c r="T325" s="3106"/>
      <c r="U325" s="3106"/>
      <c r="V325" s="3106"/>
      <c r="W325" s="3106"/>
      <c r="X325" s="3106"/>
      <c r="Y325" s="3106"/>
      <c r="Z325" s="3106"/>
      <c r="AA325" s="3106"/>
      <c r="AB325" s="3106"/>
      <c r="AC325" s="3106"/>
      <c r="AD325" s="3106"/>
      <c r="AE325" s="3106"/>
      <c r="AF325" s="3106"/>
      <c r="AG325" s="3106"/>
      <c r="AH325" s="3106"/>
      <c r="AI325" s="3106"/>
      <c r="AJ325" s="3106"/>
      <c r="AK325" s="1078"/>
      <c r="AL325" s="967"/>
      <c r="AM325" s="1027"/>
      <c r="AN325" s="1000"/>
    </row>
    <row r="326" spans="1:42" s="943" customFormat="1" ht="12.75" customHeight="1">
      <c r="A326" s="1027"/>
      <c r="B326" s="3106"/>
      <c r="C326" s="3106"/>
      <c r="D326" s="3106"/>
      <c r="E326" s="3106"/>
      <c r="F326" s="3106"/>
      <c r="G326" s="3106"/>
      <c r="H326" s="3106"/>
      <c r="I326" s="3106"/>
      <c r="J326" s="3106"/>
      <c r="K326" s="3106"/>
      <c r="L326" s="3106"/>
      <c r="M326" s="3106"/>
      <c r="N326" s="3106"/>
      <c r="O326" s="3106"/>
      <c r="P326" s="3106"/>
      <c r="Q326" s="3106"/>
      <c r="R326" s="3106"/>
      <c r="S326" s="3106"/>
      <c r="T326" s="3106"/>
      <c r="U326" s="3106"/>
      <c r="V326" s="3106"/>
      <c r="W326" s="3106"/>
      <c r="X326" s="3106"/>
      <c r="Y326" s="3106"/>
      <c r="Z326" s="3106"/>
      <c r="AA326" s="3106"/>
      <c r="AB326" s="3106"/>
      <c r="AC326" s="3106"/>
      <c r="AD326" s="3106"/>
      <c r="AE326" s="3106"/>
      <c r="AF326" s="3106"/>
      <c r="AG326" s="3106"/>
      <c r="AH326" s="3106"/>
      <c r="AI326" s="3106"/>
      <c r="AJ326" s="3106"/>
      <c r="AK326" s="1078"/>
      <c r="AL326" s="967"/>
      <c r="AM326" s="1027"/>
      <c r="AN326" s="1000"/>
    </row>
    <row r="327" spans="1:42" s="943" customFormat="1" ht="12.75" customHeight="1">
      <c r="A327" s="1027"/>
      <c r="B327" s="3106"/>
      <c r="C327" s="3106"/>
      <c r="D327" s="3106"/>
      <c r="E327" s="3106"/>
      <c r="F327" s="3106"/>
      <c r="G327" s="3106"/>
      <c r="H327" s="3106"/>
      <c r="I327" s="3106"/>
      <c r="J327" s="3106"/>
      <c r="K327" s="3106"/>
      <c r="L327" s="3106"/>
      <c r="M327" s="3106"/>
      <c r="N327" s="3106"/>
      <c r="O327" s="3106"/>
      <c r="P327" s="3106"/>
      <c r="Q327" s="3106"/>
      <c r="R327" s="3106"/>
      <c r="S327" s="3106"/>
      <c r="T327" s="3106"/>
      <c r="U327" s="3106"/>
      <c r="V327" s="3106"/>
      <c r="W327" s="3106"/>
      <c r="X327" s="3106"/>
      <c r="Y327" s="3106"/>
      <c r="Z327" s="3106"/>
      <c r="AA327" s="3106"/>
      <c r="AB327" s="3106"/>
      <c r="AC327" s="3106"/>
      <c r="AD327" s="3106"/>
      <c r="AE327" s="3106"/>
      <c r="AF327" s="3106"/>
      <c r="AG327" s="3106"/>
      <c r="AH327" s="3106"/>
      <c r="AI327" s="3106"/>
      <c r="AJ327" s="3106"/>
      <c r="AK327" s="1078"/>
      <c r="AL327" s="967"/>
      <c r="AM327" s="1027"/>
      <c r="AN327" s="1000"/>
    </row>
    <row r="328" spans="1:42" s="943" customFormat="1" ht="12.75" customHeight="1">
      <c r="A328" s="1027"/>
      <c r="B328" s="3106"/>
      <c r="C328" s="3106"/>
      <c r="D328" s="3106"/>
      <c r="E328" s="3106"/>
      <c r="F328" s="3106"/>
      <c r="G328" s="3106"/>
      <c r="H328" s="3106"/>
      <c r="I328" s="3106"/>
      <c r="J328" s="3106"/>
      <c r="K328" s="3106"/>
      <c r="L328" s="3106"/>
      <c r="M328" s="3106"/>
      <c r="N328" s="3106"/>
      <c r="O328" s="3106"/>
      <c r="P328" s="3106"/>
      <c r="Q328" s="3106"/>
      <c r="R328" s="3106"/>
      <c r="S328" s="3106"/>
      <c r="T328" s="3106"/>
      <c r="U328" s="3106"/>
      <c r="V328" s="3106"/>
      <c r="W328" s="3106"/>
      <c r="X328" s="3106"/>
      <c r="Y328" s="3106"/>
      <c r="Z328" s="3106"/>
      <c r="AA328" s="3106"/>
      <c r="AB328" s="3106"/>
      <c r="AC328" s="3106"/>
      <c r="AD328" s="3106"/>
      <c r="AE328" s="3106"/>
      <c r="AF328" s="3106"/>
      <c r="AG328" s="3106"/>
      <c r="AH328" s="3106"/>
      <c r="AI328" s="3106"/>
      <c r="AJ328" s="3106"/>
      <c r="AK328" s="1078"/>
      <c r="AL328" s="967"/>
      <c r="AM328" s="1027"/>
      <c r="AN328" s="1000"/>
    </row>
    <row r="329" spans="1:42" s="943" customFormat="1" ht="12.75" customHeight="1">
      <c r="A329" s="1027"/>
      <c r="B329" s="3106"/>
      <c r="C329" s="3106"/>
      <c r="D329" s="3106"/>
      <c r="E329" s="3106"/>
      <c r="F329" s="3106"/>
      <c r="G329" s="3106"/>
      <c r="H329" s="3106"/>
      <c r="I329" s="3106"/>
      <c r="J329" s="3106"/>
      <c r="K329" s="3106"/>
      <c r="L329" s="3106"/>
      <c r="M329" s="3106"/>
      <c r="N329" s="3106"/>
      <c r="O329" s="3106"/>
      <c r="P329" s="3106"/>
      <c r="Q329" s="3106"/>
      <c r="R329" s="3106"/>
      <c r="S329" s="3106"/>
      <c r="T329" s="3106"/>
      <c r="U329" s="3106"/>
      <c r="V329" s="3106"/>
      <c r="W329" s="3106"/>
      <c r="X329" s="3106"/>
      <c r="Y329" s="3106"/>
      <c r="Z329" s="3106"/>
      <c r="AA329" s="3106"/>
      <c r="AB329" s="3106"/>
      <c r="AC329" s="3106"/>
      <c r="AD329" s="3106"/>
      <c r="AE329" s="3106"/>
      <c r="AF329" s="3106"/>
      <c r="AG329" s="3106"/>
      <c r="AH329" s="3106"/>
      <c r="AI329" s="3106"/>
      <c r="AJ329" s="3106"/>
      <c r="AK329" s="1078"/>
      <c r="AL329" s="967"/>
      <c r="AM329" s="1027"/>
      <c r="AN329" s="1000"/>
    </row>
    <row r="330" spans="1:42" s="943" customFormat="1" ht="12.75" customHeight="1">
      <c r="A330" s="1027"/>
      <c r="B330" s="3106"/>
      <c r="C330" s="3106"/>
      <c r="D330" s="3106"/>
      <c r="E330" s="3106"/>
      <c r="F330" s="3106"/>
      <c r="G330" s="3106"/>
      <c r="H330" s="3106"/>
      <c r="I330" s="3106"/>
      <c r="J330" s="3106"/>
      <c r="K330" s="3106"/>
      <c r="L330" s="3106"/>
      <c r="M330" s="3106"/>
      <c r="N330" s="3106"/>
      <c r="O330" s="3106"/>
      <c r="P330" s="3106"/>
      <c r="Q330" s="3106"/>
      <c r="R330" s="3106"/>
      <c r="S330" s="3106"/>
      <c r="T330" s="3106"/>
      <c r="U330" s="3106"/>
      <c r="V330" s="3106"/>
      <c r="W330" s="3106"/>
      <c r="X330" s="3106"/>
      <c r="Y330" s="3106"/>
      <c r="Z330" s="3106"/>
      <c r="AA330" s="3106"/>
      <c r="AB330" s="3106"/>
      <c r="AC330" s="3106"/>
      <c r="AD330" s="3106"/>
      <c r="AE330" s="3106"/>
      <c r="AF330" s="3106"/>
      <c r="AG330" s="3106"/>
      <c r="AH330" s="3106"/>
      <c r="AI330" s="3106"/>
      <c r="AJ330" s="3106"/>
      <c r="AK330" s="1078"/>
      <c r="AL330" s="967"/>
      <c r="AM330" s="1027"/>
      <c r="AN330" s="1000"/>
    </row>
    <row r="331" spans="1:42" s="943" customFormat="1" ht="12.75" customHeight="1">
      <c r="A331" s="1027"/>
      <c r="B331" s="3106"/>
      <c r="C331" s="3106"/>
      <c r="D331" s="3106"/>
      <c r="E331" s="3106"/>
      <c r="F331" s="3106"/>
      <c r="G331" s="3106"/>
      <c r="H331" s="3106"/>
      <c r="I331" s="3106"/>
      <c r="J331" s="3106"/>
      <c r="K331" s="3106"/>
      <c r="L331" s="3106"/>
      <c r="M331" s="3106"/>
      <c r="N331" s="3106"/>
      <c r="O331" s="3106"/>
      <c r="P331" s="3106"/>
      <c r="Q331" s="3106"/>
      <c r="R331" s="3106"/>
      <c r="S331" s="3106"/>
      <c r="T331" s="3106"/>
      <c r="U331" s="3106"/>
      <c r="V331" s="3106"/>
      <c r="W331" s="3106"/>
      <c r="X331" s="3106"/>
      <c r="Y331" s="3106"/>
      <c r="Z331" s="3106"/>
      <c r="AA331" s="3106"/>
      <c r="AB331" s="3106"/>
      <c r="AC331" s="3106"/>
      <c r="AD331" s="3106"/>
      <c r="AE331" s="3106"/>
      <c r="AF331" s="3106"/>
      <c r="AG331" s="3106"/>
      <c r="AH331" s="3106"/>
      <c r="AI331" s="3106"/>
      <c r="AJ331" s="3106"/>
      <c r="AK331" s="1078"/>
      <c r="AL331" s="967"/>
      <c r="AM331" s="1027"/>
      <c r="AN331" s="1000"/>
    </row>
    <row r="332" spans="1:42" ht="12.75" customHeight="1">
      <c r="A332" s="1027"/>
      <c r="B332" s="3106"/>
      <c r="C332" s="3106"/>
      <c r="D332" s="3106"/>
      <c r="E332" s="3106"/>
      <c r="F332" s="3106"/>
      <c r="G332" s="3106"/>
      <c r="H332" s="3106"/>
      <c r="I332" s="3106"/>
      <c r="J332" s="3106"/>
      <c r="K332" s="3106"/>
      <c r="L332" s="3106"/>
      <c r="M332" s="3106"/>
      <c r="N332" s="3106"/>
      <c r="O332" s="3106"/>
      <c r="P332" s="3106"/>
      <c r="Q332" s="3106"/>
      <c r="R332" s="3106"/>
      <c r="S332" s="3106"/>
      <c r="T332" s="3106"/>
      <c r="U332" s="3106"/>
      <c r="V332" s="3106"/>
      <c r="W332" s="3106"/>
      <c r="X332" s="3106"/>
      <c r="Y332" s="3106"/>
      <c r="Z332" s="3106"/>
      <c r="AA332" s="3106"/>
      <c r="AB332" s="3106"/>
      <c r="AC332" s="3106"/>
      <c r="AD332" s="3106"/>
      <c r="AE332" s="3106"/>
      <c r="AF332" s="3106"/>
      <c r="AG332" s="3106"/>
      <c r="AH332" s="3106"/>
      <c r="AI332" s="3106"/>
      <c r="AJ332" s="3106"/>
      <c r="AK332" s="1078"/>
      <c r="AL332" s="967"/>
      <c r="AM332" s="1027"/>
    </row>
    <row r="333" spans="1:42" s="943" customFormat="1" ht="12.75" customHeight="1">
      <c r="A333" s="1060"/>
      <c r="B333" s="3106"/>
      <c r="C333" s="3106"/>
      <c r="D333" s="3106"/>
      <c r="E333" s="3106"/>
      <c r="F333" s="3106"/>
      <c r="G333" s="3106"/>
      <c r="H333" s="3106"/>
      <c r="I333" s="3106"/>
      <c r="J333" s="3106"/>
      <c r="K333" s="3106"/>
      <c r="L333" s="3106"/>
      <c r="M333" s="3106"/>
      <c r="N333" s="3106"/>
      <c r="O333" s="3106"/>
      <c r="P333" s="3106"/>
      <c r="Q333" s="3106"/>
      <c r="R333" s="3106"/>
      <c r="S333" s="3106"/>
      <c r="T333" s="3106"/>
      <c r="U333" s="3106"/>
      <c r="V333" s="3106"/>
      <c r="W333" s="3106"/>
      <c r="X333" s="3106"/>
      <c r="Y333" s="3106"/>
      <c r="Z333" s="3106"/>
      <c r="AA333" s="3106"/>
      <c r="AB333" s="3106"/>
      <c r="AC333" s="3106"/>
      <c r="AD333" s="3106"/>
      <c r="AE333" s="3106"/>
      <c r="AF333" s="3106"/>
      <c r="AG333" s="3106"/>
      <c r="AH333" s="3106"/>
      <c r="AI333" s="3106"/>
      <c r="AJ333" s="310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1" t="s">
        <v>1608</v>
      </c>
      <c r="AG339" s="3061"/>
      <c r="AH339" s="3061"/>
      <c r="AI339" s="3061"/>
      <c r="AJ339" s="3061"/>
      <c r="AK339" s="3061"/>
      <c r="AL339" s="306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1" t="s">
        <v>1674</v>
      </c>
      <c r="AG346" s="3061"/>
      <c r="AH346" s="3061"/>
      <c r="AI346" s="3061"/>
      <c r="AJ346" s="3061"/>
      <c r="AK346" s="3061"/>
      <c r="AL346" s="306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1" t="s">
        <v>1648</v>
      </c>
      <c r="AG352" s="3061"/>
      <c r="AH352" s="3061"/>
      <c r="AI352" s="3061"/>
      <c r="AJ352" s="3061"/>
      <c r="AK352" s="3061"/>
      <c r="AL352" s="306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1" t="s">
        <v>1677</v>
      </c>
      <c r="AG358" s="3061"/>
      <c r="AH358" s="3061"/>
      <c r="AI358" s="3061"/>
      <c r="AJ358" s="3061"/>
      <c r="AK358" s="3061"/>
      <c r="AL358" s="306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28" t="s">
        <v>1383</v>
      </c>
      <c r="P362" s="3128"/>
      <c r="Q362" s="3128"/>
      <c r="R362" s="3128"/>
      <c r="S362" s="3128"/>
      <c r="T362" s="3128"/>
      <c r="U362" s="3128"/>
      <c r="V362" s="3128"/>
      <c r="W362" s="3128"/>
      <c r="X362" s="3128"/>
      <c r="Y362" s="3128"/>
      <c r="Z362" s="3128"/>
      <c r="AA362" s="3128"/>
      <c r="AB362" s="312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1" t="s">
        <v>1622</v>
      </c>
      <c r="AG364" s="3061"/>
      <c r="AH364" s="3061"/>
      <c r="AI364" s="3061"/>
      <c r="AJ364" s="3061"/>
      <c r="AK364" s="3061"/>
      <c r="AL364" s="306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1678</v>
      </c>
      <c r="E367" s="1643"/>
      <c r="F367" s="1643"/>
      <c r="G367" s="1643"/>
      <c r="H367" s="3125" t="s">
        <v>1675</v>
      </c>
      <c r="I367" s="312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1678</v>
      </c>
      <c r="F375" s="1643"/>
      <c r="G375" s="1643"/>
      <c r="I375" s="3127" t="s">
        <v>626</v>
      </c>
      <c r="J375" s="3127"/>
      <c r="K375" s="3127"/>
      <c r="L375" s="3127"/>
      <c r="M375" s="3127"/>
      <c r="N375" s="3127"/>
      <c r="O375" s="3127"/>
      <c r="P375" s="3127"/>
      <c r="Q375" s="3127"/>
      <c r="R375" s="3127"/>
      <c r="S375" s="3127"/>
      <c r="T375" s="3127"/>
      <c r="U375" s="3127"/>
      <c r="V375" s="3127"/>
      <c r="W375" s="3127"/>
      <c r="X375" s="3127"/>
      <c r="Y375" s="3127"/>
      <c r="Z375" s="3127"/>
      <c r="AA375" s="3127"/>
      <c r="AB375" s="3127"/>
      <c r="AC375" s="3127"/>
      <c r="AD375" s="3127"/>
      <c r="AE375" s="3127"/>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79" t="s">
        <v>626</v>
      </c>
      <c r="C377" s="3079"/>
      <c r="D377" s="1644"/>
      <c r="E377" s="3106" t="s">
        <v>1681</v>
      </c>
      <c r="F377" s="3106"/>
      <c r="G377" s="3106"/>
      <c r="H377" s="3106"/>
      <c r="I377" s="3106"/>
      <c r="J377" s="3106"/>
      <c r="K377" s="3106"/>
      <c r="L377" s="3106"/>
      <c r="M377" s="3106"/>
      <c r="N377" s="3106"/>
      <c r="O377" s="3106"/>
      <c r="P377" s="3106"/>
      <c r="Q377" s="3106"/>
      <c r="R377" s="3106"/>
      <c r="S377" s="3106"/>
      <c r="T377" s="3106"/>
      <c r="U377" s="3106"/>
      <c r="V377" s="3106"/>
      <c r="W377" s="3106"/>
      <c r="X377" s="3106"/>
      <c r="Y377" s="3106"/>
      <c r="Z377" s="3106"/>
      <c r="AA377" s="3106"/>
      <c r="AB377" s="3106"/>
      <c r="AC377" s="3106"/>
      <c r="AD377" s="3106"/>
      <c r="AE377" s="3106"/>
      <c r="AF377" s="3106"/>
      <c r="AG377" s="3106"/>
      <c r="AH377" s="1644"/>
      <c r="AI377" s="1644"/>
      <c r="AJ377" s="1644"/>
      <c r="AK377" s="1644"/>
      <c r="AL377" s="1644"/>
      <c r="AN377" s="1000"/>
    </row>
    <row r="378" spans="1:46" s="943" customFormat="1" ht="12.75" customHeight="1">
      <c r="A378" s="1060"/>
      <c r="B378" s="1023"/>
      <c r="C378" s="1639"/>
      <c r="D378" s="1644"/>
      <c r="E378" s="3106"/>
      <c r="F378" s="3106"/>
      <c r="G378" s="3106"/>
      <c r="H378" s="3106"/>
      <c r="I378" s="3106"/>
      <c r="J378" s="3106"/>
      <c r="K378" s="3106"/>
      <c r="L378" s="3106"/>
      <c r="M378" s="3106"/>
      <c r="N378" s="3106"/>
      <c r="O378" s="3106"/>
      <c r="P378" s="3106"/>
      <c r="Q378" s="3106"/>
      <c r="R378" s="3106"/>
      <c r="S378" s="3106"/>
      <c r="T378" s="3106"/>
      <c r="U378" s="3106"/>
      <c r="V378" s="3106"/>
      <c r="W378" s="3106"/>
      <c r="X378" s="3106"/>
      <c r="Y378" s="3106"/>
      <c r="Z378" s="3106"/>
      <c r="AA378" s="3106"/>
      <c r="AB378" s="3106"/>
      <c r="AC378" s="3106"/>
      <c r="AD378" s="3106"/>
      <c r="AE378" s="3106"/>
      <c r="AF378" s="3106"/>
      <c r="AG378" s="3106"/>
      <c r="AH378" s="1644"/>
      <c r="AI378" s="1644"/>
      <c r="AJ378" s="1644"/>
      <c r="AK378" s="1644"/>
      <c r="AL378" s="1644"/>
      <c r="AN378" s="1000"/>
    </row>
    <row r="379" spans="1:46" s="943" customFormat="1" ht="12.75" customHeight="1">
      <c r="A379" s="1060"/>
      <c r="B379" s="1023"/>
      <c r="C379" s="1639"/>
      <c r="D379" s="1644"/>
      <c r="E379" s="3106"/>
      <c r="F379" s="3106"/>
      <c r="G379" s="3106"/>
      <c r="H379" s="3106"/>
      <c r="I379" s="3106"/>
      <c r="J379" s="3106"/>
      <c r="K379" s="3106"/>
      <c r="L379" s="3106"/>
      <c r="M379" s="3106"/>
      <c r="N379" s="3106"/>
      <c r="O379" s="3106"/>
      <c r="P379" s="3106"/>
      <c r="Q379" s="3106"/>
      <c r="R379" s="3106"/>
      <c r="S379" s="3106"/>
      <c r="T379" s="3106"/>
      <c r="U379" s="3106"/>
      <c r="V379" s="3106"/>
      <c r="W379" s="3106"/>
      <c r="X379" s="3106"/>
      <c r="Y379" s="3106"/>
      <c r="Z379" s="3106"/>
      <c r="AA379" s="3106"/>
      <c r="AB379" s="3106"/>
      <c r="AC379" s="3106"/>
      <c r="AD379" s="3106"/>
      <c r="AE379" s="3106"/>
      <c r="AF379" s="3106"/>
      <c r="AG379" s="3106"/>
      <c r="AH379" s="1644"/>
      <c r="AI379" s="1644"/>
      <c r="AJ379" s="1644"/>
      <c r="AK379" s="1644"/>
      <c r="AL379" s="1644"/>
      <c r="AN379" s="1000"/>
    </row>
    <row r="380" spans="1:46" s="943" customFormat="1" ht="12.75" customHeight="1">
      <c r="A380" s="1060"/>
      <c r="B380" s="1023"/>
      <c r="C380" s="1639"/>
      <c r="D380" s="1646"/>
      <c r="E380" s="3106"/>
      <c r="F380" s="3106"/>
      <c r="G380" s="3106"/>
      <c r="H380" s="3106"/>
      <c r="I380" s="3106"/>
      <c r="J380" s="3106"/>
      <c r="K380" s="3106"/>
      <c r="L380" s="3106"/>
      <c r="M380" s="3106"/>
      <c r="N380" s="3106"/>
      <c r="O380" s="3106"/>
      <c r="P380" s="3106"/>
      <c r="Q380" s="3106"/>
      <c r="R380" s="3106"/>
      <c r="S380" s="3106"/>
      <c r="T380" s="3106"/>
      <c r="U380" s="3106"/>
      <c r="V380" s="3106"/>
      <c r="W380" s="3106"/>
      <c r="X380" s="3106"/>
      <c r="Y380" s="3106"/>
      <c r="Z380" s="3106"/>
      <c r="AA380" s="3106"/>
      <c r="AB380" s="3106"/>
      <c r="AC380" s="3106"/>
      <c r="AD380" s="3106"/>
      <c r="AE380" s="3106"/>
      <c r="AF380" s="3106"/>
      <c r="AG380" s="310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85">
        <f>VLOOKUP($H$367,$AO$347:$AP$352,2,FALSE)+VLOOKUP($I$375,$AO$374:$AP$376,2,FALSE)</f>
        <v>4</v>
      </c>
      <c r="AK382" s="308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6" t="s">
        <v>2192</v>
      </c>
      <c r="F386" s="3126"/>
      <c r="G386" s="3126"/>
      <c r="H386" s="3126"/>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26"/>
      <c r="AD386" s="3126"/>
      <c r="AE386" s="932"/>
      <c r="AF386" s="3061" t="s">
        <v>1622</v>
      </c>
      <c r="AG386" s="3061"/>
      <c r="AH386" s="3061"/>
      <c r="AI386" s="3061"/>
      <c r="AJ386" s="3061"/>
      <c r="AK386" s="3061"/>
      <c r="AL386" s="3061"/>
      <c r="AM386" s="1026"/>
      <c r="AN386" s="1125"/>
    </row>
    <row r="387" spans="1:42" s="943" customFormat="1" ht="12.75" customHeight="1">
      <c r="A387" s="1126"/>
      <c r="B387" s="1023"/>
      <c r="C387" s="1639"/>
      <c r="D387" s="1106"/>
      <c r="E387" s="3126"/>
      <c r="F387" s="3126"/>
      <c r="G387" s="3126"/>
      <c r="H387" s="3126"/>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26"/>
      <c r="AD387" s="312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6"/>
      <c r="F388" s="3126"/>
      <c r="G388" s="3126"/>
      <c r="H388" s="3126"/>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26"/>
      <c r="AD388" s="312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6"/>
      <c r="F389" s="3126"/>
      <c r="G389" s="3126"/>
      <c r="H389" s="3126"/>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26"/>
      <c r="AD389" s="312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6"/>
      <c r="F390" s="3126"/>
      <c r="G390" s="3126"/>
      <c r="H390" s="3126"/>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26"/>
      <c r="AD390" s="312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6"/>
      <c r="F391" s="3126"/>
      <c r="G391" s="3126"/>
      <c r="H391" s="3126"/>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26"/>
      <c r="AD391" s="312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6"/>
      <c r="F392" s="3126"/>
      <c r="G392" s="3126"/>
      <c r="H392" s="3126"/>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26"/>
      <c r="AD392" s="312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6"/>
      <c r="F393" s="3126"/>
      <c r="G393" s="3126"/>
      <c r="H393" s="3126"/>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26"/>
      <c r="AD393" s="312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79" t="s">
        <v>626</v>
      </c>
      <c r="Y395" s="307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1" t="s">
        <v>1686</v>
      </c>
      <c r="AG397" s="3061"/>
      <c r="AH397" s="3061"/>
      <c r="AI397" s="3061"/>
      <c r="AJ397" s="3061"/>
      <c r="AK397" s="3061"/>
      <c r="AL397" s="306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25" t="s">
        <v>725</v>
      </c>
      <c r="I399" s="312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85">
        <f>VLOOKUP($H$399,$AO$366:$AP$368,2,FALSE)</f>
        <v>3</v>
      </c>
      <c r="AK401" s="3087"/>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1" t="s">
        <v>1622</v>
      </c>
      <c r="AG405" s="3061"/>
      <c r="AH405" s="3061"/>
      <c r="AI405" s="3061"/>
      <c r="AJ405" s="3061"/>
      <c r="AK405" s="3061"/>
      <c r="AL405" s="306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1" t="s">
        <v>1686</v>
      </c>
      <c r="AG408" s="3061"/>
      <c r="AH408" s="3061"/>
      <c r="AI408" s="3061"/>
      <c r="AJ408" s="3061"/>
      <c r="AK408" s="3061"/>
      <c r="AL408" s="306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25" t="s">
        <v>626</v>
      </c>
      <c r="I411" s="312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85">
        <f>VLOOKUP(H411,AT366:AU368,2,FALSE)</f>
        <v>0</v>
      </c>
      <c r="AK413" s="308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6" t="s">
        <v>1698</v>
      </c>
      <c r="F418" s="3106"/>
      <c r="G418" s="3106"/>
      <c r="H418" s="3106"/>
      <c r="I418" s="3106"/>
      <c r="J418" s="3106"/>
      <c r="K418" s="3106"/>
      <c r="L418" s="3106"/>
      <c r="M418" s="3106"/>
      <c r="N418" s="3106"/>
      <c r="O418" s="3106"/>
      <c r="P418" s="3106"/>
      <c r="Q418" s="3106"/>
      <c r="R418" s="3106"/>
      <c r="S418" s="3106"/>
      <c r="T418" s="3106"/>
      <c r="U418" s="3106"/>
      <c r="V418" s="3106"/>
      <c r="W418" s="3106"/>
      <c r="X418" s="3106"/>
      <c r="Y418" s="3106"/>
      <c r="Z418" s="3106"/>
      <c r="AA418" s="3106"/>
      <c r="AB418" s="3106"/>
      <c r="AC418" s="3106"/>
      <c r="AD418" s="927"/>
      <c r="AE418" s="927"/>
      <c r="AF418" s="3061" t="s">
        <v>1648</v>
      </c>
      <c r="AG418" s="3061"/>
      <c r="AH418" s="3061"/>
      <c r="AI418" s="3061"/>
      <c r="AJ418" s="3061"/>
      <c r="AK418" s="3061"/>
      <c r="AL418" s="3061"/>
      <c r="AN418" s="1000"/>
    </row>
    <row r="419" spans="1:42" s="943" customFormat="1" ht="12.75" customHeight="1">
      <c r="B419" s="927"/>
      <c r="C419" s="986"/>
      <c r="D419" s="927"/>
      <c r="E419" s="3106"/>
      <c r="F419" s="3106"/>
      <c r="G419" s="3106"/>
      <c r="H419" s="3106"/>
      <c r="I419" s="3106"/>
      <c r="J419" s="3106"/>
      <c r="K419" s="3106"/>
      <c r="L419" s="3106"/>
      <c r="M419" s="3106"/>
      <c r="N419" s="3106"/>
      <c r="O419" s="3106"/>
      <c r="P419" s="3106"/>
      <c r="Q419" s="3106"/>
      <c r="R419" s="3106"/>
      <c r="S419" s="3106"/>
      <c r="T419" s="3106"/>
      <c r="U419" s="3106"/>
      <c r="V419" s="3106"/>
      <c r="W419" s="3106"/>
      <c r="X419" s="3106"/>
      <c r="Y419" s="3106"/>
      <c r="Z419" s="3106"/>
      <c r="AA419" s="3106"/>
      <c r="AB419" s="3106"/>
      <c r="AC419" s="3106"/>
      <c r="AD419" s="927"/>
      <c r="AE419" s="927"/>
      <c r="AF419" s="927"/>
      <c r="AG419" s="927"/>
      <c r="AH419" s="927"/>
      <c r="AI419" s="927"/>
      <c r="AJ419" s="927"/>
      <c r="AK419" s="927"/>
      <c r="AL419" s="927"/>
      <c r="AN419" s="1000"/>
    </row>
    <row r="420" spans="1:42" s="943" customFormat="1" ht="12.75" customHeight="1">
      <c r="B420" s="927"/>
      <c r="C420" s="986"/>
      <c r="D420" s="1106"/>
      <c r="E420" s="3106"/>
      <c r="F420" s="3106"/>
      <c r="G420" s="3106"/>
      <c r="H420" s="3106"/>
      <c r="I420" s="3106"/>
      <c r="J420" s="3106"/>
      <c r="K420" s="3106"/>
      <c r="L420" s="3106"/>
      <c r="M420" s="3106"/>
      <c r="N420" s="3106"/>
      <c r="O420" s="3106"/>
      <c r="P420" s="3106"/>
      <c r="Q420" s="3106"/>
      <c r="R420" s="3106"/>
      <c r="S420" s="3106"/>
      <c r="T420" s="3106"/>
      <c r="U420" s="3106"/>
      <c r="V420" s="3106"/>
      <c r="W420" s="3106"/>
      <c r="X420" s="3106"/>
      <c r="Y420" s="3106"/>
      <c r="Z420" s="3106"/>
      <c r="AA420" s="3106"/>
      <c r="AB420" s="3106"/>
      <c r="AC420" s="310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6" t="s">
        <v>1699</v>
      </c>
      <c r="F422" s="3106"/>
      <c r="G422" s="3106"/>
      <c r="H422" s="3106"/>
      <c r="I422" s="3106"/>
      <c r="J422" s="3106"/>
      <c r="K422" s="3106"/>
      <c r="L422" s="3106"/>
      <c r="M422" s="3106"/>
      <c r="N422" s="3106"/>
      <c r="O422" s="3106"/>
      <c r="P422" s="3106"/>
      <c r="Q422" s="3106"/>
      <c r="R422" s="3106"/>
      <c r="S422" s="3106"/>
      <c r="T422" s="3106"/>
      <c r="U422" s="3106"/>
      <c r="V422" s="3106"/>
      <c r="W422" s="3106"/>
      <c r="X422" s="3106"/>
      <c r="Y422" s="3106"/>
      <c r="Z422" s="3106"/>
      <c r="AA422" s="3106"/>
      <c r="AB422" s="3106"/>
      <c r="AC422" s="3106"/>
      <c r="AD422" s="927"/>
      <c r="AE422" s="927"/>
      <c r="AF422" s="3061" t="s">
        <v>1677</v>
      </c>
      <c r="AG422" s="3061"/>
      <c r="AH422" s="3061"/>
      <c r="AI422" s="3061"/>
      <c r="AJ422" s="3061"/>
      <c r="AK422" s="3061"/>
      <c r="AL422" s="3061"/>
      <c r="AN422" s="1000"/>
    </row>
    <row r="423" spans="1:42" s="943" customFormat="1" ht="12.75" customHeight="1">
      <c r="B423" s="927"/>
      <c r="C423" s="986"/>
      <c r="D423" s="927"/>
      <c r="E423" s="3106"/>
      <c r="F423" s="3106"/>
      <c r="G423" s="3106"/>
      <c r="H423" s="3106"/>
      <c r="I423" s="3106"/>
      <c r="J423" s="3106"/>
      <c r="K423" s="3106"/>
      <c r="L423" s="3106"/>
      <c r="M423" s="3106"/>
      <c r="N423" s="3106"/>
      <c r="O423" s="3106"/>
      <c r="P423" s="3106"/>
      <c r="Q423" s="3106"/>
      <c r="R423" s="3106"/>
      <c r="S423" s="3106"/>
      <c r="T423" s="3106"/>
      <c r="U423" s="3106"/>
      <c r="V423" s="3106"/>
      <c r="W423" s="3106"/>
      <c r="X423" s="3106"/>
      <c r="Y423" s="3106"/>
      <c r="Z423" s="3106"/>
      <c r="AA423" s="3106"/>
      <c r="AB423" s="3106"/>
      <c r="AC423" s="3106"/>
      <c r="AD423" s="927"/>
      <c r="AE423" s="927"/>
      <c r="AF423" s="927"/>
      <c r="AG423" s="927"/>
      <c r="AH423" s="927"/>
      <c r="AI423" s="927"/>
      <c r="AJ423" s="927"/>
      <c r="AK423" s="927"/>
      <c r="AL423" s="927"/>
      <c r="AN423" s="1000"/>
    </row>
    <row r="424" spans="1:42" s="943" customFormat="1" ht="15" customHeight="1">
      <c r="B424" s="927"/>
      <c r="C424" s="986"/>
      <c r="D424" s="1106"/>
      <c r="E424" s="3106"/>
      <c r="F424" s="3106"/>
      <c r="G424" s="3106"/>
      <c r="H424" s="3106"/>
      <c r="I424" s="3106"/>
      <c r="J424" s="3106"/>
      <c r="K424" s="3106"/>
      <c r="L424" s="3106"/>
      <c r="M424" s="3106"/>
      <c r="N424" s="3106"/>
      <c r="O424" s="3106"/>
      <c r="P424" s="3106"/>
      <c r="Q424" s="3106"/>
      <c r="R424" s="3106"/>
      <c r="S424" s="3106"/>
      <c r="T424" s="3106"/>
      <c r="U424" s="3106"/>
      <c r="V424" s="3106"/>
      <c r="W424" s="3106"/>
      <c r="X424" s="3106"/>
      <c r="Y424" s="3106"/>
      <c r="Z424" s="3106"/>
      <c r="AA424" s="3106"/>
      <c r="AB424" s="3106"/>
      <c r="AC424" s="310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6" t="s">
        <v>1700</v>
      </c>
      <c r="F426" s="3106"/>
      <c r="G426" s="3106"/>
      <c r="H426" s="3106"/>
      <c r="I426" s="3106"/>
      <c r="J426" s="3106"/>
      <c r="K426" s="3106"/>
      <c r="L426" s="3106"/>
      <c r="M426" s="3106"/>
      <c r="N426" s="3106"/>
      <c r="O426" s="3106"/>
      <c r="P426" s="3106"/>
      <c r="Q426" s="3106"/>
      <c r="R426" s="3106"/>
      <c r="S426" s="3106"/>
      <c r="T426" s="3106"/>
      <c r="U426" s="3106"/>
      <c r="V426" s="3106"/>
      <c r="W426" s="3106"/>
      <c r="X426" s="3106"/>
      <c r="Y426" s="3106"/>
      <c r="Z426" s="3106"/>
      <c r="AA426" s="3106"/>
      <c r="AB426" s="3106"/>
      <c r="AC426" s="3106"/>
      <c r="AD426" s="927"/>
      <c r="AE426" s="927"/>
      <c r="AF426" s="3061" t="s">
        <v>1622</v>
      </c>
      <c r="AG426" s="3061"/>
      <c r="AH426" s="3061"/>
      <c r="AI426" s="3061"/>
      <c r="AJ426" s="3061"/>
      <c r="AK426" s="3061"/>
      <c r="AL426" s="3061"/>
      <c r="AN426" s="1000"/>
    </row>
    <row r="427" spans="1:42" s="943" customFormat="1" ht="12.75" customHeight="1">
      <c r="A427" s="1060"/>
      <c r="B427" s="1023"/>
      <c r="C427" s="1640"/>
      <c r="D427" s="927"/>
      <c r="E427" s="3106"/>
      <c r="F427" s="3106"/>
      <c r="G427" s="3106"/>
      <c r="H427" s="3106"/>
      <c r="I427" s="3106"/>
      <c r="J427" s="3106"/>
      <c r="K427" s="3106"/>
      <c r="L427" s="3106"/>
      <c r="M427" s="3106"/>
      <c r="N427" s="3106"/>
      <c r="O427" s="3106"/>
      <c r="P427" s="3106"/>
      <c r="Q427" s="3106"/>
      <c r="R427" s="3106"/>
      <c r="S427" s="3106"/>
      <c r="T427" s="3106"/>
      <c r="U427" s="3106"/>
      <c r="V427" s="3106"/>
      <c r="W427" s="3106"/>
      <c r="X427" s="3106"/>
      <c r="Y427" s="3106"/>
      <c r="Z427" s="3106"/>
      <c r="AA427" s="3106"/>
      <c r="AB427" s="3106"/>
      <c r="AC427" s="3106"/>
      <c r="AD427" s="927"/>
      <c r="AE427" s="3061"/>
      <c r="AF427" s="3061"/>
      <c r="AG427" s="3061"/>
      <c r="AH427" s="3061"/>
      <c r="AI427" s="3061"/>
      <c r="AJ427" s="3061"/>
      <c r="AK427" s="3061"/>
      <c r="AL427" s="1596"/>
      <c r="AM427" s="1026"/>
      <c r="AN427" s="1000"/>
      <c r="AO427" s="943" t="s">
        <v>626</v>
      </c>
      <c r="AP427" s="1120">
        <v>0</v>
      </c>
    </row>
    <row r="428" spans="1:42" s="943" customFormat="1" ht="12.75" customHeight="1">
      <c r="A428" s="1126"/>
      <c r="B428" s="927"/>
      <c r="C428" s="927"/>
      <c r="D428" s="1106"/>
      <c r="E428" s="3106"/>
      <c r="F428" s="3106"/>
      <c r="G428" s="3106"/>
      <c r="H428" s="3106"/>
      <c r="I428" s="3106"/>
      <c r="J428" s="3106"/>
      <c r="K428" s="3106"/>
      <c r="L428" s="3106"/>
      <c r="M428" s="3106"/>
      <c r="N428" s="3106"/>
      <c r="O428" s="3106"/>
      <c r="P428" s="3106"/>
      <c r="Q428" s="3106"/>
      <c r="R428" s="3106"/>
      <c r="S428" s="3106"/>
      <c r="T428" s="3106"/>
      <c r="U428" s="3106"/>
      <c r="V428" s="3106"/>
      <c r="W428" s="3106"/>
      <c r="X428" s="3106"/>
      <c r="Y428" s="3106"/>
      <c r="Z428" s="3106"/>
      <c r="AA428" s="3106"/>
      <c r="AB428" s="3106"/>
      <c r="AC428" s="310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1675</v>
      </c>
      <c r="E430" s="3106" t="s">
        <v>1701</v>
      </c>
      <c r="F430" s="3106"/>
      <c r="G430" s="3106"/>
      <c r="H430" s="3106"/>
      <c r="I430" s="3106"/>
      <c r="J430" s="3106"/>
      <c r="K430" s="3106"/>
      <c r="L430" s="3106"/>
      <c r="M430" s="3106"/>
      <c r="N430" s="3106"/>
      <c r="O430" s="3106"/>
      <c r="P430" s="3106"/>
      <c r="Q430" s="3106"/>
      <c r="R430" s="3106"/>
      <c r="S430" s="3106"/>
      <c r="T430" s="3106"/>
      <c r="U430" s="3106"/>
      <c r="V430" s="3106"/>
      <c r="W430" s="3106"/>
      <c r="X430" s="3106"/>
      <c r="Y430" s="3106"/>
      <c r="Z430" s="3106"/>
      <c r="AA430" s="3106"/>
      <c r="AB430" s="3106"/>
      <c r="AC430" s="3106"/>
      <c r="AD430" s="927"/>
      <c r="AE430" s="927"/>
      <c r="AF430" s="3061" t="s">
        <v>1677</v>
      </c>
      <c r="AG430" s="3061"/>
      <c r="AH430" s="3061"/>
      <c r="AI430" s="3061"/>
      <c r="AJ430" s="3061"/>
      <c r="AK430" s="3061"/>
      <c r="AL430" s="3061"/>
      <c r="AN430" s="1000"/>
    </row>
    <row r="431" spans="1:42" s="943" customFormat="1" ht="12.75" customHeight="1">
      <c r="A431" s="1115"/>
      <c r="B431" s="1023"/>
      <c r="C431" s="1656"/>
      <c r="D431" s="1106"/>
      <c r="E431" s="3106"/>
      <c r="F431" s="3106"/>
      <c r="G431" s="3106"/>
      <c r="H431" s="3106"/>
      <c r="I431" s="3106"/>
      <c r="J431" s="3106"/>
      <c r="K431" s="3106"/>
      <c r="L431" s="3106"/>
      <c r="M431" s="3106"/>
      <c r="N431" s="3106"/>
      <c r="O431" s="3106"/>
      <c r="P431" s="3106"/>
      <c r="Q431" s="3106"/>
      <c r="R431" s="3106"/>
      <c r="S431" s="3106"/>
      <c r="T431" s="3106"/>
      <c r="U431" s="3106"/>
      <c r="V431" s="3106"/>
      <c r="W431" s="3106"/>
      <c r="X431" s="3106"/>
      <c r="Y431" s="3106"/>
      <c r="Z431" s="3106"/>
      <c r="AA431" s="3106"/>
      <c r="AB431" s="3106"/>
      <c r="AC431" s="310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6"/>
      <c r="F432" s="3106"/>
      <c r="G432" s="3106"/>
      <c r="H432" s="3106"/>
      <c r="I432" s="3106"/>
      <c r="J432" s="3106"/>
      <c r="K432" s="3106"/>
      <c r="L432" s="3106"/>
      <c r="M432" s="3106"/>
      <c r="N432" s="3106"/>
      <c r="O432" s="3106"/>
      <c r="P432" s="3106"/>
      <c r="Q432" s="3106"/>
      <c r="R432" s="3106"/>
      <c r="S432" s="3106"/>
      <c r="T432" s="3106"/>
      <c r="U432" s="3106"/>
      <c r="V432" s="3106"/>
      <c r="W432" s="3106"/>
      <c r="X432" s="3106"/>
      <c r="Y432" s="3106"/>
      <c r="Z432" s="3106"/>
      <c r="AA432" s="3106"/>
      <c r="AB432" s="3106"/>
      <c r="AC432" s="310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106" t="s">
        <v>1702</v>
      </c>
      <c r="F434" s="3106"/>
      <c r="G434" s="3106"/>
      <c r="H434" s="3106"/>
      <c r="I434" s="3106"/>
      <c r="J434" s="3106"/>
      <c r="K434" s="3106"/>
      <c r="L434" s="3106"/>
      <c r="M434" s="3106"/>
      <c r="N434" s="3106"/>
      <c r="O434" s="3106"/>
      <c r="P434" s="3106"/>
      <c r="Q434" s="3106"/>
      <c r="R434" s="3106"/>
      <c r="S434" s="3106"/>
      <c r="T434" s="3106"/>
      <c r="U434" s="3106"/>
      <c r="V434" s="3106"/>
      <c r="W434" s="3106"/>
      <c r="X434" s="3106"/>
      <c r="Y434" s="3106"/>
      <c r="Z434" s="3106"/>
      <c r="AA434" s="3106"/>
      <c r="AB434" s="3106"/>
      <c r="AC434" s="3106"/>
      <c r="AD434" s="927"/>
      <c r="AE434" s="927"/>
      <c r="AF434" s="3061" t="s">
        <v>1622</v>
      </c>
      <c r="AG434" s="3061"/>
      <c r="AH434" s="3061"/>
      <c r="AI434" s="3061"/>
      <c r="AJ434" s="3061"/>
      <c r="AK434" s="3061"/>
      <c r="AL434" s="3061"/>
      <c r="AM434" s="1065"/>
      <c r="AN434" s="1000"/>
    </row>
    <row r="435" spans="1:42" s="943" customFormat="1" ht="12.75" customHeight="1">
      <c r="A435" s="1060"/>
      <c r="B435" s="1023"/>
      <c r="C435" s="1640"/>
      <c r="D435" s="1106"/>
      <c r="E435" s="3106"/>
      <c r="F435" s="3106"/>
      <c r="G435" s="3106"/>
      <c r="H435" s="3106"/>
      <c r="I435" s="3106"/>
      <c r="J435" s="3106"/>
      <c r="K435" s="3106"/>
      <c r="L435" s="3106"/>
      <c r="M435" s="3106"/>
      <c r="N435" s="3106"/>
      <c r="O435" s="3106"/>
      <c r="P435" s="3106"/>
      <c r="Q435" s="3106"/>
      <c r="R435" s="3106"/>
      <c r="S435" s="3106"/>
      <c r="T435" s="3106"/>
      <c r="U435" s="3106"/>
      <c r="V435" s="3106"/>
      <c r="W435" s="3106"/>
      <c r="X435" s="3106"/>
      <c r="Y435" s="3106"/>
      <c r="Z435" s="3106"/>
      <c r="AA435" s="3106"/>
      <c r="AB435" s="3106"/>
      <c r="AC435" s="310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6"/>
      <c r="F436" s="3106"/>
      <c r="G436" s="3106"/>
      <c r="H436" s="3106"/>
      <c r="I436" s="3106"/>
      <c r="J436" s="3106"/>
      <c r="K436" s="3106"/>
      <c r="L436" s="3106"/>
      <c r="M436" s="3106"/>
      <c r="N436" s="3106"/>
      <c r="O436" s="3106"/>
      <c r="P436" s="3106"/>
      <c r="Q436" s="3106"/>
      <c r="R436" s="3106"/>
      <c r="S436" s="3106"/>
      <c r="T436" s="3106"/>
      <c r="U436" s="3106"/>
      <c r="V436" s="3106"/>
      <c r="W436" s="3106"/>
      <c r="X436" s="3106"/>
      <c r="Y436" s="3106"/>
      <c r="Z436" s="3106"/>
      <c r="AA436" s="3106"/>
      <c r="AB436" s="3106"/>
      <c r="AC436" s="310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106" t="s">
        <v>1703</v>
      </c>
      <c r="F438" s="3106"/>
      <c r="G438" s="3106"/>
      <c r="H438" s="3106"/>
      <c r="I438" s="3106"/>
      <c r="J438" s="3106"/>
      <c r="K438" s="3106"/>
      <c r="L438" s="3106"/>
      <c r="M438" s="3106"/>
      <c r="N438" s="3106"/>
      <c r="O438" s="3106"/>
      <c r="P438" s="3106"/>
      <c r="Q438" s="3106"/>
      <c r="R438" s="3106"/>
      <c r="S438" s="3106"/>
      <c r="T438" s="3106"/>
      <c r="U438" s="3106"/>
      <c r="V438" s="3106"/>
      <c r="W438" s="3106"/>
      <c r="X438" s="3106"/>
      <c r="Y438" s="3106"/>
      <c r="Z438" s="3106"/>
      <c r="AA438" s="3106"/>
      <c r="AB438" s="3106"/>
      <c r="AC438" s="3106"/>
      <c r="AD438" s="927"/>
      <c r="AE438" s="927"/>
      <c r="AF438" s="3061" t="s">
        <v>1686</v>
      </c>
      <c r="AG438" s="3061"/>
      <c r="AH438" s="3061"/>
      <c r="AI438" s="3061"/>
      <c r="AJ438" s="3061"/>
      <c r="AK438" s="3061"/>
      <c r="AL438" s="3061"/>
      <c r="AM438" s="1065"/>
      <c r="AN438" s="1000"/>
    </row>
    <row r="439" spans="1:42" s="943" customFormat="1" ht="12.75" customHeight="1">
      <c r="A439" s="1599"/>
      <c r="B439" s="1006"/>
      <c r="C439" s="1637"/>
      <c r="D439" s="1106"/>
      <c r="E439" s="3106"/>
      <c r="F439" s="3106"/>
      <c r="G439" s="3106"/>
      <c r="H439" s="3106"/>
      <c r="I439" s="3106"/>
      <c r="J439" s="3106"/>
      <c r="K439" s="3106"/>
      <c r="L439" s="3106"/>
      <c r="M439" s="3106"/>
      <c r="N439" s="3106"/>
      <c r="O439" s="3106"/>
      <c r="P439" s="3106"/>
      <c r="Q439" s="3106"/>
      <c r="R439" s="3106"/>
      <c r="S439" s="3106"/>
      <c r="T439" s="3106"/>
      <c r="U439" s="3106"/>
      <c r="V439" s="3106"/>
      <c r="W439" s="3106"/>
      <c r="X439" s="3106"/>
      <c r="Y439" s="3106"/>
      <c r="Z439" s="3106"/>
      <c r="AA439" s="3106"/>
      <c r="AB439" s="3106"/>
      <c r="AC439" s="310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6"/>
      <c r="F440" s="3106"/>
      <c r="G440" s="3106"/>
      <c r="H440" s="3106"/>
      <c r="I440" s="3106"/>
      <c r="J440" s="3106"/>
      <c r="K440" s="3106"/>
      <c r="L440" s="3106"/>
      <c r="M440" s="3106"/>
      <c r="N440" s="3106"/>
      <c r="O440" s="3106"/>
      <c r="P440" s="3106"/>
      <c r="Q440" s="3106"/>
      <c r="R440" s="3106"/>
      <c r="S440" s="3106"/>
      <c r="T440" s="3106"/>
      <c r="U440" s="3106"/>
      <c r="V440" s="3106"/>
      <c r="W440" s="3106"/>
      <c r="X440" s="3106"/>
      <c r="Y440" s="3106"/>
      <c r="Z440" s="3106"/>
      <c r="AA440" s="3106"/>
      <c r="AB440" s="3106"/>
      <c r="AC440" s="310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1689</v>
      </c>
      <c r="E442" s="3106" t="s">
        <v>1704</v>
      </c>
      <c r="F442" s="3106"/>
      <c r="G442" s="3106"/>
      <c r="H442" s="3106"/>
      <c r="I442" s="3106"/>
      <c r="J442" s="3106"/>
      <c r="K442" s="3106"/>
      <c r="L442" s="3106"/>
      <c r="M442" s="3106"/>
      <c r="N442" s="3106"/>
      <c r="O442" s="3106"/>
      <c r="P442" s="3106"/>
      <c r="Q442" s="3106"/>
      <c r="R442" s="3106"/>
      <c r="S442" s="3106"/>
      <c r="T442" s="3106"/>
      <c r="U442" s="3106"/>
      <c r="V442" s="3106"/>
      <c r="W442" s="3106"/>
      <c r="X442" s="3106"/>
      <c r="Y442" s="3106"/>
      <c r="Z442" s="3106"/>
      <c r="AA442" s="3106"/>
      <c r="AB442" s="3106"/>
      <c r="AC442" s="3106"/>
      <c r="AD442" s="927"/>
      <c r="AE442" s="927"/>
      <c r="AF442" s="3061" t="s">
        <v>1705</v>
      </c>
      <c r="AG442" s="3061"/>
      <c r="AH442" s="3061"/>
      <c r="AI442" s="3061"/>
      <c r="AJ442" s="3061"/>
      <c r="AK442" s="3061"/>
      <c r="AL442" s="3061"/>
      <c r="AM442" s="1065"/>
      <c r="AN442" s="1000"/>
      <c r="AO442" s="1118" t="s">
        <v>725</v>
      </c>
      <c r="AP442" s="943">
        <v>3</v>
      </c>
    </row>
    <row r="443" spans="1:42" s="943" customFormat="1" ht="12.75" customHeight="1">
      <c r="A443" s="1599"/>
      <c r="B443" s="1006"/>
      <c r="C443" s="1637"/>
      <c r="D443" s="1106"/>
      <c r="E443" s="3106"/>
      <c r="F443" s="3106"/>
      <c r="G443" s="3106"/>
      <c r="H443" s="3106"/>
      <c r="I443" s="3106"/>
      <c r="J443" s="3106"/>
      <c r="K443" s="3106"/>
      <c r="L443" s="3106"/>
      <c r="M443" s="3106"/>
      <c r="N443" s="3106"/>
      <c r="O443" s="3106"/>
      <c r="P443" s="3106"/>
      <c r="Q443" s="3106"/>
      <c r="R443" s="3106"/>
      <c r="S443" s="3106"/>
      <c r="T443" s="3106"/>
      <c r="U443" s="3106"/>
      <c r="V443" s="3106"/>
      <c r="W443" s="3106"/>
      <c r="X443" s="3106"/>
      <c r="Y443" s="3106"/>
      <c r="Z443" s="3106"/>
      <c r="AA443" s="3106"/>
      <c r="AB443" s="3106"/>
      <c r="AC443" s="310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6"/>
      <c r="F444" s="3106"/>
      <c r="G444" s="3106"/>
      <c r="H444" s="3106"/>
      <c r="I444" s="3106"/>
      <c r="J444" s="3106"/>
      <c r="K444" s="3106"/>
      <c r="L444" s="3106"/>
      <c r="M444" s="3106"/>
      <c r="N444" s="3106"/>
      <c r="O444" s="3106"/>
      <c r="P444" s="3106"/>
      <c r="Q444" s="3106"/>
      <c r="R444" s="3106"/>
      <c r="S444" s="3106"/>
      <c r="T444" s="3106"/>
      <c r="U444" s="3106"/>
      <c r="V444" s="3106"/>
      <c r="W444" s="3106"/>
      <c r="X444" s="3106"/>
      <c r="Y444" s="3106"/>
      <c r="Z444" s="3106"/>
      <c r="AA444" s="3106"/>
      <c r="AB444" s="3106"/>
      <c r="AC444" s="310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25" t="s">
        <v>284</v>
      </c>
      <c r="I446" s="312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85">
        <f>VLOOKUP($H$446,$AO$394:$AP$401,2,FALSE)</f>
        <v>3</v>
      </c>
      <c r="AK448" s="308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6" t="s">
        <v>2188</v>
      </c>
      <c r="F452" s="3106"/>
      <c r="G452" s="3106"/>
      <c r="H452" s="3106"/>
      <c r="I452" s="3106"/>
      <c r="J452" s="3106"/>
      <c r="K452" s="3106"/>
      <c r="L452" s="3106"/>
      <c r="M452" s="3106"/>
      <c r="N452" s="3106"/>
      <c r="O452" s="3106"/>
      <c r="P452" s="3106"/>
      <c r="Q452" s="3106"/>
      <c r="R452" s="3106"/>
      <c r="S452" s="3106"/>
      <c r="T452" s="3106"/>
      <c r="U452" s="3106"/>
      <c r="V452" s="3106"/>
      <c r="W452" s="3106"/>
      <c r="X452" s="3106"/>
      <c r="Y452" s="3106"/>
      <c r="Z452" s="3106"/>
      <c r="AA452" s="3106"/>
      <c r="AB452" s="3106"/>
      <c r="AC452" s="927"/>
      <c r="AD452" s="927"/>
      <c r="AE452" s="930"/>
      <c r="AF452" s="3061" t="s">
        <v>1622</v>
      </c>
      <c r="AG452" s="3061"/>
      <c r="AH452" s="3061"/>
      <c r="AI452" s="3061"/>
      <c r="AJ452" s="3061"/>
      <c r="AK452" s="3061"/>
      <c r="AL452" s="3061"/>
      <c r="AM452" s="1026"/>
      <c r="AN452" s="1001"/>
    </row>
    <row r="453" spans="1:42" s="1002" customFormat="1" ht="12.75" customHeight="1">
      <c r="A453" s="1060"/>
      <c r="B453" s="1023"/>
      <c r="C453" s="1649"/>
      <c r="D453" s="1106"/>
      <c r="E453" s="3106"/>
      <c r="F453" s="3106"/>
      <c r="G453" s="3106"/>
      <c r="H453" s="3106"/>
      <c r="I453" s="3106"/>
      <c r="J453" s="3106"/>
      <c r="K453" s="3106"/>
      <c r="L453" s="3106"/>
      <c r="M453" s="3106"/>
      <c r="N453" s="3106"/>
      <c r="O453" s="3106"/>
      <c r="P453" s="3106"/>
      <c r="Q453" s="3106"/>
      <c r="R453" s="3106"/>
      <c r="S453" s="3106"/>
      <c r="T453" s="3106"/>
      <c r="U453" s="3106"/>
      <c r="V453" s="3106"/>
      <c r="W453" s="3106"/>
      <c r="X453" s="3106"/>
      <c r="Y453" s="3106"/>
      <c r="Z453" s="3106"/>
      <c r="AA453" s="3106"/>
      <c r="AB453" s="3106"/>
      <c r="AC453" s="927"/>
      <c r="AD453" s="927"/>
      <c r="AE453" s="1035"/>
      <c r="AF453" s="930"/>
      <c r="AG453" s="930"/>
      <c r="AH453" s="930"/>
      <c r="AI453" s="930"/>
      <c r="AJ453" s="930"/>
      <c r="AK453" s="930"/>
      <c r="AL453" s="930"/>
      <c r="AM453" s="1026"/>
      <c r="AN453" s="1001"/>
      <c r="AO453" s="3129"/>
      <c r="AP453" s="3129"/>
    </row>
    <row r="454" spans="1:42" s="1002" customFormat="1" ht="12.75" customHeight="1">
      <c r="A454" s="1060"/>
      <c r="B454" s="1023"/>
      <c r="C454" s="1649"/>
      <c r="D454" s="1106"/>
      <c r="E454" s="3106"/>
      <c r="F454" s="3106"/>
      <c r="G454" s="3106"/>
      <c r="H454" s="3106"/>
      <c r="I454" s="3106"/>
      <c r="J454" s="3106"/>
      <c r="K454" s="3106"/>
      <c r="L454" s="3106"/>
      <c r="M454" s="3106"/>
      <c r="N454" s="3106"/>
      <c r="O454" s="3106"/>
      <c r="P454" s="3106"/>
      <c r="Q454" s="3106"/>
      <c r="R454" s="3106"/>
      <c r="S454" s="3106"/>
      <c r="T454" s="3106"/>
      <c r="U454" s="3106"/>
      <c r="V454" s="3106"/>
      <c r="W454" s="3106"/>
      <c r="X454" s="3106"/>
      <c r="Y454" s="3106"/>
      <c r="Z454" s="3106"/>
      <c r="AA454" s="3106"/>
      <c r="AB454" s="310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6"/>
      <c r="F455" s="3106"/>
      <c r="G455" s="3106"/>
      <c r="H455" s="3106"/>
      <c r="I455" s="3106"/>
      <c r="J455" s="3106"/>
      <c r="K455" s="3106"/>
      <c r="L455" s="3106"/>
      <c r="M455" s="3106"/>
      <c r="N455" s="3106"/>
      <c r="O455" s="3106"/>
      <c r="P455" s="3106"/>
      <c r="Q455" s="3106"/>
      <c r="R455" s="3106"/>
      <c r="S455" s="3106"/>
      <c r="T455" s="3106"/>
      <c r="U455" s="3106"/>
      <c r="V455" s="3106"/>
      <c r="W455" s="3106"/>
      <c r="X455" s="3106"/>
      <c r="Y455" s="3106"/>
      <c r="Z455" s="3106"/>
      <c r="AA455" s="3106"/>
      <c r="AB455" s="310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6" t="s">
        <v>2190</v>
      </c>
      <c r="F457" s="3106"/>
      <c r="G457" s="3106"/>
      <c r="H457" s="3106"/>
      <c r="I457" s="3106"/>
      <c r="J457" s="3106"/>
      <c r="K457" s="3106"/>
      <c r="L457" s="3106"/>
      <c r="M457" s="3106"/>
      <c r="N457" s="3106"/>
      <c r="O457" s="3106"/>
      <c r="P457" s="3106"/>
      <c r="Q457" s="3106"/>
      <c r="R457" s="3106"/>
      <c r="S457" s="3106"/>
      <c r="T457" s="3106"/>
      <c r="U457" s="3106"/>
      <c r="V457" s="3106"/>
      <c r="W457" s="3106"/>
      <c r="X457" s="3106"/>
      <c r="Y457" s="3106"/>
      <c r="Z457" s="3106"/>
      <c r="AA457" s="3106"/>
      <c r="AB457" s="3106"/>
      <c r="AC457" s="927"/>
      <c r="AD457" s="927"/>
      <c r="AE457" s="927"/>
      <c r="AF457" s="3061" t="s">
        <v>1686</v>
      </c>
      <c r="AG457" s="3061"/>
      <c r="AH457" s="3061"/>
      <c r="AI457" s="3061"/>
      <c r="AJ457" s="3061"/>
      <c r="AK457" s="3061"/>
      <c r="AL457" s="3061"/>
      <c r="AM457" s="1026"/>
      <c r="AN457" s="1000"/>
      <c r="AO457" s="1118" t="s">
        <v>542</v>
      </c>
      <c r="AP457" s="943">
        <v>1</v>
      </c>
    </row>
    <row r="458" spans="1:42" s="943" customFormat="1" ht="12" customHeight="1">
      <c r="A458" s="1026"/>
      <c r="B458" s="927"/>
      <c r="C458" s="1657"/>
      <c r="D458" s="927"/>
      <c r="E458" s="3106"/>
      <c r="F458" s="3106"/>
      <c r="G458" s="3106"/>
      <c r="H458" s="3106"/>
      <c r="I458" s="3106"/>
      <c r="J458" s="3106"/>
      <c r="K458" s="3106"/>
      <c r="L458" s="3106"/>
      <c r="M458" s="3106"/>
      <c r="N458" s="3106"/>
      <c r="O458" s="3106"/>
      <c r="P458" s="3106"/>
      <c r="Q458" s="3106"/>
      <c r="R458" s="3106"/>
      <c r="S458" s="3106"/>
      <c r="T458" s="3106"/>
      <c r="U458" s="3106"/>
      <c r="V458" s="3106"/>
      <c r="W458" s="3106"/>
      <c r="X458" s="3106"/>
      <c r="Y458" s="3106"/>
      <c r="Z458" s="3106"/>
      <c r="AA458" s="3106"/>
      <c r="AB458" s="310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6"/>
      <c r="F459" s="3106"/>
      <c r="G459" s="3106"/>
      <c r="H459" s="3106"/>
      <c r="I459" s="3106"/>
      <c r="J459" s="3106"/>
      <c r="K459" s="3106"/>
      <c r="L459" s="3106"/>
      <c r="M459" s="3106"/>
      <c r="N459" s="3106"/>
      <c r="O459" s="3106"/>
      <c r="P459" s="3106"/>
      <c r="Q459" s="3106"/>
      <c r="R459" s="3106"/>
      <c r="S459" s="3106"/>
      <c r="T459" s="3106"/>
      <c r="U459" s="3106"/>
      <c r="V459" s="3106"/>
      <c r="W459" s="3106"/>
      <c r="X459" s="3106"/>
      <c r="Y459" s="3106"/>
      <c r="Z459" s="3106"/>
      <c r="AA459" s="3106"/>
      <c r="AB459" s="310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6"/>
      <c r="F460" s="3106"/>
      <c r="G460" s="3106"/>
      <c r="H460" s="3106"/>
      <c r="I460" s="3106"/>
      <c r="J460" s="3106"/>
      <c r="K460" s="3106"/>
      <c r="L460" s="3106"/>
      <c r="M460" s="3106"/>
      <c r="N460" s="3106"/>
      <c r="O460" s="3106"/>
      <c r="P460" s="3106"/>
      <c r="Q460" s="3106"/>
      <c r="R460" s="3106"/>
      <c r="S460" s="3106"/>
      <c r="T460" s="3106"/>
      <c r="U460" s="3106"/>
      <c r="V460" s="3106"/>
      <c r="W460" s="3106"/>
      <c r="X460" s="3106"/>
      <c r="Y460" s="3106"/>
      <c r="Z460" s="3106"/>
      <c r="AA460" s="3106"/>
      <c r="AB460" s="310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6" t="s">
        <v>2189</v>
      </c>
      <c r="F462" s="3106"/>
      <c r="G462" s="3106"/>
      <c r="H462" s="3106"/>
      <c r="I462" s="3106"/>
      <c r="J462" s="3106"/>
      <c r="K462" s="3106"/>
      <c r="L462" s="3106"/>
      <c r="M462" s="3106"/>
      <c r="N462" s="3106"/>
      <c r="O462" s="3106"/>
      <c r="P462" s="3106"/>
      <c r="Q462" s="3106"/>
      <c r="R462" s="3106"/>
      <c r="S462" s="3106"/>
      <c r="T462" s="3106"/>
      <c r="U462" s="3106"/>
      <c r="V462" s="3106"/>
      <c r="W462" s="3106"/>
      <c r="X462" s="3106"/>
      <c r="Y462" s="3106"/>
      <c r="Z462" s="3106"/>
      <c r="AA462" s="3106"/>
      <c r="AB462" s="310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6"/>
      <c r="F463" s="3106"/>
      <c r="G463" s="3106"/>
      <c r="H463" s="3106"/>
      <c r="I463" s="3106"/>
      <c r="J463" s="3106"/>
      <c r="K463" s="3106"/>
      <c r="L463" s="3106"/>
      <c r="M463" s="3106"/>
      <c r="N463" s="3106"/>
      <c r="O463" s="3106"/>
      <c r="P463" s="3106"/>
      <c r="Q463" s="3106"/>
      <c r="R463" s="3106"/>
      <c r="S463" s="3106"/>
      <c r="T463" s="3106"/>
      <c r="U463" s="3106"/>
      <c r="V463" s="3106"/>
      <c r="W463" s="3106"/>
      <c r="X463" s="3106"/>
      <c r="Y463" s="3106"/>
      <c r="Z463" s="3106"/>
      <c r="AA463" s="3106"/>
      <c r="AB463" s="310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6"/>
      <c r="F464" s="3106"/>
      <c r="G464" s="3106"/>
      <c r="H464" s="3106"/>
      <c r="I464" s="3106"/>
      <c r="J464" s="3106"/>
      <c r="K464" s="3106"/>
      <c r="L464" s="3106"/>
      <c r="M464" s="3106"/>
      <c r="N464" s="3106"/>
      <c r="O464" s="3106"/>
      <c r="P464" s="3106"/>
      <c r="Q464" s="3106"/>
      <c r="R464" s="3106"/>
      <c r="S464" s="3106"/>
      <c r="T464" s="3106"/>
      <c r="U464" s="3106"/>
      <c r="V464" s="3106"/>
      <c r="W464" s="3106"/>
      <c r="X464" s="3106"/>
      <c r="Y464" s="3106"/>
      <c r="Z464" s="3106"/>
      <c r="AA464" s="3106"/>
      <c r="AB464" s="310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25" t="s">
        <v>626</v>
      </c>
      <c r="I466" s="312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85">
        <f>VLOOKUP($H$466,$AO$413:$AP$415,2,FALSE)</f>
        <v>0</v>
      </c>
      <c r="AK468" s="308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725</v>
      </c>
      <c r="E472" s="3130" t="s">
        <v>2193</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7"/>
      <c r="AD472" s="927"/>
      <c r="AE472" s="927"/>
      <c r="AF472" s="3061" t="s">
        <v>1622</v>
      </c>
      <c r="AG472" s="3061"/>
      <c r="AH472" s="3061"/>
      <c r="AI472" s="3061"/>
      <c r="AJ472" s="3061"/>
      <c r="AK472" s="3061"/>
      <c r="AL472" s="3061"/>
      <c r="AM472" s="1026"/>
      <c r="AN472" s="1133"/>
      <c r="AP472" s="1135" t="s">
        <v>1714</v>
      </c>
    </row>
    <row r="473" spans="1:43" s="1134" customFormat="1" ht="11.9" customHeight="1">
      <c r="A473" s="1060"/>
      <c r="B473" s="1023"/>
      <c r="C473" s="1639"/>
      <c r="D473" s="1106"/>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542</v>
      </c>
      <c r="E476" s="3131" t="s">
        <v>1717</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7"/>
      <c r="AD476" s="927"/>
      <c r="AE476" s="927"/>
      <c r="AF476" s="3061" t="s">
        <v>1686</v>
      </c>
      <c r="AG476" s="3061"/>
      <c r="AH476" s="3061"/>
      <c r="AI476" s="3061"/>
      <c r="AJ476" s="3061"/>
      <c r="AK476" s="3061"/>
      <c r="AL476" s="3061"/>
      <c r="AM476" s="1026"/>
      <c r="AN476" s="1136"/>
    </row>
    <row r="477" spans="1:43" s="1134" customFormat="1" ht="12.75" customHeight="1">
      <c r="A477" s="1060"/>
      <c r="B477" s="1023"/>
      <c r="C477" s="1639"/>
      <c r="D477" s="1023"/>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1678</v>
      </c>
      <c r="E480" s="1643"/>
      <c r="F480" s="1643"/>
      <c r="G480" s="1643"/>
      <c r="H480" s="3125" t="s">
        <v>542</v>
      </c>
      <c r="I480" s="312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85">
        <f>VLOOKUP($H$480,$AO$413:$AP$415,2,FALSE)</f>
        <v>2</v>
      </c>
      <c r="AK482" s="3087"/>
      <c r="AL482" s="1005"/>
      <c r="AM482" s="1002"/>
      <c r="AN482" s="1138"/>
      <c r="AP482" s="3085"/>
      <c r="AQ482" s="308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106" t="s">
        <v>2194</v>
      </c>
      <c r="F486" s="3106"/>
      <c r="G486" s="3106"/>
      <c r="H486" s="3106"/>
      <c r="I486" s="3106"/>
      <c r="J486" s="3106"/>
      <c r="K486" s="3106"/>
      <c r="L486" s="3106"/>
      <c r="M486" s="3106"/>
      <c r="N486" s="3106"/>
      <c r="O486" s="3106"/>
      <c r="P486" s="3106"/>
      <c r="Q486" s="3106"/>
      <c r="R486" s="3106"/>
      <c r="S486" s="3106"/>
      <c r="T486" s="3106"/>
      <c r="U486" s="3106"/>
      <c r="V486" s="3106"/>
      <c r="W486" s="3106"/>
      <c r="X486" s="3106"/>
      <c r="Y486" s="3106"/>
      <c r="Z486" s="3106"/>
      <c r="AA486" s="3106"/>
      <c r="AB486" s="3106"/>
      <c r="AC486" s="927"/>
      <c r="AD486" s="927"/>
      <c r="AE486" s="927"/>
      <c r="AF486" s="3061" t="s">
        <v>1622</v>
      </c>
      <c r="AG486" s="3061"/>
      <c r="AH486" s="3061"/>
      <c r="AI486" s="3061"/>
      <c r="AJ486" s="3061"/>
      <c r="AK486" s="3061"/>
      <c r="AL486" s="3061"/>
      <c r="AM486" s="1026"/>
      <c r="AN486" s="1133"/>
      <c r="AT486" s="51"/>
      <c r="AU486" s="51"/>
      <c r="AV486" s="51"/>
      <c r="AW486" s="51"/>
      <c r="AX486" s="51"/>
      <c r="AY486" s="51"/>
      <c r="AZ486" s="51"/>
    </row>
    <row r="487" spans="1:81" s="1134" customFormat="1" ht="13">
      <c r="A487" s="1060"/>
      <c r="B487" s="1023"/>
      <c r="C487" s="1639"/>
      <c r="D487" s="1106"/>
      <c r="E487" s="3106"/>
      <c r="F487" s="3106"/>
      <c r="G487" s="3106"/>
      <c r="H487" s="3106"/>
      <c r="I487" s="3106"/>
      <c r="J487" s="3106"/>
      <c r="K487" s="3106"/>
      <c r="L487" s="3106"/>
      <c r="M487" s="3106"/>
      <c r="N487" s="3106"/>
      <c r="O487" s="3106"/>
      <c r="P487" s="3106"/>
      <c r="Q487" s="3106"/>
      <c r="R487" s="3106"/>
      <c r="S487" s="3106"/>
      <c r="T487" s="3106"/>
      <c r="U487" s="3106"/>
      <c r="V487" s="3106"/>
      <c r="W487" s="3106"/>
      <c r="X487" s="3106"/>
      <c r="Y487" s="3106"/>
      <c r="Z487" s="3106"/>
      <c r="AA487" s="3106"/>
      <c r="AB487" s="310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6" t="s">
        <v>1721</v>
      </c>
      <c r="F489" s="3106"/>
      <c r="G489" s="3106"/>
      <c r="H489" s="3106"/>
      <c r="I489" s="3106"/>
      <c r="J489" s="3106"/>
      <c r="K489" s="3106"/>
      <c r="L489" s="3106"/>
      <c r="M489" s="3106"/>
      <c r="N489" s="3106"/>
      <c r="O489" s="3106"/>
      <c r="P489" s="3106"/>
      <c r="Q489" s="3106"/>
      <c r="R489" s="3106"/>
      <c r="S489" s="3106"/>
      <c r="T489" s="3106"/>
      <c r="U489" s="3106"/>
      <c r="V489" s="3106"/>
      <c r="W489" s="3106"/>
      <c r="X489" s="3106"/>
      <c r="Y489" s="3106"/>
      <c r="Z489" s="3106"/>
      <c r="AA489" s="3106"/>
      <c r="AB489" s="3106"/>
      <c r="AC489" s="927"/>
      <c r="AD489" s="927"/>
      <c r="AE489" s="927"/>
      <c r="AF489" s="3061" t="s">
        <v>1686</v>
      </c>
      <c r="AG489" s="3061"/>
      <c r="AH489" s="3061"/>
      <c r="AI489" s="3061"/>
      <c r="AJ489" s="3061"/>
      <c r="AK489" s="3061"/>
      <c r="AL489" s="3061"/>
      <c r="AM489" s="1026"/>
      <c r="AN489" s="1133"/>
      <c r="AT489" s="51"/>
      <c r="AU489" s="51"/>
      <c r="AV489" s="51"/>
      <c r="AW489" s="51"/>
      <c r="AX489" s="51"/>
      <c r="AY489" s="51"/>
      <c r="AZ489" s="51"/>
    </row>
    <row r="490" spans="1:81" s="1134" customFormat="1" ht="13">
      <c r="A490" s="1060"/>
      <c r="B490" s="1023"/>
      <c r="C490" s="1639"/>
      <c r="D490" s="1023"/>
      <c r="E490" s="3106"/>
      <c r="F490" s="3106"/>
      <c r="G490" s="3106"/>
      <c r="H490" s="3106"/>
      <c r="I490" s="3106"/>
      <c r="J490" s="3106"/>
      <c r="K490" s="3106"/>
      <c r="L490" s="3106"/>
      <c r="M490" s="3106"/>
      <c r="N490" s="3106"/>
      <c r="O490" s="3106"/>
      <c r="P490" s="3106"/>
      <c r="Q490" s="3106"/>
      <c r="R490" s="3106"/>
      <c r="S490" s="3106"/>
      <c r="T490" s="3106"/>
      <c r="U490" s="3106"/>
      <c r="V490" s="3106"/>
      <c r="W490" s="3106"/>
      <c r="X490" s="3106"/>
      <c r="Y490" s="3106"/>
      <c r="Z490" s="3106"/>
      <c r="AA490" s="3106"/>
      <c r="AB490" s="310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25" t="s">
        <v>626</v>
      </c>
      <c r="I492" s="312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85">
        <f>VLOOKUP($H$492,$AO$427:$AP$429,2,FALSE)</f>
        <v>0</v>
      </c>
      <c r="AK494" s="308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106" t="s">
        <v>1724</v>
      </c>
      <c r="F498" s="3106"/>
      <c r="G498" s="3106"/>
      <c r="H498" s="3106"/>
      <c r="I498" s="3106"/>
      <c r="J498" s="3106"/>
      <c r="K498" s="3106"/>
      <c r="L498" s="3106"/>
      <c r="M498" s="3106"/>
      <c r="N498" s="3106"/>
      <c r="O498" s="3106"/>
      <c r="P498" s="3106"/>
      <c r="Q498" s="3106"/>
      <c r="R498" s="3106"/>
      <c r="S498" s="3106"/>
      <c r="T498" s="3106"/>
      <c r="U498" s="3106"/>
      <c r="V498" s="3106"/>
      <c r="W498" s="3106"/>
      <c r="X498" s="3106"/>
      <c r="Y498" s="3106"/>
      <c r="Z498" s="3106"/>
      <c r="AA498" s="3106"/>
      <c r="AB498" s="3106"/>
      <c r="AC498" s="927"/>
      <c r="AD498" s="927"/>
      <c r="AE498" s="927"/>
      <c r="AF498" s="3061" t="s">
        <v>1622</v>
      </c>
      <c r="AG498" s="3061"/>
      <c r="AH498" s="3061"/>
      <c r="AI498" s="3061"/>
      <c r="AJ498" s="3061"/>
      <c r="AK498" s="3061"/>
      <c r="AL498" s="3061"/>
      <c r="AM498" s="1026"/>
      <c r="AN498" s="1133"/>
      <c r="AT498" s="51"/>
      <c r="AU498" s="51"/>
      <c r="AV498" s="51"/>
      <c r="AW498" s="51"/>
      <c r="AX498" s="51"/>
      <c r="AY498" s="51"/>
      <c r="AZ498" s="51"/>
    </row>
    <row r="499" spans="1:81" s="1134" customFormat="1" ht="13">
      <c r="A499" s="1060"/>
      <c r="B499" s="927"/>
      <c r="C499" s="1637"/>
      <c r="D499" s="1106"/>
      <c r="E499" s="3106"/>
      <c r="F499" s="3106"/>
      <c r="G499" s="3106"/>
      <c r="H499" s="3106"/>
      <c r="I499" s="3106"/>
      <c r="J499" s="3106"/>
      <c r="K499" s="3106"/>
      <c r="L499" s="3106"/>
      <c r="M499" s="3106"/>
      <c r="N499" s="3106"/>
      <c r="O499" s="3106"/>
      <c r="P499" s="3106"/>
      <c r="Q499" s="3106"/>
      <c r="R499" s="3106"/>
      <c r="S499" s="3106"/>
      <c r="T499" s="3106"/>
      <c r="U499" s="3106"/>
      <c r="V499" s="3106"/>
      <c r="W499" s="3106"/>
      <c r="X499" s="3106"/>
      <c r="Y499" s="3106"/>
      <c r="Z499" s="3106"/>
      <c r="AA499" s="3106"/>
      <c r="AB499" s="310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106"/>
      <c r="F500" s="3106"/>
      <c r="G500" s="3106"/>
      <c r="H500" s="3106"/>
      <c r="I500" s="3106"/>
      <c r="J500" s="3106"/>
      <c r="K500" s="3106"/>
      <c r="L500" s="3106"/>
      <c r="M500" s="3106"/>
      <c r="N500" s="3106"/>
      <c r="O500" s="3106"/>
      <c r="P500" s="3106"/>
      <c r="Q500" s="3106"/>
      <c r="R500" s="3106"/>
      <c r="S500" s="3106"/>
      <c r="T500" s="3106"/>
      <c r="U500" s="3106"/>
      <c r="V500" s="3106"/>
      <c r="W500" s="3106"/>
      <c r="X500" s="3106"/>
      <c r="Y500" s="3106"/>
      <c r="Z500" s="3106"/>
      <c r="AA500" s="3106"/>
      <c r="AB500" s="310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6"/>
      <c r="F501" s="3106"/>
      <c r="G501" s="3106"/>
      <c r="H501" s="3106"/>
      <c r="I501" s="3106"/>
      <c r="J501" s="3106"/>
      <c r="K501" s="3106"/>
      <c r="L501" s="3106"/>
      <c r="M501" s="3106"/>
      <c r="N501" s="3106"/>
      <c r="O501" s="3106"/>
      <c r="P501" s="3106"/>
      <c r="Q501" s="3106"/>
      <c r="R501" s="3106"/>
      <c r="S501" s="3106"/>
      <c r="T501" s="3106"/>
      <c r="U501" s="3106"/>
      <c r="V501" s="3106"/>
      <c r="W501" s="3106"/>
      <c r="X501" s="3106"/>
      <c r="Y501" s="3106"/>
      <c r="Z501" s="3106"/>
      <c r="AA501" s="3106"/>
      <c r="AB501" s="310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106" t="s">
        <v>1725</v>
      </c>
      <c r="F503" s="3106"/>
      <c r="G503" s="3106"/>
      <c r="H503" s="3106"/>
      <c r="I503" s="3106"/>
      <c r="J503" s="3106"/>
      <c r="K503" s="3106"/>
      <c r="L503" s="3106"/>
      <c r="M503" s="3106"/>
      <c r="N503" s="3106"/>
      <c r="O503" s="3106"/>
      <c r="P503" s="3106"/>
      <c r="Q503" s="3106"/>
      <c r="R503" s="3106"/>
      <c r="S503" s="3106"/>
      <c r="T503" s="3106"/>
      <c r="U503" s="3106"/>
      <c r="V503" s="3106"/>
      <c r="W503" s="3106"/>
      <c r="X503" s="3106"/>
      <c r="Y503" s="3106"/>
      <c r="Z503" s="3106"/>
      <c r="AA503" s="3106"/>
      <c r="AB503" s="969"/>
      <c r="AC503" s="927"/>
      <c r="AD503" s="927"/>
      <c r="AE503" s="927"/>
      <c r="AF503" s="3061" t="s">
        <v>1686</v>
      </c>
      <c r="AG503" s="3061"/>
      <c r="AH503" s="3061"/>
      <c r="AI503" s="3061"/>
      <c r="AJ503" s="3061"/>
      <c r="AK503" s="3061"/>
      <c r="AL503" s="3061"/>
      <c r="AM503" s="1026"/>
      <c r="AN503" s="1133"/>
      <c r="AO503" s="126"/>
      <c r="AP503" s="51"/>
    </row>
    <row r="504" spans="1:81" s="1134" customFormat="1" ht="13">
      <c r="A504" s="1060"/>
      <c r="B504" s="1006"/>
      <c r="C504" s="1637"/>
      <c r="D504" s="1106"/>
      <c r="E504" s="3106"/>
      <c r="F504" s="3106"/>
      <c r="G504" s="3106"/>
      <c r="H504" s="3106"/>
      <c r="I504" s="3106"/>
      <c r="J504" s="3106"/>
      <c r="K504" s="3106"/>
      <c r="L504" s="3106"/>
      <c r="M504" s="3106"/>
      <c r="N504" s="3106"/>
      <c r="O504" s="3106"/>
      <c r="P504" s="3106"/>
      <c r="Q504" s="3106"/>
      <c r="R504" s="3106"/>
      <c r="S504" s="3106"/>
      <c r="T504" s="3106"/>
      <c r="U504" s="3106"/>
      <c r="V504" s="3106"/>
      <c r="W504" s="3106"/>
      <c r="X504" s="3106"/>
      <c r="Y504" s="3106"/>
      <c r="Z504" s="3106"/>
      <c r="AA504" s="3106"/>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106"/>
      <c r="F505" s="3106"/>
      <c r="G505" s="3106"/>
      <c r="H505" s="3106"/>
      <c r="I505" s="3106"/>
      <c r="J505" s="3106"/>
      <c r="K505" s="3106"/>
      <c r="L505" s="3106"/>
      <c r="M505" s="3106"/>
      <c r="N505" s="3106"/>
      <c r="O505" s="3106"/>
      <c r="P505" s="3106"/>
      <c r="Q505" s="3106"/>
      <c r="R505" s="3106"/>
      <c r="S505" s="3106"/>
      <c r="T505" s="3106"/>
      <c r="U505" s="3106"/>
      <c r="V505" s="3106"/>
      <c r="W505" s="3106"/>
      <c r="X505" s="3106"/>
      <c r="Y505" s="3106"/>
      <c r="Z505" s="3106"/>
      <c r="AA505" s="3106"/>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106"/>
      <c r="F506" s="3106"/>
      <c r="G506" s="3106"/>
      <c r="H506" s="3106"/>
      <c r="I506" s="3106"/>
      <c r="J506" s="3106"/>
      <c r="K506" s="3106"/>
      <c r="L506" s="3106"/>
      <c r="M506" s="3106"/>
      <c r="N506" s="3106"/>
      <c r="O506" s="3106"/>
      <c r="P506" s="3106"/>
      <c r="Q506" s="3106"/>
      <c r="R506" s="3106"/>
      <c r="S506" s="3106"/>
      <c r="T506" s="3106"/>
      <c r="U506" s="3106"/>
      <c r="V506" s="3106"/>
      <c r="W506" s="3106"/>
      <c r="X506" s="3106"/>
      <c r="Y506" s="3106"/>
      <c r="Z506" s="3106"/>
      <c r="AA506" s="3106"/>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25" t="s">
        <v>542</v>
      </c>
      <c r="I508" s="312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85">
        <f>VLOOKUP($H$508,$AO$441:$AP$443,2,FALSE)</f>
        <v>2</v>
      </c>
      <c r="AK510" s="308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106" t="s">
        <v>1727</v>
      </c>
      <c r="F514" s="3106"/>
      <c r="G514" s="3106"/>
      <c r="H514" s="3106"/>
      <c r="I514" s="3106"/>
      <c r="J514" s="3106"/>
      <c r="K514" s="3106"/>
      <c r="L514" s="3106"/>
      <c r="M514" s="3106"/>
      <c r="N514" s="3106"/>
      <c r="O514" s="3106"/>
      <c r="P514" s="3106"/>
      <c r="Q514" s="3106"/>
      <c r="R514" s="3106"/>
      <c r="S514" s="3106"/>
      <c r="T514" s="3106"/>
      <c r="U514" s="3106"/>
      <c r="V514" s="3106"/>
      <c r="W514" s="3106"/>
      <c r="X514" s="3106"/>
      <c r="Y514" s="3106"/>
      <c r="Z514" s="3106"/>
      <c r="AA514" s="3106"/>
      <c r="AB514" s="3106"/>
      <c r="AC514" s="927"/>
      <c r="AD514" s="927"/>
      <c r="AE514" s="927"/>
      <c r="AF514" s="3061" t="s">
        <v>1686</v>
      </c>
      <c r="AG514" s="3061"/>
      <c r="AH514" s="3061"/>
      <c r="AI514" s="3061"/>
      <c r="AJ514" s="3061"/>
      <c r="AK514" s="3061"/>
      <c r="AL514" s="306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106"/>
      <c r="F515" s="3106"/>
      <c r="G515" s="3106"/>
      <c r="H515" s="3106"/>
      <c r="I515" s="3106"/>
      <c r="J515" s="3106"/>
      <c r="K515" s="3106"/>
      <c r="L515" s="3106"/>
      <c r="M515" s="3106"/>
      <c r="N515" s="3106"/>
      <c r="O515" s="3106"/>
      <c r="P515" s="3106"/>
      <c r="Q515" s="3106"/>
      <c r="R515" s="3106"/>
      <c r="S515" s="3106"/>
      <c r="T515" s="3106"/>
      <c r="U515" s="3106"/>
      <c r="V515" s="3106"/>
      <c r="W515" s="3106"/>
      <c r="X515" s="3106"/>
      <c r="Y515" s="3106"/>
      <c r="Z515" s="3106"/>
      <c r="AA515" s="3106"/>
      <c r="AB515" s="310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106" t="s">
        <v>1728</v>
      </c>
      <c r="F517" s="3106"/>
      <c r="G517" s="3106"/>
      <c r="H517" s="3106"/>
      <c r="I517" s="3106"/>
      <c r="J517" s="3106"/>
      <c r="K517" s="3106"/>
      <c r="L517" s="3106"/>
      <c r="M517" s="3106"/>
      <c r="N517" s="3106"/>
      <c r="O517" s="3106"/>
      <c r="P517" s="3106"/>
      <c r="Q517" s="3106"/>
      <c r="R517" s="3106"/>
      <c r="S517" s="3106"/>
      <c r="T517" s="3106"/>
      <c r="U517" s="3106"/>
      <c r="V517" s="3106"/>
      <c r="W517" s="3106"/>
      <c r="X517" s="3106"/>
      <c r="Y517" s="3106"/>
      <c r="Z517" s="3106"/>
      <c r="AA517" s="3106"/>
      <c r="AB517" s="3106"/>
      <c r="AC517" s="927"/>
      <c r="AD517" s="927"/>
      <c r="AE517" s="927"/>
      <c r="AF517" s="3061" t="s">
        <v>1705</v>
      </c>
      <c r="AG517" s="3061"/>
      <c r="AH517" s="3061"/>
      <c r="AI517" s="3061"/>
      <c r="AJ517" s="3061"/>
      <c r="AK517" s="3061"/>
      <c r="AL517" s="306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6"/>
      <c r="F518" s="3106"/>
      <c r="G518" s="3106"/>
      <c r="H518" s="3106"/>
      <c r="I518" s="3106"/>
      <c r="J518" s="3106"/>
      <c r="K518" s="3106"/>
      <c r="L518" s="3106"/>
      <c r="M518" s="3106"/>
      <c r="N518" s="3106"/>
      <c r="O518" s="3106"/>
      <c r="P518" s="3106"/>
      <c r="Q518" s="3106"/>
      <c r="R518" s="3106"/>
      <c r="S518" s="3106"/>
      <c r="T518" s="3106"/>
      <c r="U518" s="3106"/>
      <c r="V518" s="3106"/>
      <c r="W518" s="3106"/>
      <c r="X518" s="3106"/>
      <c r="Y518" s="3106"/>
      <c r="Z518" s="3106"/>
      <c r="AA518" s="3106"/>
      <c r="AB518" s="310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25" t="s">
        <v>542</v>
      </c>
      <c r="I520" s="312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85">
        <f>VLOOKUP($H$520,$AO$455:$AP$457,2,FALSE)</f>
        <v>1</v>
      </c>
      <c r="AK522" s="308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106" t="s">
        <v>2187</v>
      </c>
      <c r="F526" s="3106"/>
      <c r="G526" s="3106"/>
      <c r="H526" s="3106"/>
      <c r="I526" s="3106"/>
      <c r="J526" s="3106"/>
      <c r="K526" s="3106"/>
      <c r="L526" s="3106"/>
      <c r="M526" s="3106"/>
      <c r="N526" s="3106"/>
      <c r="O526" s="3106"/>
      <c r="P526" s="3106"/>
      <c r="Q526" s="3106"/>
      <c r="R526" s="3106"/>
      <c r="S526" s="3106"/>
      <c r="T526" s="3106"/>
      <c r="U526" s="3106"/>
      <c r="V526" s="3106"/>
      <c r="W526" s="3106"/>
      <c r="X526" s="3106"/>
      <c r="Y526" s="3106"/>
      <c r="Z526" s="3106"/>
      <c r="AA526" s="3106"/>
      <c r="AB526" s="3106"/>
      <c r="AC526" s="3106"/>
      <c r="AD526" s="3106"/>
      <c r="AE526" s="927"/>
      <c r="AF526" s="3061" t="s">
        <v>1686</v>
      </c>
      <c r="AG526" s="3061"/>
      <c r="AH526" s="3061"/>
      <c r="AI526" s="3061"/>
      <c r="AJ526" s="3061"/>
      <c r="AK526" s="3061"/>
      <c r="AL526" s="3061"/>
      <c r="AM526" s="1031"/>
      <c r="AN526" s="1133"/>
    </row>
    <row r="527" spans="1:74" s="1134" customFormat="1" ht="13.75" customHeight="1">
      <c r="A527" s="1060"/>
      <c r="B527" s="1035"/>
      <c r="C527" s="1649"/>
      <c r="D527" s="1106"/>
      <c r="E527" s="3106"/>
      <c r="F527" s="3106"/>
      <c r="G527" s="3106"/>
      <c r="H527" s="3106"/>
      <c r="I527" s="3106"/>
      <c r="J527" s="3106"/>
      <c r="K527" s="3106"/>
      <c r="L527" s="3106"/>
      <c r="M527" s="3106"/>
      <c r="N527" s="3106"/>
      <c r="O527" s="3106"/>
      <c r="P527" s="3106"/>
      <c r="Q527" s="3106"/>
      <c r="R527" s="3106"/>
      <c r="S527" s="3106"/>
      <c r="T527" s="3106"/>
      <c r="U527" s="3106"/>
      <c r="V527" s="3106"/>
      <c r="W527" s="3106"/>
      <c r="X527" s="3106"/>
      <c r="Y527" s="3106"/>
      <c r="Z527" s="3106"/>
      <c r="AA527" s="3106"/>
      <c r="AB527" s="3106"/>
      <c r="AC527" s="3106"/>
      <c r="AD527" s="3106"/>
      <c r="AE527" s="927"/>
      <c r="AF527" s="1596"/>
      <c r="AG527" s="1596"/>
      <c r="AH527" s="1596"/>
      <c r="AI527" s="1596"/>
      <c r="AJ527" s="1596"/>
      <c r="AK527" s="1596"/>
      <c r="AL527" s="1596"/>
      <c r="AM527" s="1031"/>
      <c r="AN527" s="1133"/>
    </row>
    <row r="528" spans="1:74" s="1134" customFormat="1" ht="13">
      <c r="A528" s="1060"/>
      <c r="B528" s="1035"/>
      <c r="C528" s="1649"/>
      <c r="D528" s="1106"/>
      <c r="E528" s="3106"/>
      <c r="F528" s="3106"/>
      <c r="G528" s="3106"/>
      <c r="H528" s="3106"/>
      <c r="I528" s="3106"/>
      <c r="J528" s="3106"/>
      <c r="K528" s="3106"/>
      <c r="L528" s="3106"/>
      <c r="M528" s="3106"/>
      <c r="N528" s="3106"/>
      <c r="O528" s="3106"/>
      <c r="P528" s="3106"/>
      <c r="Q528" s="3106"/>
      <c r="R528" s="3106"/>
      <c r="S528" s="3106"/>
      <c r="T528" s="3106"/>
      <c r="U528" s="3106"/>
      <c r="V528" s="3106"/>
      <c r="W528" s="3106"/>
      <c r="X528" s="3106"/>
      <c r="Y528" s="3106"/>
      <c r="Z528" s="3106"/>
      <c r="AA528" s="3106"/>
      <c r="AB528" s="3106"/>
      <c r="AC528" s="3106"/>
      <c r="AD528" s="310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106"/>
      <c r="F529" s="3106"/>
      <c r="G529" s="3106"/>
      <c r="H529" s="3106"/>
      <c r="I529" s="3106"/>
      <c r="J529" s="3106"/>
      <c r="K529" s="3106"/>
      <c r="L529" s="3106"/>
      <c r="M529" s="3106"/>
      <c r="N529" s="3106"/>
      <c r="O529" s="3106"/>
      <c r="P529" s="3106"/>
      <c r="Q529" s="3106"/>
      <c r="R529" s="3106"/>
      <c r="S529" s="3106"/>
      <c r="T529" s="3106"/>
      <c r="U529" s="3106"/>
      <c r="V529" s="3106"/>
      <c r="W529" s="3106"/>
      <c r="X529" s="3106"/>
      <c r="Y529" s="3106"/>
      <c r="Z529" s="3106"/>
      <c r="AA529" s="3106"/>
      <c r="AB529" s="3106"/>
      <c r="AC529" s="3106"/>
      <c r="AD529" s="310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33" t="s">
        <v>2195</v>
      </c>
      <c r="F531" s="3133"/>
      <c r="G531" s="3133"/>
      <c r="H531" s="3133"/>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33"/>
      <c r="AD531" s="3133"/>
      <c r="AE531" s="927"/>
      <c r="AF531" s="3061" t="s">
        <v>1622</v>
      </c>
      <c r="AG531" s="3061"/>
      <c r="AH531" s="3061"/>
      <c r="AI531" s="3061"/>
      <c r="AJ531" s="3061"/>
      <c r="AK531" s="3061"/>
      <c r="AL531" s="3061"/>
      <c r="AM531" s="1031"/>
      <c r="AN531" s="1000"/>
    </row>
    <row r="532" spans="1:81" s="943" customFormat="1" ht="12.75" customHeight="1">
      <c r="A532" s="1060"/>
      <c r="B532" s="1035"/>
      <c r="C532" s="1649"/>
      <c r="D532" s="1106"/>
      <c r="E532" s="3133"/>
      <c r="F532" s="3133"/>
      <c r="G532" s="3133"/>
      <c r="H532" s="3133"/>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33"/>
      <c r="AD532" s="313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33"/>
      <c r="F533" s="3133"/>
      <c r="G533" s="3133"/>
      <c r="H533" s="3133"/>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33"/>
      <c r="AD533" s="313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33"/>
      <c r="F534" s="3133"/>
      <c r="G534" s="3133"/>
      <c r="H534" s="3133"/>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33"/>
      <c r="AD534" s="313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25" t="s">
        <v>626</v>
      </c>
      <c r="I536" s="312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85">
        <f>VLOOKUP($H$536,$AP$477:$AQ$479,2,FALSE)</f>
        <v>0</v>
      </c>
      <c r="AK538" s="3087"/>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106" t="s">
        <v>2186</v>
      </c>
      <c r="F542" s="3106"/>
      <c r="G542" s="3106"/>
      <c r="H542" s="3106"/>
      <c r="I542" s="3106"/>
      <c r="J542" s="3106"/>
      <c r="K542" s="3106"/>
      <c r="L542" s="3106"/>
      <c r="M542" s="3106"/>
      <c r="N542" s="3106"/>
      <c r="O542" s="3106"/>
      <c r="P542" s="3106"/>
      <c r="Q542" s="3106"/>
      <c r="R542" s="3106"/>
      <c r="S542" s="3106"/>
      <c r="T542" s="3106"/>
      <c r="U542" s="3106"/>
      <c r="V542" s="3106"/>
      <c r="W542" s="3106"/>
      <c r="X542" s="3106"/>
      <c r="Y542" s="3106"/>
      <c r="Z542" s="3106"/>
      <c r="AA542" s="3106"/>
      <c r="AB542" s="3106"/>
      <c r="AC542" s="3106"/>
      <c r="AD542" s="3106"/>
      <c r="AE542" s="927"/>
      <c r="AF542" s="3061" t="s">
        <v>1732</v>
      </c>
      <c r="AG542" s="3061"/>
      <c r="AH542" s="3061"/>
      <c r="AI542" s="3061"/>
      <c r="AJ542" s="3061"/>
      <c r="AK542" s="3061"/>
      <c r="AL542" s="3061"/>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106"/>
      <c r="F543" s="3106"/>
      <c r="G543" s="3106"/>
      <c r="H543" s="3106"/>
      <c r="I543" s="3106"/>
      <c r="J543" s="3106"/>
      <c r="K543" s="3106"/>
      <c r="L543" s="3106"/>
      <c r="M543" s="3106"/>
      <c r="N543" s="3106"/>
      <c r="O543" s="3106"/>
      <c r="P543" s="3106"/>
      <c r="Q543" s="3106"/>
      <c r="R543" s="3106"/>
      <c r="S543" s="3106"/>
      <c r="T543" s="3106"/>
      <c r="U543" s="3106"/>
      <c r="V543" s="3106"/>
      <c r="W543" s="3106"/>
      <c r="X543" s="3106"/>
      <c r="Y543" s="3106"/>
      <c r="Z543" s="3106"/>
      <c r="AA543" s="3106"/>
      <c r="AB543" s="3106"/>
      <c r="AC543" s="3106"/>
      <c r="AD543" s="310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106"/>
      <c r="F544" s="3106"/>
      <c r="G544" s="3106"/>
      <c r="H544" s="3106"/>
      <c r="I544" s="3106"/>
      <c r="J544" s="3106"/>
      <c r="K544" s="3106"/>
      <c r="L544" s="3106"/>
      <c r="M544" s="3106"/>
      <c r="N544" s="3106"/>
      <c r="O544" s="3106"/>
      <c r="P544" s="3106"/>
      <c r="Q544" s="3106"/>
      <c r="R544" s="3106"/>
      <c r="S544" s="3106"/>
      <c r="T544" s="3106"/>
      <c r="U544" s="3106"/>
      <c r="V544" s="3106"/>
      <c r="W544" s="3106"/>
      <c r="X544" s="3106"/>
      <c r="Y544" s="3106"/>
      <c r="Z544" s="3106"/>
      <c r="AA544" s="3106"/>
      <c r="AB544" s="3106"/>
      <c r="AC544" s="3106"/>
      <c r="AD544" s="310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106"/>
      <c r="F545" s="3106"/>
      <c r="G545" s="3106"/>
      <c r="H545" s="3106"/>
      <c r="I545" s="3106"/>
      <c r="J545" s="3106"/>
      <c r="K545" s="3106"/>
      <c r="L545" s="3106"/>
      <c r="M545" s="3106"/>
      <c r="N545" s="3106"/>
      <c r="O545" s="3106"/>
      <c r="P545" s="3106"/>
      <c r="Q545" s="3106"/>
      <c r="R545" s="3106"/>
      <c r="S545" s="3106"/>
      <c r="T545" s="3106"/>
      <c r="U545" s="3106"/>
      <c r="V545" s="3106"/>
      <c r="W545" s="3106"/>
      <c r="X545" s="3106"/>
      <c r="Y545" s="3106"/>
      <c r="Z545" s="3106"/>
      <c r="AA545" s="3106"/>
      <c r="AB545" s="3106"/>
      <c r="AC545" s="3106"/>
      <c r="AD545" s="310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1678</v>
      </c>
      <c r="E547" s="1643"/>
      <c r="F547" s="1643"/>
      <c r="G547" s="1643"/>
      <c r="H547" s="3125" t="s">
        <v>626</v>
      </c>
      <c r="I547" s="312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85">
        <f>VLOOKUP($H$547,$AO$541:$AP$542,2,FALSE)</f>
        <v>0</v>
      </c>
      <c r="AK549" s="308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85">
        <f>IF(($AJ$382+$AJ$401+$AJ$413+$AJ$448+$AJ$468+$AJ$482+$AJ$494+$AJ$510+$AJ$522+$AJ$538+AJ549)&gt;10,10,($AJ$382+$AJ$401+$AJ$413+$AJ$448+$AJ$468+$AJ$482+$AJ$494+$AJ$510+$AJ$522+$AJ$538+AJ549))</f>
        <v>10</v>
      </c>
      <c r="AL551" s="3086"/>
      <c r="AM551" s="308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85">
        <f>IF((AK320+AK551)&gt;20,20,(AK320+AK551))</f>
        <v>19</v>
      </c>
      <c r="AL553" s="3086"/>
      <c r="AM553" s="308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5" t="s">
        <v>1584</v>
      </c>
      <c r="AF556" s="3075"/>
      <c r="AG556" s="3075"/>
      <c r="AH556" s="3075"/>
      <c r="AI556" s="3075"/>
      <c r="AJ556" s="3075"/>
      <c r="AK556" s="307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32" t="s">
        <v>1737</v>
      </c>
      <c r="D558" s="3132"/>
      <c r="E558" s="3132"/>
      <c r="F558" s="3132"/>
      <c r="G558" s="3132"/>
      <c r="H558" s="3132"/>
      <c r="I558" s="3132"/>
      <c r="J558" s="3132"/>
      <c r="K558" s="3132"/>
      <c r="L558" s="3132"/>
      <c r="M558" s="3132"/>
      <c r="N558" s="3132"/>
      <c r="O558" s="3132"/>
      <c r="P558" s="3132"/>
      <c r="Q558" s="3132"/>
      <c r="R558" s="3132"/>
      <c r="S558" s="3132"/>
      <c r="T558" s="3132"/>
      <c r="U558" s="3132"/>
      <c r="V558" s="3132"/>
      <c r="W558" s="3132"/>
      <c r="X558" s="3132"/>
      <c r="Y558" s="3132"/>
      <c r="Z558" s="3132"/>
      <c r="AA558" s="3132"/>
      <c r="AB558" s="3132"/>
      <c r="AC558" s="3132"/>
      <c r="AD558" s="3132"/>
      <c r="AE558" s="3132"/>
      <c r="AF558" s="3132"/>
      <c r="AG558" s="3132"/>
      <c r="AH558" s="3132"/>
      <c r="AI558" s="3132"/>
      <c r="AJ558" s="3132"/>
      <c r="AK558" s="1027"/>
      <c r="AL558" s="1027"/>
      <c r="AM558" s="1027"/>
      <c r="AN558" s="1000"/>
    </row>
    <row r="559" spans="1:81" s="943" customFormat="1" ht="12.75" customHeight="1">
      <c r="A559" s="1027"/>
      <c r="B559" s="1028"/>
      <c r="C559" s="3132"/>
      <c r="D559" s="3132"/>
      <c r="E559" s="3132"/>
      <c r="F559" s="3132"/>
      <c r="G559" s="3132"/>
      <c r="H559" s="3132"/>
      <c r="I559" s="3132"/>
      <c r="J559" s="3132"/>
      <c r="K559" s="3132"/>
      <c r="L559" s="3132"/>
      <c r="M559" s="3132"/>
      <c r="N559" s="3132"/>
      <c r="O559" s="3132"/>
      <c r="P559" s="3132"/>
      <c r="Q559" s="3132"/>
      <c r="R559" s="3132"/>
      <c r="S559" s="3132"/>
      <c r="T559" s="3132"/>
      <c r="U559" s="3132"/>
      <c r="V559" s="3132"/>
      <c r="W559" s="3132"/>
      <c r="X559" s="3132"/>
      <c r="Y559" s="3132"/>
      <c r="Z559" s="3132"/>
      <c r="AA559" s="3132"/>
      <c r="AB559" s="3132"/>
      <c r="AC559" s="3132"/>
      <c r="AD559" s="3132"/>
      <c r="AE559" s="3132"/>
      <c r="AF559" s="3132"/>
      <c r="AG559" s="3132"/>
      <c r="AH559" s="3132"/>
      <c r="AI559" s="3132"/>
      <c r="AJ559" s="3132"/>
      <c r="AK559" s="1027"/>
      <c r="AL559" s="1027"/>
      <c r="AM559" s="1027"/>
      <c r="AN559" s="1000"/>
    </row>
    <row r="560" spans="1:81" s="943" customFormat="1" ht="12.75" customHeight="1">
      <c r="A560" s="1027"/>
      <c r="B560" s="1028"/>
      <c r="C560" s="3132"/>
      <c r="D560" s="3132"/>
      <c r="E560" s="3132"/>
      <c r="F560" s="3132"/>
      <c r="G560" s="3132"/>
      <c r="H560" s="3132"/>
      <c r="I560" s="3132"/>
      <c r="J560" s="3132"/>
      <c r="K560" s="3132"/>
      <c r="L560" s="3132"/>
      <c r="M560" s="3132"/>
      <c r="N560" s="3132"/>
      <c r="O560" s="3132"/>
      <c r="P560" s="3132"/>
      <c r="Q560" s="3132"/>
      <c r="R560" s="3132"/>
      <c r="S560" s="3132"/>
      <c r="T560" s="3132"/>
      <c r="U560" s="3132"/>
      <c r="V560" s="3132"/>
      <c r="W560" s="3132"/>
      <c r="X560" s="3132"/>
      <c r="Y560" s="3132"/>
      <c r="Z560" s="3132"/>
      <c r="AA560" s="3132"/>
      <c r="AB560" s="3132"/>
      <c r="AC560" s="3132"/>
      <c r="AD560" s="3132"/>
      <c r="AE560" s="3132"/>
      <c r="AF560" s="3132"/>
      <c r="AG560" s="3132"/>
      <c r="AH560" s="3132"/>
      <c r="AI560" s="3132"/>
      <c r="AJ560" s="3132"/>
      <c r="AK560" s="1027"/>
      <c r="AL560" s="1027"/>
      <c r="AM560" s="1027"/>
      <c r="AN560" s="1000"/>
      <c r="AQ560" s="1135"/>
      <c r="AR560" s="1002"/>
    </row>
    <row r="561" spans="1:46" s="943" customFormat="1" ht="12.75" customHeight="1">
      <c r="A561" s="1027"/>
      <c r="B561" s="1118"/>
      <c r="C561" s="3132"/>
      <c r="D561" s="3132"/>
      <c r="E561" s="3132"/>
      <c r="F561" s="3132"/>
      <c r="G561" s="3132"/>
      <c r="H561" s="3132"/>
      <c r="I561" s="3132"/>
      <c r="J561" s="3132"/>
      <c r="K561" s="3132"/>
      <c r="L561" s="3132"/>
      <c r="M561" s="3132"/>
      <c r="N561" s="3132"/>
      <c r="O561" s="3132"/>
      <c r="P561" s="3132"/>
      <c r="Q561" s="3132"/>
      <c r="R561" s="3132"/>
      <c r="S561" s="3132"/>
      <c r="T561" s="3132"/>
      <c r="U561" s="3132"/>
      <c r="V561" s="3132"/>
      <c r="W561" s="3132"/>
      <c r="X561" s="3132"/>
      <c r="Y561" s="3132"/>
      <c r="Z561" s="3132"/>
      <c r="AA561" s="3132"/>
      <c r="AB561" s="3132"/>
      <c r="AC561" s="3132"/>
      <c r="AD561" s="3132"/>
      <c r="AE561" s="3132"/>
      <c r="AF561" s="3132"/>
      <c r="AG561" s="3132"/>
      <c r="AH561" s="3132"/>
      <c r="AI561" s="3132"/>
      <c r="AJ561" s="3132"/>
      <c r="AK561" s="1027"/>
      <c r="AL561" s="1027"/>
      <c r="AM561" s="1027"/>
      <c r="AN561" s="1000"/>
      <c r="AQ561" s="1135"/>
      <c r="AR561" s="1002"/>
    </row>
    <row r="562" spans="1:46" s="943" customFormat="1" ht="12.4" customHeight="1">
      <c r="A562" s="1027"/>
      <c r="B562" s="1118"/>
      <c r="C562" s="3132"/>
      <c r="D562" s="3132"/>
      <c r="E562" s="3132"/>
      <c r="F562" s="3132"/>
      <c r="G562" s="3132"/>
      <c r="H562" s="3132"/>
      <c r="I562" s="3132"/>
      <c r="J562" s="3132"/>
      <c r="K562" s="3132"/>
      <c r="L562" s="3132"/>
      <c r="M562" s="3132"/>
      <c r="N562" s="3132"/>
      <c r="O562" s="3132"/>
      <c r="P562" s="3132"/>
      <c r="Q562" s="3132"/>
      <c r="R562" s="3132"/>
      <c r="S562" s="3132"/>
      <c r="T562" s="3132"/>
      <c r="U562" s="3132"/>
      <c r="V562" s="3132"/>
      <c r="W562" s="3132"/>
      <c r="X562" s="3132"/>
      <c r="Y562" s="3132"/>
      <c r="Z562" s="3132"/>
      <c r="AA562" s="3132"/>
      <c r="AB562" s="3132"/>
      <c r="AC562" s="3132"/>
      <c r="AD562" s="3132"/>
      <c r="AE562" s="3132"/>
      <c r="AF562" s="3132"/>
      <c r="AG562" s="3132"/>
      <c r="AH562" s="3132"/>
      <c r="AI562" s="3132"/>
      <c r="AJ562" s="3132"/>
      <c r="AK562" s="1027"/>
      <c r="AL562" s="1027"/>
      <c r="AM562" s="1027"/>
      <c r="AN562" s="1000"/>
      <c r="AQ562" s="1135"/>
      <c r="AR562" s="1135"/>
    </row>
    <row r="563" spans="1:46" s="943" customFormat="1" ht="25" customHeight="1">
      <c r="A563" s="1027"/>
      <c r="B563" s="1118"/>
      <c r="C563" s="3132" t="s">
        <v>1738</v>
      </c>
      <c r="D563" s="3132"/>
      <c r="E563" s="3132"/>
      <c r="F563" s="3132"/>
      <c r="G563" s="3132"/>
      <c r="H563" s="3132"/>
      <c r="I563" s="3132"/>
      <c r="J563" s="3132"/>
      <c r="K563" s="3132"/>
      <c r="L563" s="3132"/>
      <c r="M563" s="3132"/>
      <c r="N563" s="3132"/>
      <c r="O563" s="3132"/>
      <c r="P563" s="3132"/>
      <c r="Q563" s="3132"/>
      <c r="R563" s="3132"/>
      <c r="S563" s="3132"/>
      <c r="T563" s="3132"/>
      <c r="U563" s="3132"/>
      <c r="V563" s="3132"/>
      <c r="W563" s="3132"/>
      <c r="X563" s="3132"/>
      <c r="Y563" s="3132"/>
      <c r="Z563" s="3132"/>
      <c r="AA563" s="3132"/>
      <c r="AB563" s="3132"/>
      <c r="AC563" s="3132"/>
      <c r="AD563" s="3132"/>
      <c r="AE563" s="3132"/>
      <c r="AF563" s="3132"/>
      <c r="AG563" s="3132"/>
      <c r="AH563" s="3132"/>
      <c r="AI563" s="3132"/>
      <c r="AJ563" s="313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32" t="s">
        <v>2392</v>
      </c>
      <c r="D565" s="3132"/>
      <c r="E565" s="3132"/>
      <c r="F565" s="3132"/>
      <c r="G565" s="3132"/>
      <c r="H565" s="3132"/>
      <c r="I565" s="3132"/>
      <c r="J565" s="3132"/>
      <c r="K565" s="3132"/>
      <c r="L565" s="3132"/>
      <c r="M565" s="3132"/>
      <c r="N565" s="3132"/>
      <c r="O565" s="3132"/>
      <c r="P565" s="3132"/>
      <c r="Q565" s="3132"/>
      <c r="R565" s="3132"/>
      <c r="S565" s="3132"/>
      <c r="T565" s="3132"/>
      <c r="U565" s="3132"/>
      <c r="V565" s="3132"/>
      <c r="W565" s="3132"/>
      <c r="X565" s="3132"/>
      <c r="Y565" s="3132"/>
      <c r="Z565" s="3132"/>
      <c r="AA565" s="3132"/>
      <c r="AB565" s="3132"/>
      <c r="AC565" s="3132"/>
      <c r="AD565" s="3132"/>
      <c r="AE565" s="3132"/>
      <c r="AF565" s="3132"/>
      <c r="AG565" s="3132"/>
      <c r="AH565" s="3132"/>
      <c r="AI565" s="3132"/>
      <c r="AJ565" s="3132"/>
      <c r="AK565" s="1027"/>
      <c r="AL565" s="1027"/>
      <c r="AM565" s="1027"/>
      <c r="AN565" s="1000"/>
      <c r="AQ565" s="1135"/>
      <c r="AR565" s="1135"/>
    </row>
    <row r="566" spans="1:46" s="943" customFormat="1" ht="30" customHeight="1">
      <c r="A566" s="1027"/>
      <c r="B566" s="1118"/>
      <c r="C566" s="3132"/>
      <c r="D566" s="3132"/>
      <c r="E566" s="3132"/>
      <c r="F566" s="3132"/>
      <c r="G566" s="3132"/>
      <c r="H566" s="3132"/>
      <c r="I566" s="3132"/>
      <c r="J566" s="3132"/>
      <c r="K566" s="3132"/>
      <c r="L566" s="3132"/>
      <c r="M566" s="3132"/>
      <c r="N566" s="3132"/>
      <c r="O566" s="3132"/>
      <c r="P566" s="3132"/>
      <c r="Q566" s="3132"/>
      <c r="R566" s="3132"/>
      <c r="S566" s="3132"/>
      <c r="T566" s="3132"/>
      <c r="U566" s="3132"/>
      <c r="V566" s="3132"/>
      <c r="W566" s="3132"/>
      <c r="X566" s="3132"/>
      <c r="Y566" s="3132"/>
      <c r="Z566" s="3132"/>
      <c r="AA566" s="3132"/>
      <c r="AB566" s="3132"/>
      <c r="AC566" s="3132"/>
      <c r="AD566" s="3132"/>
      <c r="AE566" s="3132"/>
      <c r="AF566" s="3132"/>
      <c r="AG566" s="3132"/>
      <c r="AH566" s="3132"/>
      <c r="AI566" s="3132"/>
      <c r="AJ566" s="3132"/>
      <c r="AK566" s="1027"/>
      <c r="AL566" s="1027"/>
      <c r="AM566" s="1027"/>
      <c r="AN566" s="1000"/>
      <c r="AQ566" s="1002"/>
      <c r="AR566" s="1135"/>
    </row>
    <row r="567" spans="1:46" s="943" customFormat="1" ht="12.75" customHeight="1">
      <c r="A567" s="1027"/>
      <c r="B567" s="1118"/>
      <c r="C567" s="3132"/>
      <c r="D567" s="3132"/>
      <c r="E567" s="3132"/>
      <c r="F567" s="3132"/>
      <c r="G567" s="3132"/>
      <c r="H567" s="3132"/>
      <c r="I567" s="3132"/>
      <c r="J567" s="3132"/>
      <c r="K567" s="3132"/>
      <c r="L567" s="3132"/>
      <c r="M567" s="3132"/>
      <c r="N567" s="3132"/>
      <c r="O567" s="3132"/>
      <c r="P567" s="3132"/>
      <c r="Q567" s="3132"/>
      <c r="R567" s="3132"/>
      <c r="S567" s="3132"/>
      <c r="T567" s="3132"/>
      <c r="U567" s="3132"/>
      <c r="V567" s="3132"/>
      <c r="W567" s="3132"/>
      <c r="X567" s="3132"/>
      <c r="Y567" s="3132"/>
      <c r="Z567" s="3132"/>
      <c r="AA567" s="3132"/>
      <c r="AB567" s="3132"/>
      <c r="AC567" s="3132"/>
      <c r="AD567" s="3132"/>
      <c r="AE567" s="3132"/>
      <c r="AF567" s="3132"/>
      <c r="AG567" s="3132"/>
      <c r="AH567" s="3132"/>
      <c r="AI567" s="3132"/>
      <c r="AJ567" s="3132"/>
      <c r="AK567" s="1027"/>
      <c r="AL567" s="1027"/>
      <c r="AM567" s="1027"/>
      <c r="AN567" s="1000"/>
      <c r="AQ567" s="1002"/>
      <c r="AR567" s="1135"/>
    </row>
    <row r="568" spans="1:46" s="943" customFormat="1" ht="12.75" customHeight="1">
      <c r="A568" s="1027"/>
      <c r="B568" s="1118"/>
      <c r="C568" s="3132" t="s">
        <v>1739</v>
      </c>
      <c r="D568" s="3132"/>
      <c r="E568" s="3132"/>
      <c r="F568" s="3132"/>
      <c r="G568" s="3132"/>
      <c r="H568" s="3132"/>
      <c r="I568" s="3132"/>
      <c r="J568" s="3132"/>
      <c r="K568" s="3132"/>
      <c r="L568" s="3132"/>
      <c r="M568" s="3132"/>
      <c r="N568" s="3132"/>
      <c r="O568" s="3132"/>
      <c r="P568" s="3132"/>
      <c r="Q568" s="3132"/>
      <c r="R568" s="3132"/>
      <c r="S568" s="3132"/>
      <c r="T568" s="3132"/>
      <c r="U568" s="3132"/>
      <c r="V568" s="3132"/>
      <c r="W568" s="3132"/>
      <c r="X568" s="3132"/>
      <c r="Y568" s="3132"/>
      <c r="Z568" s="3132"/>
      <c r="AA568" s="3132"/>
      <c r="AB568" s="3132"/>
      <c r="AC568" s="3132"/>
      <c r="AD568" s="3132"/>
      <c r="AE568" s="3132"/>
      <c r="AF568" s="3132"/>
      <c r="AG568" s="3132"/>
      <c r="AH568" s="3132"/>
      <c r="AI568" s="3132"/>
      <c r="AJ568" s="3132"/>
      <c r="AK568" s="1027"/>
      <c r="AL568" s="1027"/>
      <c r="AM568" s="1027"/>
      <c r="AN568" s="1000"/>
      <c r="AQ568" s="1135"/>
      <c r="AR568" s="1135"/>
    </row>
    <row r="569" spans="1:46" s="943" customFormat="1" ht="12.75" customHeight="1">
      <c r="A569" s="1027"/>
      <c r="B569" s="1118"/>
      <c r="C569" s="3132"/>
      <c r="D569" s="3132"/>
      <c r="E569" s="3132"/>
      <c r="F569" s="3132"/>
      <c r="G569" s="3132"/>
      <c r="H569" s="3132"/>
      <c r="I569" s="3132"/>
      <c r="J569" s="3132"/>
      <c r="K569" s="3132"/>
      <c r="L569" s="3132"/>
      <c r="M569" s="3132"/>
      <c r="N569" s="3132"/>
      <c r="O569" s="3132"/>
      <c r="P569" s="3132"/>
      <c r="Q569" s="3132"/>
      <c r="R569" s="3132"/>
      <c r="S569" s="3132"/>
      <c r="T569" s="3132"/>
      <c r="U569" s="3132"/>
      <c r="V569" s="3132"/>
      <c r="W569" s="3132"/>
      <c r="X569" s="3132"/>
      <c r="Y569" s="3132"/>
      <c r="Z569" s="3132"/>
      <c r="AA569" s="3132"/>
      <c r="AB569" s="3132"/>
      <c r="AC569" s="3132"/>
      <c r="AD569" s="3132"/>
      <c r="AE569" s="3132"/>
      <c r="AF569" s="3132"/>
      <c r="AG569" s="3132"/>
      <c r="AH569" s="3132"/>
      <c r="AI569" s="3132"/>
      <c r="AJ569" s="3132"/>
      <c r="AK569" s="1027"/>
      <c r="AL569" s="1027"/>
      <c r="AM569" s="1027"/>
      <c r="AN569" s="1000"/>
      <c r="AQ569" s="1135"/>
      <c r="AR569" s="1135"/>
    </row>
    <row r="570" spans="1:46" s="943" customFormat="1" ht="13.15" customHeight="1">
      <c r="A570" s="1027"/>
      <c r="B570" s="1118"/>
      <c r="C570" s="3132"/>
      <c r="D570" s="3132"/>
      <c r="E570" s="3132"/>
      <c r="F570" s="3132"/>
      <c r="G570" s="3132"/>
      <c r="H570" s="3132"/>
      <c r="I570" s="3132"/>
      <c r="J570" s="3132"/>
      <c r="K570" s="3132"/>
      <c r="L570" s="3132"/>
      <c r="M570" s="3132"/>
      <c r="N570" s="3132"/>
      <c r="O570" s="3132"/>
      <c r="P570" s="3132"/>
      <c r="Q570" s="3132"/>
      <c r="R570" s="3132"/>
      <c r="S570" s="3132"/>
      <c r="T570" s="3132"/>
      <c r="U570" s="3132"/>
      <c r="V570" s="3132"/>
      <c r="W570" s="3132"/>
      <c r="X570" s="3132"/>
      <c r="Y570" s="3132"/>
      <c r="Z570" s="3132"/>
      <c r="AA570" s="3132"/>
      <c r="AB570" s="3132"/>
      <c r="AC570" s="3132"/>
      <c r="AD570" s="3132"/>
      <c r="AE570" s="3132"/>
      <c r="AF570" s="3132"/>
      <c r="AG570" s="3132"/>
      <c r="AH570" s="3132"/>
      <c r="AI570" s="3132"/>
      <c r="AJ570" s="3132"/>
      <c r="AK570" s="1027"/>
      <c r="AL570" s="1027"/>
      <c r="AM570" s="1027"/>
      <c r="AN570" s="1000"/>
      <c r="AQ570" s="1135"/>
      <c r="AR570" s="1135"/>
    </row>
    <row r="571" spans="1:46" s="943" customFormat="1" ht="12.75" customHeight="1">
      <c r="A571" s="1027"/>
      <c r="B571" s="1118"/>
      <c r="C571" s="3132"/>
      <c r="D571" s="3132"/>
      <c r="E571" s="3132"/>
      <c r="F571" s="3132"/>
      <c r="G571" s="3132"/>
      <c r="H571" s="3132"/>
      <c r="I571" s="3132"/>
      <c r="J571" s="3132"/>
      <c r="K571" s="3132"/>
      <c r="L571" s="3132"/>
      <c r="M571" s="3132"/>
      <c r="N571" s="3132"/>
      <c r="O571" s="3132"/>
      <c r="P571" s="3132"/>
      <c r="Q571" s="3132"/>
      <c r="R571" s="3132"/>
      <c r="S571" s="3132"/>
      <c r="T571" s="3132"/>
      <c r="U571" s="3132"/>
      <c r="V571" s="3132"/>
      <c r="W571" s="3132"/>
      <c r="X571" s="3132"/>
      <c r="Y571" s="3132"/>
      <c r="Z571" s="3132"/>
      <c r="AA571" s="3132"/>
      <c r="AB571" s="3132"/>
      <c r="AC571" s="3132"/>
      <c r="AD571" s="3132"/>
      <c r="AE571" s="3132"/>
      <c r="AF571" s="3132"/>
      <c r="AG571" s="3132"/>
      <c r="AH571" s="3132"/>
      <c r="AI571" s="3132"/>
      <c r="AJ571" s="3132"/>
      <c r="AK571" s="1027"/>
      <c r="AL571" s="1027"/>
      <c r="AM571" s="1027"/>
      <c r="AN571" s="1000"/>
      <c r="AO571" s="1150"/>
      <c r="AP571" s="1150"/>
      <c r="AQ571" s="1135"/>
      <c r="AR571" s="1002"/>
    </row>
    <row r="572" spans="1:46" s="943" customFormat="1" ht="11.9" customHeight="1">
      <c r="A572" s="1027"/>
      <c r="B572" s="1118"/>
      <c r="C572" s="3132"/>
      <c r="D572" s="3132"/>
      <c r="E572" s="3132"/>
      <c r="F572" s="3132"/>
      <c r="G572" s="3132"/>
      <c r="H572" s="3132"/>
      <c r="I572" s="3132"/>
      <c r="J572" s="3132"/>
      <c r="K572" s="3132"/>
      <c r="L572" s="3132"/>
      <c r="M572" s="3132"/>
      <c r="N572" s="3132"/>
      <c r="O572" s="3132"/>
      <c r="P572" s="3132"/>
      <c r="Q572" s="3132"/>
      <c r="R572" s="3132"/>
      <c r="S572" s="3132"/>
      <c r="T572" s="3132"/>
      <c r="U572" s="3132"/>
      <c r="V572" s="3132"/>
      <c r="W572" s="3132"/>
      <c r="X572" s="3132"/>
      <c r="Y572" s="3132"/>
      <c r="Z572" s="3132"/>
      <c r="AA572" s="3132"/>
      <c r="AB572" s="3132"/>
      <c r="AC572" s="3132"/>
      <c r="AD572" s="3132"/>
      <c r="AE572" s="3132"/>
      <c r="AF572" s="3132"/>
      <c r="AG572" s="3132"/>
      <c r="AH572" s="3132"/>
      <c r="AI572" s="3132"/>
      <c r="AJ572" s="3132"/>
      <c r="AK572" s="1027"/>
      <c r="AL572" s="1027"/>
      <c r="AM572" s="1027"/>
      <c r="AN572" s="1000"/>
      <c r="AO572" s="1151" t="s">
        <v>117</v>
      </c>
      <c r="AP572" s="1152">
        <f>IF(C596="Yes",5,0)</f>
        <v>0</v>
      </c>
      <c r="AQ572" s="1002"/>
      <c r="AR572" s="1002"/>
      <c r="AS572" s="932" t="s">
        <v>1740</v>
      </c>
    </row>
    <row r="573" spans="1:46" s="943" customFormat="1" ht="12.75" customHeight="1">
      <c r="A573" s="1027"/>
      <c r="B573" s="1118"/>
      <c r="C573" s="3132"/>
      <c r="D573" s="3132"/>
      <c r="E573" s="3132"/>
      <c r="F573" s="3132"/>
      <c r="G573" s="3132"/>
      <c r="H573" s="3132"/>
      <c r="I573" s="3132"/>
      <c r="J573" s="3132"/>
      <c r="K573" s="3132"/>
      <c r="L573" s="3132"/>
      <c r="M573" s="3132"/>
      <c r="N573" s="3132"/>
      <c r="O573" s="3132"/>
      <c r="P573" s="3132"/>
      <c r="Q573" s="3132"/>
      <c r="R573" s="3132"/>
      <c r="S573" s="3132"/>
      <c r="T573" s="3132"/>
      <c r="U573" s="3132"/>
      <c r="V573" s="3132"/>
      <c r="W573" s="3132"/>
      <c r="X573" s="3132"/>
      <c r="Y573" s="3132"/>
      <c r="Z573" s="3132"/>
      <c r="AA573" s="3132"/>
      <c r="AB573" s="3132"/>
      <c r="AC573" s="3132"/>
      <c r="AD573" s="3132"/>
      <c r="AE573" s="3132"/>
      <c r="AF573" s="3132"/>
      <c r="AG573" s="3132"/>
      <c r="AH573" s="3132"/>
      <c r="AI573" s="3132"/>
      <c r="AJ573" s="3132"/>
      <c r="AK573" s="1027"/>
      <c r="AL573" s="1027"/>
      <c r="AM573" s="1027"/>
      <c r="AN573" s="1000"/>
      <c r="AO573" s="1151" t="s">
        <v>118</v>
      </c>
      <c r="AP573" s="1152">
        <f>IF(C604="Yes",5,0)</f>
        <v>0</v>
      </c>
      <c r="AQ573" s="1002"/>
      <c r="AR573" s="1002"/>
      <c r="AS573" s="3139">
        <f>IF(Application!D210="Non-Targeted",(SUM(AQ581+AQ590)),AS577)</f>
        <v>10</v>
      </c>
      <c r="AT573" s="3139"/>
    </row>
    <row r="574" spans="1:46" s="943" customFormat="1" ht="12.75" customHeight="1">
      <c r="A574" s="1027"/>
      <c r="B574" s="1118"/>
      <c r="C574" s="3132"/>
      <c r="D574" s="3132"/>
      <c r="E574" s="3132"/>
      <c r="F574" s="3132"/>
      <c r="G574" s="3132"/>
      <c r="H574" s="3132"/>
      <c r="I574" s="3132"/>
      <c r="J574" s="3132"/>
      <c r="K574" s="3132"/>
      <c r="L574" s="3132"/>
      <c r="M574" s="3132"/>
      <c r="N574" s="3132"/>
      <c r="O574" s="3132"/>
      <c r="P574" s="3132"/>
      <c r="Q574" s="3132"/>
      <c r="R574" s="3132"/>
      <c r="S574" s="3132"/>
      <c r="T574" s="3132"/>
      <c r="U574" s="3132"/>
      <c r="V574" s="3132"/>
      <c r="W574" s="3132"/>
      <c r="X574" s="3132"/>
      <c r="Y574" s="3132"/>
      <c r="Z574" s="3132"/>
      <c r="AA574" s="3132"/>
      <c r="AB574" s="3132"/>
      <c r="AC574" s="3132"/>
      <c r="AD574" s="3132"/>
      <c r="AE574" s="3132"/>
      <c r="AF574" s="3132"/>
      <c r="AG574" s="3132"/>
      <c r="AH574" s="3132"/>
      <c r="AI574" s="3132"/>
      <c r="AJ574" s="3132"/>
      <c r="AK574" s="1027"/>
      <c r="AL574" s="1027"/>
      <c r="AM574" s="1027"/>
      <c r="AN574" s="1000"/>
      <c r="AO574" s="1151" t="s">
        <v>124</v>
      </c>
      <c r="AP574" s="1152">
        <f>IF(C612="Yes",7,0)</f>
        <v>7</v>
      </c>
      <c r="AS574" s="932" t="s">
        <v>1741</v>
      </c>
    </row>
    <row r="575" spans="1:46" s="943" customFormat="1" ht="12.75" customHeight="1">
      <c r="A575" s="1027"/>
      <c r="B575" s="1118"/>
      <c r="C575" s="3132"/>
      <c r="D575" s="3132"/>
      <c r="E575" s="3132"/>
      <c r="F575" s="3132"/>
      <c r="G575" s="3132"/>
      <c r="H575" s="3132"/>
      <c r="I575" s="3132"/>
      <c r="J575" s="3132"/>
      <c r="K575" s="3132"/>
      <c r="L575" s="3132"/>
      <c r="M575" s="3132"/>
      <c r="N575" s="3132"/>
      <c r="O575" s="3132"/>
      <c r="P575" s="3132"/>
      <c r="Q575" s="3132"/>
      <c r="R575" s="3132"/>
      <c r="S575" s="3132"/>
      <c r="T575" s="3132"/>
      <c r="U575" s="3132"/>
      <c r="V575" s="3132"/>
      <c r="W575" s="3132"/>
      <c r="X575" s="3132"/>
      <c r="Y575" s="3132"/>
      <c r="Z575" s="3132"/>
      <c r="AA575" s="3132"/>
      <c r="AB575" s="3132"/>
      <c r="AC575" s="3132"/>
      <c r="AD575" s="3132"/>
      <c r="AE575" s="3132"/>
      <c r="AF575" s="3132"/>
      <c r="AG575" s="3132"/>
      <c r="AH575" s="3132"/>
      <c r="AI575" s="3132"/>
      <c r="AJ575" s="3132"/>
      <c r="AK575" s="1027"/>
      <c r="AL575" s="1027"/>
      <c r="AM575" s="1027"/>
      <c r="AN575" s="1000"/>
      <c r="AO575" s="1000"/>
      <c r="AP575" s="1152">
        <f>IF(C614="Yes",5,0)</f>
        <v>0</v>
      </c>
      <c r="AS575" s="3139">
        <f>IF(AND(AQ581&gt;0,AQ590&gt;0),(AQ581+AQ590)/2,0)</f>
        <v>0</v>
      </c>
      <c r="AT575" s="3139"/>
    </row>
    <row r="576" spans="1:46" s="943" customFormat="1" ht="12.75" customHeight="1">
      <c r="A576" s="1027"/>
      <c r="B576" s="1118"/>
      <c r="C576" s="3132"/>
      <c r="D576" s="3132"/>
      <c r="E576" s="3132"/>
      <c r="F576" s="3132"/>
      <c r="G576" s="3132"/>
      <c r="H576" s="3132"/>
      <c r="I576" s="3132"/>
      <c r="J576" s="3132"/>
      <c r="K576" s="3132"/>
      <c r="L576" s="3132"/>
      <c r="M576" s="3132"/>
      <c r="N576" s="3132"/>
      <c r="O576" s="3132"/>
      <c r="P576" s="3132"/>
      <c r="Q576" s="3132"/>
      <c r="R576" s="3132"/>
      <c r="S576" s="3132"/>
      <c r="T576" s="3132"/>
      <c r="U576" s="3132"/>
      <c r="V576" s="3132"/>
      <c r="W576" s="3132"/>
      <c r="X576" s="3132"/>
      <c r="Y576" s="3132"/>
      <c r="Z576" s="3132"/>
      <c r="AA576" s="3132"/>
      <c r="AB576" s="3132"/>
      <c r="AC576" s="3132"/>
      <c r="AD576" s="3132"/>
      <c r="AE576" s="3132"/>
      <c r="AF576" s="3132"/>
      <c r="AG576" s="3132"/>
      <c r="AH576" s="3132"/>
      <c r="AI576" s="3132"/>
      <c r="AJ576" s="3132"/>
      <c r="AK576" s="1027"/>
      <c r="AL576" s="1027"/>
      <c r="AM576" s="1027"/>
      <c r="AN576" s="1000"/>
      <c r="AO576" s="1151" t="s">
        <v>616</v>
      </c>
      <c r="AP576" s="1152">
        <f>IF(C622="Yes",5,0)</f>
        <v>0</v>
      </c>
      <c r="AQ576" s="1002"/>
      <c r="AR576" s="1002"/>
      <c r="AS576" s="932" t="s">
        <v>2415</v>
      </c>
    </row>
    <row r="577" spans="1:81" s="943" customFormat="1" ht="12.75" customHeight="1">
      <c r="A577" s="1027"/>
      <c r="B577" s="1118"/>
      <c r="C577" s="3140" t="s">
        <v>1742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3</v>
      </c>
      <c r="AS577" s="3139">
        <f>IF(AQ581=0,AQ590,AQ581)</f>
        <v>10</v>
      </c>
      <c r="AT577" s="3139"/>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821</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619</v>
      </c>
      <c r="AP579" s="1152">
        <f>IF(C636="Yes",5,0)</f>
        <v>0</v>
      </c>
    </row>
    <row r="580" spans="1:81" s="943" customFormat="1" ht="11.9"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4"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233</v>
      </c>
      <c r="AP581" s="1156">
        <f>SUM(AP572:AP580)</f>
        <v>10</v>
      </c>
      <c r="AQ581" s="3141">
        <f>IF(AP581&gt;0,AP581,0)</f>
        <v>10</v>
      </c>
      <c r="AR581" s="3141"/>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32" t="s">
        <v>1743</v>
      </c>
      <c r="D584" s="3132"/>
      <c r="E584" s="3132"/>
      <c r="F584" s="3132"/>
      <c r="G584" s="3132"/>
      <c r="H584" s="3132"/>
      <c r="I584" s="3132"/>
      <c r="J584" s="3132"/>
      <c r="K584" s="3132"/>
      <c r="L584" s="3132"/>
      <c r="M584" s="3132"/>
      <c r="N584" s="3132"/>
      <c r="O584" s="3132"/>
      <c r="P584" s="3132"/>
      <c r="Q584" s="3132"/>
      <c r="R584" s="3132"/>
      <c r="S584" s="3132"/>
      <c r="T584" s="3132"/>
      <c r="U584" s="3132"/>
      <c r="V584" s="3132"/>
      <c r="W584" s="3132"/>
      <c r="X584" s="3132"/>
      <c r="Y584" s="3132"/>
      <c r="Z584" s="3132"/>
      <c r="AA584" s="3132"/>
      <c r="AB584" s="3132"/>
      <c r="AC584" s="3132"/>
      <c r="AD584" s="3132"/>
      <c r="AE584" s="3132"/>
      <c r="AF584" s="3132"/>
      <c r="AG584" s="3132"/>
      <c r="AH584" s="3132"/>
      <c r="AI584" s="3132"/>
      <c r="AJ584" s="3132"/>
      <c r="AK584" s="1027"/>
      <c r="AL584" s="1027"/>
      <c r="AM584" s="1027"/>
      <c r="AN584" s="1000"/>
      <c r="AO584" s="1151" t="s">
        <v>488</v>
      </c>
      <c r="AP584" s="1152">
        <f>IF(C657="Yes",5,0)</f>
        <v>0</v>
      </c>
    </row>
    <row r="585" spans="1:81" s="943" customFormat="1" ht="12.75" customHeight="1">
      <c r="A585" s="1027"/>
      <c r="B585" s="1118"/>
      <c r="C585" s="3132"/>
      <c r="D585" s="3132"/>
      <c r="E585" s="3132"/>
      <c r="F585" s="3132"/>
      <c r="G585" s="3132"/>
      <c r="H585" s="3132"/>
      <c r="I585" s="3132"/>
      <c r="J585" s="3132"/>
      <c r="K585" s="3132"/>
      <c r="L585" s="3132"/>
      <c r="M585" s="3132"/>
      <c r="N585" s="3132"/>
      <c r="O585" s="3132"/>
      <c r="P585" s="3132"/>
      <c r="Q585" s="3132"/>
      <c r="R585" s="3132"/>
      <c r="S585" s="3132"/>
      <c r="T585" s="3132"/>
      <c r="U585" s="3132"/>
      <c r="V585" s="3132"/>
      <c r="W585" s="3132"/>
      <c r="X585" s="3132"/>
      <c r="Y585" s="3132"/>
      <c r="Z585" s="3132"/>
      <c r="AA585" s="3132"/>
      <c r="AB585" s="3132"/>
      <c r="AC585" s="3132"/>
      <c r="AD585" s="3132"/>
      <c r="AE585" s="3132"/>
      <c r="AF585" s="3132"/>
      <c r="AG585" s="3132"/>
      <c r="AH585" s="3132"/>
      <c r="AI585" s="3132"/>
      <c r="AJ585" s="3132"/>
      <c r="AK585" s="1027"/>
      <c r="AL585" s="1027"/>
      <c r="AM585" s="1027"/>
      <c r="AN585" s="1000"/>
      <c r="AO585" s="1151" t="s">
        <v>494</v>
      </c>
      <c r="AP585" s="1152">
        <f>IF(C664="Yes",5,0)</f>
        <v>0</v>
      </c>
    </row>
    <row r="586" spans="1:81" s="943" customFormat="1" ht="68.150000000000006" customHeight="1">
      <c r="A586" s="1027"/>
      <c r="B586" s="1118"/>
      <c r="C586" s="3132"/>
      <c r="D586" s="3132"/>
      <c r="E586" s="3132"/>
      <c r="F586" s="3132"/>
      <c r="G586" s="3132"/>
      <c r="H586" s="3132"/>
      <c r="I586" s="3132"/>
      <c r="J586" s="3132"/>
      <c r="K586" s="3132"/>
      <c r="L586" s="3132"/>
      <c r="M586" s="3132"/>
      <c r="N586" s="3132"/>
      <c r="O586" s="3132"/>
      <c r="P586" s="3132"/>
      <c r="Q586" s="3132"/>
      <c r="R586" s="3132"/>
      <c r="S586" s="3132"/>
      <c r="T586" s="3132"/>
      <c r="U586" s="3132"/>
      <c r="V586" s="3132"/>
      <c r="W586" s="3132"/>
      <c r="X586" s="3132"/>
      <c r="Y586" s="3132"/>
      <c r="Z586" s="3132"/>
      <c r="AA586" s="3132"/>
      <c r="AB586" s="3132"/>
      <c r="AC586" s="3132"/>
      <c r="AD586" s="3132"/>
      <c r="AE586" s="3132"/>
      <c r="AF586" s="3132"/>
      <c r="AG586" s="3132"/>
      <c r="AH586" s="3132"/>
      <c r="AI586" s="3132"/>
      <c r="AJ586" s="3132"/>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41">
        <f>'Service Amenities Budget'!J10</f>
        <v>69</v>
      </c>
      <c r="V588" s="3241"/>
      <c r="W588" s="324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42">
        <f>'Service Amenities Budget'!J9</f>
        <v>7</v>
      </c>
      <c r="V589" s="3242"/>
      <c r="W589" s="324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1">
        <f>IF(AP590&gt;0,AP590,0)</f>
        <v>0</v>
      </c>
      <c r="AR590" s="3141"/>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37" t="s">
        <v>1748</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34" t="s">
        <v>626</v>
      </c>
      <c r="D596" s="308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5" t="s">
        <v>1750</v>
      </c>
      <c r="AG596" s="3135"/>
      <c r="AH596" s="3135"/>
      <c r="AI596" s="3135"/>
      <c r="AJ596" s="3135"/>
      <c r="AK596" s="3135"/>
      <c r="AL596" s="313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37" t="s">
        <v>1751</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34" t="s">
        <v>626</v>
      </c>
      <c r="D604" s="308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5" t="s">
        <v>1750</v>
      </c>
      <c r="AG604" s="3135"/>
      <c r="AH604" s="3135"/>
      <c r="AI604" s="3135"/>
      <c r="AJ604" s="3135"/>
      <c r="AK604" s="3135"/>
      <c r="AL604" s="313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37" t="s">
        <v>1753</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34" t="s">
        <v>578</v>
      </c>
      <c r="D612" s="308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5" t="s">
        <v>1755</v>
      </c>
      <c r="AG612" s="3135"/>
      <c r="AH612" s="3135"/>
      <c r="AI612" s="3135"/>
      <c r="AJ612" s="3135"/>
      <c r="AK612" s="3135"/>
      <c r="AL612" s="313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34" t="s">
        <v>626</v>
      </c>
      <c r="D614" s="308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5" t="s">
        <v>1750</v>
      </c>
      <c r="AG614" s="3135"/>
      <c r="AH614" s="3135"/>
      <c r="AI614" s="3135"/>
      <c r="AJ614" s="3135"/>
      <c r="AK614" s="3135"/>
      <c r="AL614" s="313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37" t="s">
        <v>1759</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34" t="s">
        <v>626</v>
      </c>
      <c r="D622" s="308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5" t="s">
        <v>1750</v>
      </c>
      <c r="AG622" s="3135"/>
      <c r="AH622" s="3135"/>
      <c r="AI622" s="3135"/>
      <c r="AJ622" s="3135"/>
      <c r="AK622" s="3135"/>
      <c r="AL622" s="313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34" t="s">
        <v>578</v>
      </c>
      <c r="D624" s="308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5" t="s">
        <v>1762</v>
      </c>
      <c r="AG624" s="3135"/>
      <c r="AH624" s="3135"/>
      <c r="AI624" s="3135"/>
      <c r="AJ624" s="3135"/>
      <c r="AK624" s="3135"/>
      <c r="AL624" s="313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34" t="s">
        <v>626</v>
      </c>
      <c r="D627" s="3082"/>
      <c r="E627" s="1174" t="s">
        <v>1763</v>
      </c>
      <c r="F627" s="3137" t="s">
        <v>1764</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43" t="s">
        <v>1750</v>
      </c>
      <c r="AG628" s="3143"/>
      <c r="AH628" s="3143"/>
      <c r="AI628" s="3143"/>
      <c r="AJ628" s="3143"/>
      <c r="AK628" s="3143"/>
      <c r="AL628" s="3144"/>
      <c r="AM628" s="1134"/>
      <c r="AN628" s="1000"/>
      <c r="BS628" s="1134"/>
      <c r="BT628" s="1134"/>
      <c r="BY628" s="1134"/>
      <c r="BZ628" s="1134"/>
      <c r="CA628" s="1134"/>
      <c r="CB628" s="1134"/>
      <c r="CC628" s="1134"/>
    </row>
    <row r="629" spans="1:81" s="943" customFormat="1" ht="12.75" customHeight="1">
      <c r="A629" s="927"/>
      <c r="B629" s="51"/>
      <c r="C629" s="1192"/>
      <c r="D629" s="112"/>
      <c r="E629" s="1146"/>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5" t="s">
        <v>1766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ht="13">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134" t="s">
        <v>626</v>
      </c>
      <c r="D636" s="308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3" t="s">
        <v>1750</v>
      </c>
      <c r="AG636" s="3143"/>
      <c r="AH636" s="3143"/>
      <c r="AI636" s="3143"/>
      <c r="AJ636" s="3143"/>
      <c r="AK636" s="3143"/>
      <c r="AL636" s="314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34" t="s">
        <v>626</v>
      </c>
      <c r="D638" s="308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3" t="s">
        <v>1762</v>
      </c>
      <c r="AG638" s="3143"/>
      <c r="AH638" s="3143"/>
      <c r="AI638" s="3143"/>
      <c r="AJ638" s="3143"/>
      <c r="AK638" s="3143"/>
      <c r="AL638" s="314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37" t="s">
        <v>1771</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5"/>
      <c r="AG644" s="1025"/>
      <c r="AH644" s="1025"/>
      <c r="AI644" s="1025"/>
      <c r="AJ644" s="1025"/>
      <c r="AK644" s="1025"/>
      <c r="AL644" s="1193"/>
      <c r="AM644" s="1134"/>
      <c r="AN644" s="1000"/>
      <c r="AO644" s="1025"/>
      <c r="AP644" s="1025"/>
    </row>
    <row r="645" spans="1:60" s="943" customFormat="1" ht="12.75" customHeight="1">
      <c r="A645" s="927"/>
      <c r="B645" s="51"/>
      <c r="C645" s="3134" t="s">
        <v>626</v>
      </c>
      <c r="D645" s="308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3" t="s">
        <v>1750</v>
      </c>
      <c r="AG645" s="3143"/>
      <c r="AH645" s="3143"/>
      <c r="AI645" s="3143"/>
      <c r="AJ645" s="3143"/>
      <c r="AK645" s="3143"/>
      <c r="AL645" s="314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37" t="s">
        <v>1774</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4"/>
      <c r="AG653" s="1224"/>
      <c r="AH653" s="1224"/>
      <c r="AI653" s="1224"/>
      <c r="AJ653" s="1224"/>
      <c r="AK653" s="1224"/>
      <c r="AL653" s="1225"/>
      <c r="AM653" s="1134"/>
      <c r="AN653" s="1000"/>
    </row>
    <row r="654" spans="1:60" s="943" customFormat="1" ht="12.75" customHeight="1">
      <c r="A654" s="927"/>
      <c r="B654" s="51"/>
      <c r="C654" s="1226"/>
      <c r="D654" s="1191"/>
      <c r="E654" s="1178"/>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4"/>
      <c r="AG654" s="1224"/>
      <c r="AH654" s="1224"/>
      <c r="AI654" s="1224"/>
      <c r="AJ654" s="1224"/>
      <c r="AK654" s="1224"/>
      <c r="AL654" s="1225"/>
      <c r="AM654" s="1134"/>
      <c r="AN654" s="1000"/>
    </row>
    <row r="655" spans="1:60" s="943" customFormat="1" ht="12.75" customHeight="1">
      <c r="A655" s="927"/>
      <c r="B655" s="51"/>
      <c r="C655" s="1226"/>
      <c r="D655" s="1191"/>
      <c r="E655" s="1178"/>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4"/>
      <c r="AG655" s="1224"/>
      <c r="AH655" s="1224"/>
      <c r="AI655" s="1224"/>
      <c r="AJ655" s="1224"/>
      <c r="AK655" s="1224"/>
      <c r="AL655" s="1225"/>
      <c r="AM655" s="1134"/>
      <c r="AN655" s="1000"/>
    </row>
    <row r="656" spans="1:60" s="943" customFormat="1" ht="17.25" customHeight="1">
      <c r="A656" s="927"/>
      <c r="B656" s="51"/>
      <c r="C656" s="1226"/>
      <c r="D656" s="1191"/>
      <c r="E656" s="1178"/>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5"/>
      <c r="AG656" s="1025"/>
      <c r="AH656" s="1025"/>
      <c r="AI656" s="1025"/>
      <c r="AJ656" s="1025"/>
      <c r="AK656" s="1025"/>
      <c r="AL656" s="1193"/>
      <c r="AM656" s="1134"/>
      <c r="AN656" s="1000"/>
    </row>
    <row r="657" spans="1:54" s="943" customFormat="1" ht="12.75" customHeight="1">
      <c r="A657" s="927"/>
      <c r="B657" s="51"/>
      <c r="C657" s="3134" t="s">
        <v>626</v>
      </c>
      <c r="D657" s="308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3" t="s">
        <v>1750</v>
      </c>
      <c r="AG657" s="3143"/>
      <c r="AH657" s="3143"/>
      <c r="AI657" s="3143"/>
      <c r="AJ657" s="3143"/>
      <c r="AK657" s="3143"/>
      <c r="AL657" s="314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37" t="s">
        <v>1777</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34" t="s">
        <v>626</v>
      </c>
      <c r="D664" s="308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3" t="s">
        <v>1750</v>
      </c>
      <c r="AG664" s="3143"/>
      <c r="AH664" s="3143"/>
      <c r="AI664" s="3143"/>
      <c r="AJ664" s="3143"/>
      <c r="AK664" s="3143"/>
      <c r="AL664" s="3144"/>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7" t="s">
        <v>626</v>
      </c>
      <c r="D668" s="3148"/>
      <c r="E668" s="1174" t="s">
        <v>1786</v>
      </c>
      <c r="F668" s="3137" t="s">
        <v>1787</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9" t="s">
        <v>1750</v>
      </c>
      <c r="AG668" s="3149"/>
      <c r="AH668" s="3149"/>
      <c r="AI668" s="3149"/>
      <c r="AJ668" s="3149"/>
      <c r="AK668" s="3149"/>
      <c r="AL668" s="3150"/>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34" t="s">
        <v>626</v>
      </c>
      <c r="D672" s="3082"/>
      <c r="E672" s="1174" t="s">
        <v>1792</v>
      </c>
      <c r="F672" s="3137" t="s">
        <v>1793</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9" t="s">
        <v>1750</v>
      </c>
      <c r="AG672" s="3149"/>
      <c r="AH672" s="3149"/>
      <c r="AI672" s="3149"/>
      <c r="AJ672" s="3149"/>
      <c r="AK672" s="3149"/>
      <c r="AL672" s="3150"/>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5" t="s">
        <v>1796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134" t="s">
        <v>626</v>
      </c>
      <c r="D681" s="308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5" t="s">
        <v>1750</v>
      </c>
      <c r="AG681" s="3135"/>
      <c r="AH681" s="3135"/>
      <c r="AI681" s="3135"/>
      <c r="AJ681" s="3135"/>
      <c r="AK681" s="3135"/>
      <c r="AL681" s="313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85">
        <f>IF(Application!D213="N/A",AS573,AS575)</f>
        <v>10</v>
      </c>
      <c r="AL684" s="3086"/>
      <c r="AM684" s="308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1" t="s">
        <v>1800</v>
      </c>
      <c r="AF687" s="3201"/>
      <c r="AG687" s="3201"/>
      <c r="AH687" s="3201"/>
      <c r="AI687" s="3201"/>
      <c r="AJ687" s="3201"/>
      <c r="AK687" s="320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51" t="s">
        <v>626</v>
      </c>
      <c r="D693" s="3152"/>
      <c r="E693" s="1248" t="s">
        <v>540</v>
      </c>
      <c r="F693" s="3153" t="s">
        <v>1806</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55" t="s">
        <v>626</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6" t="s">
        <v>578</v>
      </c>
      <c r="D697" s="3157"/>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63" t="s">
        <v>626</v>
      </c>
      <c r="W700" s="3163"/>
      <c r="X700" s="3163"/>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63" t="s">
        <v>626</v>
      </c>
      <c r="W702" s="3163"/>
      <c r="X702" s="3163"/>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63" t="s">
        <v>626</v>
      </c>
      <c r="W707" s="3163"/>
      <c r="X707" s="3163"/>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62"/>
      <c r="E710" s="316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63" t="s">
        <v>626</v>
      </c>
      <c r="W711" s="3163"/>
      <c r="X711" s="3163"/>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63" t="s">
        <v>626</v>
      </c>
      <c r="W713" s="3163"/>
      <c r="X713" s="316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1" t="s">
        <v>626</v>
      </c>
      <c r="D716" s="3152"/>
      <c r="E716" s="1248" t="s">
        <v>540</v>
      </c>
      <c r="F716" s="3153" t="s">
        <v>1806</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8" t="s">
        <v>626</v>
      </c>
      <c r="G718" s="3158"/>
      <c r="H718" s="3158"/>
      <c r="I718" s="3158"/>
      <c r="J718" s="3158"/>
      <c r="K718" s="3158"/>
      <c r="L718" s="3158"/>
      <c r="M718" s="3158"/>
      <c r="N718" s="3158"/>
      <c r="O718" s="3158"/>
      <c r="P718" s="3158"/>
      <c r="Q718" s="3158"/>
      <c r="R718" s="3158"/>
      <c r="S718" s="3158"/>
      <c r="T718" s="3158"/>
      <c r="U718" s="3158"/>
      <c r="V718" s="3158"/>
      <c r="W718" s="3158"/>
      <c r="X718" s="3158"/>
      <c r="Y718" s="3158"/>
      <c r="Z718" s="315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1" t="s">
        <v>626</v>
      </c>
      <c r="D720" s="3152"/>
      <c r="E720" s="1248" t="s">
        <v>798</v>
      </c>
      <c r="F720" s="3159" t="s">
        <v>1828</v>
      </c>
      <c r="G720" s="3159"/>
      <c r="H720" s="3159"/>
      <c r="I720" s="3159"/>
      <c r="J720" s="3159"/>
      <c r="K720" s="3159"/>
      <c r="L720" s="3159"/>
      <c r="M720" s="3159"/>
      <c r="N720" s="3159"/>
      <c r="O720" s="3159"/>
      <c r="P720" s="3159"/>
      <c r="Q720" s="3159"/>
      <c r="R720" s="3159"/>
      <c r="S720" s="3159"/>
      <c r="T720" s="3159"/>
      <c r="U720" s="3159"/>
      <c r="V720" s="3159"/>
      <c r="W720" s="3159"/>
      <c r="X720" s="3159"/>
      <c r="Y720" s="3159"/>
      <c r="Z720" s="3159"/>
      <c r="AA720" s="3159"/>
      <c r="AB720" s="3159"/>
      <c r="AC720" s="3159"/>
      <c r="AD720" s="3159"/>
      <c r="AE720" s="315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0"/>
      <c r="G721" s="3160"/>
      <c r="H721" s="3160"/>
      <c r="I721" s="3160"/>
      <c r="J721" s="3160"/>
      <c r="K721" s="3160"/>
      <c r="L721" s="3160"/>
      <c r="M721" s="3160"/>
      <c r="N721" s="3160"/>
      <c r="O721" s="3160"/>
      <c r="P721" s="3160"/>
      <c r="Q721" s="3160"/>
      <c r="R721" s="3160"/>
      <c r="S721" s="3160"/>
      <c r="T721" s="3160"/>
      <c r="U721" s="3160"/>
      <c r="V721" s="3160"/>
      <c r="W721" s="3160"/>
      <c r="X721" s="3160"/>
      <c r="Y721" s="3160"/>
      <c r="Z721" s="3160"/>
      <c r="AA721" s="3160"/>
      <c r="AB721" s="3160"/>
      <c r="AC721" s="3160"/>
      <c r="AD721" s="3160"/>
      <c r="AE721" s="316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61" t="s">
        <v>626</v>
      </c>
      <c r="G723" s="3161"/>
      <c r="H723" s="316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51" t="s">
        <v>626</v>
      </c>
      <c r="D725" s="3152"/>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74"/>
      <c r="D727" s="316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75" t="s">
        <v>626</v>
      </c>
      <c r="H728" s="3175"/>
      <c r="I728" s="3175"/>
      <c r="J728" s="3175"/>
      <c r="K728" s="3175"/>
      <c r="L728" s="3175"/>
      <c r="M728" s="3175"/>
      <c r="N728" s="3175"/>
      <c r="O728" s="3175"/>
      <c r="P728" s="3175"/>
      <c r="Q728" s="3175"/>
      <c r="R728" s="3175"/>
      <c r="S728" s="3175"/>
      <c r="T728" s="3175"/>
      <c r="U728" s="3175"/>
      <c r="V728" s="3175"/>
      <c r="W728" s="3175"/>
      <c r="X728" s="3175"/>
      <c r="Y728" s="3175"/>
      <c r="Z728" s="3175"/>
      <c r="AA728" s="3175"/>
      <c r="AB728" s="3175"/>
      <c r="AC728" s="3175"/>
      <c r="AD728" s="3175"/>
      <c r="AE728" s="3175"/>
      <c r="AF728" s="317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6" t="s">
        <v>626</v>
      </c>
      <c r="D730" s="3177"/>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6" t="s">
        <v>626</v>
      </c>
      <c r="D734" s="3177"/>
      <c r="E734" s="1025"/>
      <c r="F734" s="1290" t="s">
        <v>1836</v>
      </c>
      <c r="G734" s="3178" t="s">
        <v>1837</v>
      </c>
      <c r="H734" s="3178"/>
      <c r="I734" s="3178"/>
      <c r="J734" s="3178"/>
      <c r="K734" s="3178"/>
      <c r="L734" s="3178"/>
      <c r="M734" s="3178"/>
      <c r="N734" s="3178"/>
      <c r="O734" s="3178"/>
      <c r="P734" s="3178"/>
      <c r="Q734" s="3178"/>
      <c r="R734" s="3178"/>
      <c r="S734" s="3178"/>
      <c r="T734" s="3178"/>
      <c r="U734" s="3178"/>
      <c r="V734" s="3178"/>
      <c r="W734" s="3178"/>
      <c r="X734" s="3178"/>
      <c r="Y734" s="3178"/>
      <c r="Z734" s="3178"/>
      <c r="AA734" s="3178"/>
      <c r="AB734" s="3178"/>
      <c r="AC734" s="3178"/>
      <c r="AD734" s="3178"/>
      <c r="AE734" s="3178"/>
      <c r="AF734" s="3178"/>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9"/>
      <c r="H735" s="3179"/>
      <c r="I735" s="3179"/>
      <c r="J735" s="3179"/>
      <c r="K735" s="3179"/>
      <c r="L735" s="3179"/>
      <c r="M735" s="3179"/>
      <c r="N735" s="3179"/>
      <c r="O735" s="3179"/>
      <c r="P735" s="3179"/>
      <c r="Q735" s="3179"/>
      <c r="R735" s="3179"/>
      <c r="S735" s="3179"/>
      <c r="T735" s="3179"/>
      <c r="U735" s="3179"/>
      <c r="V735" s="3179"/>
      <c r="W735" s="3179"/>
      <c r="X735" s="3179"/>
      <c r="Y735" s="3179"/>
      <c r="Z735" s="3179"/>
      <c r="AA735" s="3179"/>
      <c r="AB735" s="3179"/>
      <c r="AC735" s="3179"/>
      <c r="AD735" s="3179"/>
      <c r="AE735" s="3179"/>
      <c r="AF735" s="317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64" t="s">
        <v>626</v>
      </c>
      <c r="D738" s="3165"/>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6" t="s">
        <v>626</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85">
        <f>SUM(AG694:AG739)</f>
        <v>0</v>
      </c>
      <c r="AL750" s="3086"/>
      <c r="AM750" s="308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5" t="s">
        <v>1851</v>
      </c>
      <c r="AF753" s="3075"/>
      <c r="AG753" s="3075"/>
      <c r="AH753" s="3075"/>
      <c r="AI753" s="3075"/>
      <c r="AJ753" s="3075"/>
      <c r="AK753" s="3075"/>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82" t="s">
        <v>578</v>
      </c>
      <c r="D756" s="3082"/>
      <c r="E756" s="944"/>
      <c r="F756" s="3168" t="s">
        <v>1852</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5"/>
      <c r="AN756" s="1000"/>
    </row>
    <row r="757" spans="1:49" s="943" customFormat="1" ht="12.75" customHeight="1">
      <c r="A757" s="1012"/>
      <c r="B757" s="1012"/>
      <c r="C757" s="944"/>
      <c r="D757" s="944"/>
      <c r="E757" s="944"/>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82" t="s">
        <v>626</v>
      </c>
      <c r="D759" s="308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6" t="s">
        <v>1854</v>
      </c>
      <c r="G760" s="3247"/>
      <c r="H760" s="3247"/>
      <c r="I760" s="3247"/>
      <c r="J760" s="3247"/>
      <c r="K760" s="3247"/>
      <c r="L760" s="3247"/>
      <c r="M760" s="3247"/>
      <c r="N760" s="3247"/>
      <c r="O760" s="3247"/>
      <c r="P760" s="3247"/>
      <c r="Q760" s="3247"/>
      <c r="R760" s="3247"/>
      <c r="S760" s="3247"/>
      <c r="T760" s="3247"/>
      <c r="U760" s="3247"/>
      <c r="V760" s="3247"/>
      <c r="W760" s="3247"/>
      <c r="X760" s="3247"/>
      <c r="Y760" s="3247"/>
      <c r="Z760" s="3247"/>
      <c r="AA760" s="3247"/>
      <c r="AB760" s="3247"/>
      <c r="AC760" s="3247"/>
      <c r="AD760" s="3247"/>
      <c r="AE760" s="3247"/>
      <c r="AF760" s="3247"/>
      <c r="AG760" s="3247"/>
      <c r="AH760" s="3247"/>
      <c r="AI760" s="3247"/>
      <c r="AJ760" s="3247"/>
      <c r="AK760" s="3247"/>
      <c r="AL760" s="3248"/>
      <c r="AM760" s="1005"/>
      <c r="AN760" s="1000"/>
      <c r="AS760" s="1483"/>
      <c r="AT760" s="1483"/>
      <c r="AU760" s="1483"/>
      <c r="AV760" s="1483"/>
      <c r="AW760" s="1483"/>
    </row>
    <row r="761" spans="1:49" s="943" customFormat="1" ht="12.75" customHeight="1">
      <c r="A761" s="1026"/>
      <c r="B761" s="1305"/>
      <c r="C761" s="1305"/>
      <c r="D761" s="1305"/>
      <c r="E761" s="1305"/>
      <c r="F761" s="3246"/>
      <c r="G761" s="3247"/>
      <c r="H761" s="3247"/>
      <c r="I761" s="3247"/>
      <c r="J761" s="3247"/>
      <c r="K761" s="3247"/>
      <c r="L761" s="3247"/>
      <c r="M761" s="3247"/>
      <c r="N761" s="3247"/>
      <c r="O761" s="3247"/>
      <c r="P761" s="3247"/>
      <c r="Q761" s="3247"/>
      <c r="R761" s="3247"/>
      <c r="S761" s="3247"/>
      <c r="T761" s="3247"/>
      <c r="U761" s="3247"/>
      <c r="V761" s="3247"/>
      <c r="W761" s="3247"/>
      <c r="X761" s="3247"/>
      <c r="Y761" s="3247"/>
      <c r="Z761" s="3247"/>
      <c r="AA761" s="3247"/>
      <c r="AB761" s="3247"/>
      <c r="AC761" s="3247"/>
      <c r="AD761" s="3247"/>
      <c r="AE761" s="3247"/>
      <c r="AF761" s="3247"/>
      <c r="AG761" s="3247"/>
      <c r="AH761" s="3247"/>
      <c r="AI761" s="3247"/>
      <c r="AJ761" s="3247"/>
      <c r="AK761" s="3247"/>
      <c r="AL761" s="324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6" t="s">
        <v>1856</v>
      </c>
      <c r="G763" s="3247"/>
      <c r="H763" s="3247"/>
      <c r="I763" s="3247"/>
      <c r="J763" s="3247"/>
      <c r="K763" s="3247"/>
      <c r="L763" s="3247"/>
      <c r="M763" s="3247"/>
      <c r="N763" s="3247"/>
      <c r="O763" s="3247"/>
      <c r="P763" s="3247"/>
      <c r="Q763" s="3247"/>
      <c r="R763" s="3247"/>
      <c r="S763" s="3247"/>
      <c r="T763" s="3247"/>
      <c r="U763" s="3247"/>
      <c r="V763" s="3247"/>
      <c r="W763" s="3247"/>
      <c r="X763" s="3247"/>
      <c r="Y763" s="3247"/>
      <c r="Z763" s="3247"/>
      <c r="AA763" s="3247"/>
      <c r="AB763" s="3247"/>
      <c r="AC763" s="3247"/>
      <c r="AD763" s="3247"/>
      <c r="AE763" s="3247"/>
      <c r="AF763" s="3247"/>
      <c r="AG763" s="3247"/>
      <c r="AH763" s="3247"/>
      <c r="AI763" s="3247"/>
      <c r="AJ763" s="3247"/>
      <c r="AK763" s="3247"/>
      <c r="AL763" s="1314"/>
      <c r="AM763" s="1005"/>
      <c r="AN763" s="1000"/>
      <c r="AT763" s="1089"/>
      <c r="AU763" s="1089"/>
      <c r="AV763" s="1089"/>
    </row>
    <row r="764" spans="1:49" s="943" customFormat="1" ht="12.75" customHeight="1">
      <c r="A764" s="1026"/>
      <c r="B764" s="1305"/>
      <c r="C764" s="1305"/>
      <c r="D764" s="1305"/>
      <c r="E764" s="1305"/>
      <c r="F764" s="3249"/>
      <c r="G764" s="3250"/>
      <c r="H764" s="3250"/>
      <c r="I764" s="3250"/>
      <c r="J764" s="3250"/>
      <c r="K764" s="3250"/>
      <c r="L764" s="3250"/>
      <c r="M764" s="3250"/>
      <c r="N764" s="3250"/>
      <c r="O764" s="3250"/>
      <c r="P764" s="3250"/>
      <c r="Q764" s="3250"/>
      <c r="R764" s="3250"/>
      <c r="S764" s="3250"/>
      <c r="T764" s="3250"/>
      <c r="U764" s="3250"/>
      <c r="V764" s="3250"/>
      <c r="W764" s="3250"/>
      <c r="X764" s="3250"/>
      <c r="Y764" s="3250"/>
      <c r="Z764" s="3250"/>
      <c r="AA764" s="3250"/>
      <c r="AB764" s="3250"/>
      <c r="AC764" s="3250"/>
      <c r="AD764" s="3250"/>
      <c r="AE764" s="3250"/>
      <c r="AF764" s="3250"/>
      <c r="AG764" s="3250"/>
      <c r="AH764" s="3250"/>
      <c r="AI764" s="3250"/>
      <c r="AJ764" s="3250"/>
      <c r="AK764" s="325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9">
        <f>Application!AJ975</f>
        <v>21814780</v>
      </c>
      <c r="AQ765" s="3239"/>
      <c r="AR765" s="3239"/>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8">
        <f>'Sources and Uses Budget'!S107+'Sources and Uses Budget'!T107</f>
        <v>22147918</v>
      </c>
      <c r="AG766" s="3088"/>
      <c r="AH766" s="3088"/>
      <c r="AI766" s="3088"/>
      <c r="AJ766" s="3088"/>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1">
        <f>AP774</f>
        <v>30104396.399999999</v>
      </c>
      <c r="AG767" s="3251"/>
      <c r="AH767" s="3251"/>
      <c r="AI767" s="3251"/>
      <c r="AJ767" s="3251"/>
      <c r="AK767" s="1005"/>
      <c r="AL767" s="1005"/>
      <c r="AM767" s="1005"/>
      <c r="AN767" s="1000"/>
      <c r="AP767" s="3239">
        <f>Application!AJ1024</f>
        <v>2181478</v>
      </c>
      <c r="AQ767" s="3239"/>
      <c r="AR767" s="323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52">
        <f>ROUNDDOWN(IF(C759="YES",((1-(AF766/AF767))*2),(1-(AF766/AF767))),2)</f>
        <v>0.26</v>
      </c>
      <c r="AG768" s="3252"/>
      <c r="AH768" s="3252"/>
      <c r="AI768" s="3252"/>
      <c r="AJ768" s="3252"/>
      <c r="AK768" s="1005"/>
      <c r="AL768" s="1005"/>
      <c r="AM768" s="1005"/>
      <c r="AN768" s="1000"/>
      <c r="AP768" s="3243">
        <f>Application!AJ1028</f>
        <v>6108138.4000000004</v>
      </c>
      <c r="AQ768" s="3243"/>
      <c r="AR768" s="324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8">
        <f>IF(((AP767+AP768)/AP765)&gt;0.8,0.8,((AP767+AP768)/AP765))</f>
        <v>0.38</v>
      </c>
      <c r="AQ769" s="3238"/>
      <c r="AR769" s="3238"/>
    </row>
    <row r="770" spans="1:44" s="943" customFormat="1" ht="12.75" customHeight="1">
      <c r="A770" s="1048"/>
      <c r="B770" s="3187" t="s">
        <v>1859</v>
      </c>
      <c r="C770" s="3188"/>
      <c r="D770" s="3188"/>
      <c r="E770" s="3188"/>
      <c r="F770" s="3188"/>
      <c r="G770" s="3188"/>
      <c r="H770" s="3188"/>
      <c r="I770" s="3188"/>
      <c r="J770" s="3188"/>
      <c r="K770" s="3188"/>
      <c r="L770" s="3188"/>
      <c r="M770" s="3188"/>
      <c r="N770" s="3188"/>
      <c r="O770" s="3188"/>
      <c r="P770" s="3188"/>
      <c r="Q770" s="3188"/>
      <c r="R770" s="3188"/>
      <c r="S770" s="3188"/>
      <c r="T770" s="3188"/>
      <c r="U770" s="3188"/>
      <c r="V770" s="3188"/>
      <c r="W770" s="3188"/>
      <c r="X770" s="3188"/>
      <c r="Y770" s="3188"/>
      <c r="Z770" s="3188"/>
      <c r="AA770" s="3188"/>
      <c r="AB770" s="3188"/>
      <c r="AC770" s="3188"/>
      <c r="AD770" s="3188"/>
      <c r="AE770" s="3188"/>
      <c r="AF770" s="3188"/>
      <c r="AG770" s="3188"/>
      <c r="AH770" s="3188"/>
      <c r="AI770" s="3188"/>
      <c r="AJ770" s="3189"/>
      <c r="AK770" s="1005"/>
      <c r="AL770" s="1005"/>
      <c r="AM770" s="1005"/>
      <c r="AN770" s="1000"/>
    </row>
    <row r="771" spans="1:44" s="943" customFormat="1" ht="12.75" customHeight="1">
      <c r="A771" s="1048"/>
      <c r="B771" s="3190"/>
      <c r="C771" s="3191"/>
      <c r="D771" s="3191"/>
      <c r="E771" s="3191"/>
      <c r="F771" s="3191"/>
      <c r="G771" s="3191"/>
      <c r="H771" s="3191"/>
      <c r="I771" s="3191"/>
      <c r="J771" s="3191"/>
      <c r="K771" s="3191"/>
      <c r="L771" s="3191"/>
      <c r="M771" s="3191"/>
      <c r="N771" s="3191"/>
      <c r="O771" s="3191"/>
      <c r="P771" s="3191"/>
      <c r="Q771" s="3191"/>
      <c r="R771" s="3191"/>
      <c r="S771" s="3191"/>
      <c r="T771" s="3191"/>
      <c r="U771" s="3191"/>
      <c r="V771" s="3191"/>
      <c r="W771" s="3191"/>
      <c r="X771" s="3191"/>
      <c r="Y771" s="3191"/>
      <c r="Z771" s="3191"/>
      <c r="AA771" s="3191"/>
      <c r="AB771" s="3191"/>
      <c r="AC771" s="3191"/>
      <c r="AD771" s="3191"/>
      <c r="AE771" s="3191"/>
      <c r="AF771" s="3191"/>
      <c r="AG771" s="3191"/>
      <c r="AH771" s="3191"/>
      <c r="AI771" s="3191"/>
      <c r="AJ771" s="3192"/>
      <c r="AK771" s="1005"/>
      <c r="AL771" s="1005"/>
      <c r="AM771" s="1005"/>
      <c r="AN771" s="1000"/>
      <c r="AP771" s="3239">
        <f>AP772-AP767-AP768</f>
        <v>21814780</v>
      </c>
      <c r="AQ771" s="3240"/>
      <c r="AR771" s="3240"/>
    </row>
    <row r="772" spans="1:44" s="943" customFormat="1" ht="12.75" customHeight="1">
      <c r="A772" s="1048"/>
      <c r="B772" s="3193"/>
      <c r="C772" s="3194"/>
      <c r="D772" s="3194"/>
      <c r="E772" s="3194"/>
      <c r="F772" s="3194"/>
      <c r="G772" s="3194"/>
      <c r="H772" s="3194"/>
      <c r="I772" s="3194"/>
      <c r="J772" s="3194"/>
      <c r="K772" s="3194"/>
      <c r="L772" s="3194"/>
      <c r="M772" s="3194"/>
      <c r="N772" s="3194"/>
      <c r="O772" s="3194"/>
      <c r="P772" s="3194"/>
      <c r="Q772" s="3194"/>
      <c r="R772" s="3194"/>
      <c r="S772" s="3194"/>
      <c r="T772" s="3194"/>
      <c r="U772" s="3194"/>
      <c r="V772" s="3194"/>
      <c r="W772" s="3194"/>
      <c r="X772" s="3194"/>
      <c r="Y772" s="3194"/>
      <c r="Z772" s="3194"/>
      <c r="AA772" s="3194"/>
      <c r="AB772" s="3194"/>
      <c r="AC772" s="3194"/>
      <c r="AD772" s="3194"/>
      <c r="AE772" s="3194"/>
      <c r="AF772" s="3194"/>
      <c r="AG772" s="3194"/>
      <c r="AH772" s="3194"/>
      <c r="AI772" s="3194"/>
      <c r="AJ772" s="3195"/>
      <c r="AK772" s="1005"/>
      <c r="AL772" s="1005"/>
      <c r="AM772" s="1005"/>
      <c r="AN772" s="1000"/>
      <c r="AP772" s="3239">
        <f>Application!AJ1032</f>
        <v>30104396.399999999</v>
      </c>
      <c r="AQ772" s="3239"/>
      <c r="AR772" s="323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96">
        <f>IF(AF768=0,0,IF((AF768*100)&gt;12,12,(AF768*100)))</f>
        <v>12</v>
      </c>
      <c r="AL774" s="3196"/>
      <c r="AM774" s="3197"/>
      <c r="AN774" s="1000"/>
      <c r="AP774" s="3262">
        <f>AP771+(AP765*AP769)</f>
        <v>30104396.399999999</v>
      </c>
      <c r="AQ774" s="3263"/>
      <c r="AR774" s="326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8" t="s">
        <v>1861</v>
      </c>
      <c r="B777" s="3199"/>
      <c r="C777" s="3199"/>
      <c r="D777" s="3199"/>
      <c r="E777" s="3199"/>
      <c r="F777" s="3199"/>
      <c r="G777" s="3199"/>
      <c r="H777" s="3199"/>
      <c r="I777" s="3199"/>
      <c r="J777" s="3199"/>
      <c r="K777" s="3199"/>
      <c r="L777" s="3199"/>
      <c r="M777" s="3199"/>
      <c r="N777" s="3199"/>
      <c r="O777" s="3199"/>
      <c r="P777" s="3199"/>
      <c r="Q777" s="3199"/>
      <c r="R777" s="3199"/>
      <c r="S777" s="3199"/>
      <c r="T777" s="3199"/>
      <c r="U777" s="3199"/>
      <c r="V777" s="3199"/>
      <c r="W777" s="3199"/>
      <c r="X777" s="3199"/>
      <c r="Y777" s="3199"/>
      <c r="Z777" s="3199"/>
      <c r="AA777" s="3199"/>
      <c r="AB777" s="3199"/>
      <c r="AC777" s="3199"/>
      <c r="AD777" s="3199"/>
      <c r="AE777" s="3199"/>
      <c r="AF777" s="3199"/>
      <c r="AG777" s="3199"/>
      <c r="AH777" s="3199"/>
      <c r="AI777" s="3199"/>
      <c r="AJ777" s="3199"/>
      <c r="AK777" s="3199"/>
      <c r="AL777" s="3199"/>
      <c r="AM777" s="3199"/>
    </row>
    <row r="778" spans="1:44">
      <c r="A778" s="3200"/>
      <c r="B778" s="3200"/>
      <c r="C778" s="3200"/>
      <c r="D778" s="3200"/>
      <c r="E778" s="3200"/>
      <c r="F778" s="3200"/>
      <c r="G778" s="3200"/>
      <c r="H778" s="3200"/>
      <c r="I778" s="3200"/>
      <c r="J778" s="3200"/>
      <c r="K778" s="3200"/>
      <c r="L778" s="3200"/>
      <c r="M778" s="3200"/>
      <c r="N778" s="3200"/>
      <c r="O778" s="3200"/>
      <c r="P778" s="3200"/>
      <c r="Q778" s="3200"/>
      <c r="R778" s="3200"/>
      <c r="S778" s="3200"/>
      <c r="T778" s="3200"/>
      <c r="U778" s="3200"/>
      <c r="V778" s="3200"/>
      <c r="W778" s="3200"/>
      <c r="X778" s="3200"/>
      <c r="Y778" s="3200"/>
      <c r="Z778" s="3200"/>
      <c r="AA778" s="3200"/>
      <c r="AB778" s="3200"/>
      <c r="AC778" s="3200"/>
      <c r="AD778" s="3200"/>
      <c r="AE778" s="3200"/>
      <c r="AF778" s="3200"/>
      <c r="AG778" s="3200"/>
      <c r="AH778" s="3200"/>
      <c r="AI778" s="3200"/>
      <c r="AJ778" s="3200"/>
      <c r="AK778" s="3200"/>
      <c r="AL778" s="3200"/>
      <c r="AM778" s="3200"/>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201"/>
      <c r="B780" s="3201"/>
      <c r="C780" s="3201"/>
      <c r="D780" s="3201"/>
      <c r="E780" s="3201"/>
      <c r="F780" s="3201"/>
      <c r="G780" s="3201"/>
      <c r="H780" s="3201"/>
      <c r="I780" s="3201"/>
      <c r="J780" s="3201"/>
      <c r="K780" s="3201"/>
      <c r="L780" s="3201"/>
      <c r="M780" s="3201"/>
      <c r="N780" s="3201"/>
      <c r="O780" s="3201"/>
      <c r="P780" s="3201"/>
      <c r="Q780" s="3201"/>
      <c r="R780" s="3201"/>
      <c r="S780" s="3201"/>
      <c r="T780" s="3201"/>
      <c r="U780" s="3201"/>
      <c r="V780" s="3201"/>
      <c r="W780" s="3201"/>
      <c r="X780" s="3201"/>
      <c r="Y780" s="3201"/>
      <c r="Z780" s="3201"/>
      <c r="AA780" s="3201"/>
      <c r="AB780" s="3201"/>
      <c r="AC780" s="3201"/>
      <c r="AD780" s="3201"/>
      <c r="AE780" s="3201"/>
      <c r="AF780" s="3201"/>
      <c r="AG780" s="3201"/>
      <c r="AH780" s="3201"/>
      <c r="AI780" s="3201"/>
      <c r="AJ780" s="3201"/>
      <c r="AK780" s="3201"/>
      <c r="AL780" s="3201"/>
      <c r="AM780" s="3201"/>
      <c r="AO780" s="1227"/>
      <c r="AP780" s="1320"/>
      <c r="AQ780" s="1319"/>
    </row>
    <row r="781" spans="1:44" ht="13">
      <c r="A781" s="3201"/>
      <c r="B781" s="3201"/>
      <c r="C781" s="3201"/>
      <c r="D781" s="3201"/>
      <c r="E781" s="3201"/>
      <c r="F781" s="3201"/>
      <c r="G781" s="3201"/>
      <c r="H781" s="3201"/>
      <c r="I781" s="3201"/>
      <c r="J781" s="3201"/>
      <c r="K781" s="3201"/>
      <c r="L781" s="3201"/>
      <c r="M781" s="3201"/>
      <c r="N781" s="3201"/>
      <c r="O781" s="3201"/>
      <c r="P781" s="3201"/>
      <c r="Q781" s="3201"/>
      <c r="R781" s="3201"/>
      <c r="S781" s="3201"/>
      <c r="T781" s="3201"/>
      <c r="U781" s="3201"/>
      <c r="V781" s="3201"/>
      <c r="W781" s="3201"/>
      <c r="X781" s="3201"/>
      <c r="Y781" s="3201"/>
      <c r="Z781" s="3201"/>
      <c r="AA781" s="3201"/>
      <c r="AB781" s="3201"/>
      <c r="AC781" s="3201"/>
      <c r="AD781" s="3201"/>
      <c r="AE781" s="3201"/>
      <c r="AF781" s="3201"/>
      <c r="AG781" s="3201"/>
      <c r="AH781" s="3201"/>
      <c r="AI781" s="3201"/>
      <c r="AJ781" s="3201"/>
      <c r="AK781" s="3201"/>
      <c r="AL781" s="3201"/>
      <c r="AM781" s="3201"/>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202" t="s">
        <v>1862</v>
      </c>
      <c r="U782" s="3203"/>
      <c r="V782" s="3203"/>
      <c r="W782" s="3203"/>
      <c r="X782" s="3203"/>
      <c r="Y782" s="3204"/>
      <c r="Z782" s="3202" t="s">
        <v>1863</v>
      </c>
      <c r="AA782" s="3203"/>
      <c r="AB782" s="3203"/>
      <c r="AC782" s="3203"/>
      <c r="AD782" s="3203"/>
      <c r="AE782" s="3204"/>
      <c r="AF782" s="3202" t="s">
        <v>1864</v>
      </c>
      <c r="AG782" s="3203"/>
      <c r="AH782" s="3203"/>
      <c r="AI782" s="3203"/>
      <c r="AJ782" s="3203"/>
      <c r="AK782" s="3204"/>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205"/>
      <c r="U783" s="3206"/>
      <c r="V783" s="3206"/>
      <c r="W783" s="3206"/>
      <c r="X783" s="3206"/>
      <c r="Y783" s="3207"/>
      <c r="Z783" s="3205"/>
      <c r="AA783" s="3206"/>
      <c r="AB783" s="3206"/>
      <c r="AC783" s="3206"/>
      <c r="AD783" s="3206"/>
      <c r="AE783" s="3207"/>
      <c r="AF783" s="3205"/>
      <c r="AG783" s="3206"/>
      <c r="AH783" s="3206"/>
      <c r="AI783" s="3206"/>
      <c r="AJ783" s="3206"/>
      <c r="AK783" s="3207"/>
      <c r="AL783" s="1322"/>
      <c r="AM783" s="1216"/>
      <c r="AO783" s="1320"/>
      <c r="AP783" s="1319"/>
      <c r="AQ783" s="1319"/>
    </row>
    <row r="784" spans="1:44" ht="13">
      <c r="A784" s="1323" t="s">
        <v>798</v>
      </c>
      <c r="B784" s="3180" t="s">
        <v>1562</v>
      </c>
      <c r="C784" s="3180"/>
      <c r="D784" s="3180"/>
      <c r="E784" s="3180"/>
      <c r="F784" s="3180"/>
      <c r="G784" s="3180"/>
      <c r="H784" s="3180"/>
      <c r="I784" s="3180"/>
      <c r="J784" s="3180"/>
      <c r="K784" s="3180"/>
      <c r="L784" s="3180"/>
      <c r="M784" s="3180"/>
      <c r="N784" s="3180"/>
      <c r="O784" s="3180"/>
      <c r="P784" s="3180"/>
      <c r="Q784" s="3180"/>
      <c r="R784" s="3180"/>
      <c r="S784" s="3181"/>
      <c r="T784" s="3182">
        <f>AK51</f>
        <v>0</v>
      </c>
      <c r="U784" s="3183"/>
      <c r="V784" s="3183"/>
      <c r="W784" s="3183"/>
      <c r="X784" s="3183"/>
      <c r="Y784" s="3184"/>
      <c r="Z784" s="3185">
        <v>20</v>
      </c>
      <c r="AA784" s="3183"/>
      <c r="AB784" s="3183"/>
      <c r="AC784" s="3183"/>
      <c r="AD784" s="3183"/>
      <c r="AE784" s="3184"/>
      <c r="AF784" s="3186">
        <f>IF(T784&gt;Z784,Z784,T784)</f>
        <v>0</v>
      </c>
      <c r="AG784" s="3186"/>
      <c r="AH784" s="3186"/>
      <c r="AI784" s="3186"/>
      <c r="AJ784" s="3186"/>
      <c r="AK784" s="3186"/>
      <c r="AL784" s="1322"/>
      <c r="AM784" s="1216"/>
      <c r="AO784" s="1319"/>
      <c r="AP784" s="1319"/>
      <c r="AQ784" s="1319"/>
    </row>
    <row r="785" spans="1:81" ht="13">
      <c r="A785" s="1323" t="s">
        <v>1830</v>
      </c>
      <c r="B785" s="3180" t="s">
        <v>1583</v>
      </c>
      <c r="C785" s="3180"/>
      <c r="D785" s="3180"/>
      <c r="E785" s="3180"/>
      <c r="F785" s="3180"/>
      <c r="G785" s="3180"/>
      <c r="H785" s="3180"/>
      <c r="I785" s="3180"/>
      <c r="J785" s="3180"/>
      <c r="K785" s="3180"/>
      <c r="L785" s="3180"/>
      <c r="M785" s="3180"/>
      <c r="N785" s="3180"/>
      <c r="O785" s="3180"/>
      <c r="P785" s="3180"/>
      <c r="Q785" s="3180"/>
      <c r="R785" s="3180"/>
      <c r="S785" s="3181"/>
      <c r="T785" s="3182">
        <f>AK72</f>
        <v>10</v>
      </c>
      <c r="U785" s="3183"/>
      <c r="V785" s="3183"/>
      <c r="W785" s="3183"/>
      <c r="X785" s="3183"/>
      <c r="Y785" s="3184"/>
      <c r="Z785" s="3185">
        <v>10</v>
      </c>
      <c r="AA785" s="3183"/>
      <c r="AB785" s="3183"/>
      <c r="AC785" s="3183"/>
      <c r="AD785" s="3183"/>
      <c r="AE785" s="3184"/>
      <c r="AF785" s="3186">
        <f>IF(T785&gt;Z785,Z785,T785)</f>
        <v>10</v>
      </c>
      <c r="AG785" s="3186"/>
      <c r="AH785" s="3186"/>
      <c r="AI785" s="3186"/>
      <c r="AJ785" s="3186"/>
      <c r="AK785" s="3186"/>
      <c r="AL785" s="1322"/>
      <c r="AM785" s="1216"/>
      <c r="AO785" s="1319"/>
      <c r="AP785" s="1319"/>
      <c r="AQ785" s="1319"/>
    </row>
    <row r="786" spans="1:81" ht="13">
      <c r="A786" s="1323" t="s">
        <v>1839</v>
      </c>
      <c r="B786" s="3180" t="s">
        <v>1593</v>
      </c>
      <c r="C786" s="3180"/>
      <c r="D786" s="3180"/>
      <c r="E786" s="3180"/>
      <c r="F786" s="3180"/>
      <c r="G786" s="3180"/>
      <c r="H786" s="3180"/>
      <c r="I786" s="3180"/>
      <c r="J786" s="3180"/>
      <c r="K786" s="3180"/>
      <c r="L786" s="3180"/>
      <c r="M786" s="3180"/>
      <c r="N786" s="3180"/>
      <c r="O786" s="3180"/>
      <c r="P786" s="3180"/>
      <c r="Q786" s="3180"/>
      <c r="R786" s="3180"/>
      <c r="S786" s="3181"/>
      <c r="T786" s="3182">
        <f ca="1">AK97</f>
        <v>20</v>
      </c>
      <c r="U786" s="3183"/>
      <c r="V786" s="3183"/>
      <c r="W786" s="3183"/>
      <c r="X786" s="3183"/>
      <c r="Y786" s="3184"/>
      <c r="Z786" s="3185">
        <v>20</v>
      </c>
      <c r="AA786" s="3183"/>
      <c r="AB786" s="3183"/>
      <c r="AC786" s="3183"/>
      <c r="AD786" s="3183"/>
      <c r="AE786" s="3184"/>
      <c r="AF786" s="3186">
        <f ca="1">IF(T786&gt;Z786,Z786,T786)</f>
        <v>20</v>
      </c>
      <c r="AG786" s="3186"/>
      <c r="AH786" s="3186"/>
      <c r="AI786" s="3186"/>
      <c r="AJ786" s="3186"/>
      <c r="AK786" s="3186"/>
      <c r="AL786" s="1322"/>
      <c r="AM786" s="1216"/>
      <c r="AO786" s="1319"/>
      <c r="AP786" s="1319"/>
      <c r="AQ786" s="1319"/>
    </row>
    <row r="787" spans="1:81" ht="13">
      <c r="A787" s="1323" t="s">
        <v>1865</v>
      </c>
      <c r="B787" s="3180" t="s">
        <v>1603</v>
      </c>
      <c r="C787" s="3180"/>
      <c r="D787" s="3180"/>
      <c r="E787" s="3180"/>
      <c r="F787" s="3180"/>
      <c r="G787" s="3180"/>
      <c r="H787" s="3180"/>
      <c r="I787" s="3180"/>
      <c r="J787" s="3180"/>
      <c r="K787" s="3180"/>
      <c r="L787" s="3180"/>
      <c r="M787" s="3180"/>
      <c r="N787" s="3180"/>
      <c r="O787" s="3180"/>
      <c r="P787" s="3180"/>
      <c r="Q787" s="3180"/>
      <c r="R787" s="3180"/>
      <c r="S787" s="3181"/>
      <c r="T787" s="3182">
        <f>AK131</f>
        <v>10</v>
      </c>
      <c r="U787" s="3183"/>
      <c r="V787" s="3183"/>
      <c r="W787" s="3183"/>
      <c r="X787" s="3183"/>
      <c r="Y787" s="3184"/>
      <c r="Z787" s="3185">
        <v>10</v>
      </c>
      <c r="AA787" s="3183"/>
      <c r="AB787" s="3183"/>
      <c r="AC787" s="3183"/>
      <c r="AD787" s="3183"/>
      <c r="AE787" s="3184"/>
      <c r="AF787" s="3186">
        <f>IF(T787&gt;Z787,Z787,T787)</f>
        <v>10</v>
      </c>
      <c r="AG787" s="3186"/>
      <c r="AH787" s="3186"/>
      <c r="AI787" s="3186"/>
      <c r="AJ787" s="3186"/>
      <c r="AK787" s="3186"/>
      <c r="AL787" s="1322"/>
      <c r="AM787" s="1216"/>
      <c r="AO787" s="1319"/>
      <c r="AP787" s="1319"/>
      <c r="AQ787" s="1319"/>
    </row>
    <row r="788" spans="1:81" ht="13">
      <c r="A788" s="1325" t="s">
        <v>1866</v>
      </c>
      <c r="B788" s="3180" t="s">
        <v>1867</v>
      </c>
      <c r="C788" s="3180"/>
      <c r="D788" s="3180"/>
      <c r="E788" s="3180"/>
      <c r="F788" s="3180"/>
      <c r="G788" s="3180"/>
      <c r="H788" s="3180"/>
      <c r="I788" s="3180"/>
      <c r="J788" s="3180"/>
      <c r="K788" s="3180"/>
      <c r="L788" s="3180"/>
      <c r="M788" s="3180"/>
      <c r="N788" s="3180"/>
      <c r="O788" s="3180"/>
      <c r="P788" s="3180"/>
      <c r="Q788" s="3180"/>
      <c r="R788" s="3180"/>
      <c r="S788" s="3181"/>
      <c r="T788" s="3208">
        <f>SUM(T789:Y790)</f>
        <v>10</v>
      </c>
      <c r="U788" s="3208"/>
      <c r="V788" s="3208"/>
      <c r="W788" s="3208"/>
      <c r="X788" s="3208"/>
      <c r="Y788" s="3208"/>
      <c r="Z788" s="3186">
        <v>10</v>
      </c>
      <c r="AA788" s="3186"/>
      <c r="AB788" s="3186"/>
      <c r="AC788" s="3186"/>
      <c r="AD788" s="3186"/>
      <c r="AE788" s="3186"/>
      <c r="AF788" s="3186">
        <f>IF(T788&gt;Z788,Z788,T788)</f>
        <v>10</v>
      </c>
      <c r="AG788" s="3186"/>
      <c r="AH788" s="3186"/>
      <c r="AI788" s="3186"/>
      <c r="AJ788" s="3186"/>
      <c r="AK788" s="3186"/>
      <c r="AL788" s="1322"/>
      <c r="AM788" s="1216"/>
    </row>
    <row r="789" spans="1:81" ht="13">
      <c r="A789" s="926"/>
      <c r="B789" s="1009"/>
      <c r="C789" s="3209" t="s">
        <v>1868</v>
      </c>
      <c r="D789" s="3209"/>
      <c r="E789" s="3209"/>
      <c r="F789" s="3209"/>
      <c r="G789" s="3209"/>
      <c r="H789" s="3209"/>
      <c r="I789" s="3209"/>
      <c r="J789" s="3209"/>
      <c r="K789" s="3209"/>
      <c r="L789" s="3209"/>
      <c r="M789" s="3209"/>
      <c r="N789" s="3209"/>
      <c r="O789" s="3209"/>
      <c r="P789" s="3209"/>
      <c r="Q789" s="3209"/>
      <c r="R789" s="3209"/>
      <c r="S789" s="3210"/>
      <c r="T789" s="3080">
        <f>AJ149</f>
        <v>7</v>
      </c>
      <c r="U789" s="3080"/>
      <c r="V789" s="3080"/>
      <c r="W789" s="3080"/>
      <c r="X789" s="3080"/>
      <c r="Y789" s="3080"/>
      <c r="Z789" s="3211">
        <v>7</v>
      </c>
      <c r="AA789" s="3211"/>
      <c r="AB789" s="3211"/>
      <c r="AC789" s="3211"/>
      <c r="AD789" s="3211"/>
      <c r="AE789" s="3211"/>
      <c r="AF789" s="3212"/>
      <c r="AG789" s="3212"/>
      <c r="AH789" s="3212"/>
      <c r="AI789" s="3212"/>
      <c r="AJ789" s="3212"/>
      <c r="AK789" s="3212"/>
      <c r="AL789" s="1322"/>
      <c r="AM789" s="1216"/>
    </row>
    <row r="790" spans="1:81" ht="13">
      <c r="A790" s="1326"/>
      <c r="B790" s="1009"/>
      <c r="C790" s="3209" t="s">
        <v>1869</v>
      </c>
      <c r="D790" s="3209"/>
      <c r="E790" s="3209"/>
      <c r="F790" s="3209"/>
      <c r="G790" s="3209"/>
      <c r="H790" s="3209"/>
      <c r="I790" s="3209"/>
      <c r="J790" s="3209"/>
      <c r="K790" s="3209"/>
      <c r="L790" s="3209"/>
      <c r="M790" s="3209"/>
      <c r="N790" s="3209"/>
      <c r="O790" s="3209"/>
      <c r="P790" s="3209"/>
      <c r="Q790" s="3209"/>
      <c r="R790" s="3209"/>
      <c r="S790" s="3210"/>
      <c r="T790" s="3080">
        <f>AJ163</f>
        <v>3</v>
      </c>
      <c r="U790" s="3080"/>
      <c r="V790" s="3080"/>
      <c r="W790" s="3080"/>
      <c r="X790" s="3080"/>
      <c r="Y790" s="3080"/>
      <c r="Z790" s="3211">
        <v>3</v>
      </c>
      <c r="AA790" s="3211"/>
      <c r="AB790" s="3211"/>
      <c r="AC790" s="3211"/>
      <c r="AD790" s="3211"/>
      <c r="AE790" s="3211"/>
      <c r="AF790" s="3212"/>
      <c r="AG790" s="3212"/>
      <c r="AH790" s="3212"/>
      <c r="AI790" s="3212"/>
      <c r="AJ790" s="3212"/>
      <c r="AK790" s="3212"/>
      <c r="AL790" s="1322"/>
      <c r="AM790" s="1216"/>
      <c r="AO790" s="943"/>
    </row>
    <row r="791" spans="1:81" ht="13">
      <c r="A791" s="1325" t="s">
        <v>1631</v>
      </c>
      <c r="B791" s="3180" t="s">
        <v>1870</v>
      </c>
      <c r="C791" s="3180"/>
      <c r="D791" s="3180"/>
      <c r="E791" s="3180"/>
      <c r="F791" s="3180"/>
      <c r="G791" s="3180"/>
      <c r="H791" s="3180"/>
      <c r="I791" s="3180"/>
      <c r="J791" s="3180"/>
      <c r="K791" s="3180"/>
      <c r="L791" s="3180"/>
      <c r="M791" s="3180"/>
      <c r="N791" s="3180"/>
      <c r="O791" s="3180"/>
      <c r="P791" s="3180"/>
      <c r="Q791" s="3180"/>
      <c r="R791" s="3180"/>
      <c r="S791" s="3181"/>
      <c r="T791" s="3208">
        <f>AK174</f>
        <v>10</v>
      </c>
      <c r="U791" s="3208"/>
      <c r="V791" s="3208"/>
      <c r="W791" s="3208"/>
      <c r="X791" s="3208"/>
      <c r="Y791" s="3208"/>
      <c r="Z791" s="3186">
        <v>10</v>
      </c>
      <c r="AA791" s="3186"/>
      <c r="AB791" s="3186"/>
      <c r="AC791" s="3186"/>
      <c r="AD791" s="3186"/>
      <c r="AE791" s="3186"/>
      <c r="AF791" s="3186">
        <f>IF(T791&gt;Z791,Z791,T791)</f>
        <v>10</v>
      </c>
      <c r="AG791" s="3186"/>
      <c r="AH791" s="3186"/>
      <c r="AI791" s="3186"/>
      <c r="AJ791" s="3186"/>
      <c r="AK791" s="3186"/>
      <c r="AL791" s="1322"/>
      <c r="AM791" s="1216"/>
    </row>
    <row r="792" spans="1:81" ht="13">
      <c r="A792" s="1323" t="s">
        <v>1640</v>
      </c>
      <c r="B792" s="3180" t="s">
        <v>1641</v>
      </c>
      <c r="C792" s="3180"/>
      <c r="D792" s="3180"/>
      <c r="E792" s="3180"/>
      <c r="F792" s="3180"/>
      <c r="G792" s="3180"/>
      <c r="H792" s="3180"/>
      <c r="I792" s="3180"/>
      <c r="J792" s="3180"/>
      <c r="K792" s="3180"/>
      <c r="L792" s="3180"/>
      <c r="M792" s="3180"/>
      <c r="N792" s="3180"/>
      <c r="O792" s="3180"/>
      <c r="P792" s="3180"/>
      <c r="Q792" s="3180"/>
      <c r="R792" s="3180"/>
      <c r="S792" s="3181"/>
      <c r="T792" s="3208">
        <f>AK256</f>
        <v>8</v>
      </c>
      <c r="U792" s="3208"/>
      <c r="V792" s="3208"/>
      <c r="W792" s="3208"/>
      <c r="X792" s="3208"/>
      <c r="Y792" s="3208"/>
      <c r="Z792" s="3185">
        <v>8</v>
      </c>
      <c r="AA792" s="3183"/>
      <c r="AB792" s="3183"/>
      <c r="AC792" s="3183"/>
      <c r="AD792" s="3183"/>
      <c r="AE792" s="3184"/>
      <c r="AF792" s="3186">
        <f>IF(T792&gt;Z792,Z792,T792)</f>
        <v>8</v>
      </c>
      <c r="AG792" s="3186"/>
      <c r="AH792" s="3186"/>
      <c r="AI792" s="3186"/>
      <c r="AJ792" s="3186"/>
      <c r="AK792" s="3186"/>
      <c r="AL792" s="1322"/>
      <c r="AM792" s="1216"/>
    </row>
    <row r="793" spans="1:81" s="925" customFormat="1" ht="13" hidden="1">
      <c r="A793" s="1325" t="s">
        <v>624</v>
      </c>
      <c r="B793" s="3180" t="s">
        <v>1871</v>
      </c>
      <c r="C793" s="3180"/>
      <c r="D793" s="3180"/>
      <c r="E793" s="3180"/>
      <c r="F793" s="3180"/>
      <c r="G793" s="3180"/>
      <c r="H793" s="3180"/>
      <c r="I793" s="3180"/>
      <c r="J793" s="3180"/>
      <c r="K793" s="3180"/>
      <c r="L793" s="3180"/>
      <c r="M793" s="3180"/>
      <c r="N793" s="3180"/>
      <c r="O793" s="3180"/>
      <c r="P793" s="3180"/>
      <c r="Q793" s="3180"/>
      <c r="R793" s="3180"/>
      <c r="S793" s="3181"/>
      <c r="T793" s="3208">
        <f>IF(AK750&gt;5,5,AK750)</f>
        <v>0</v>
      </c>
      <c r="U793" s="3208"/>
      <c r="V793" s="3208"/>
      <c r="W793" s="3208"/>
      <c r="X793" s="3208"/>
      <c r="Y793" s="3208"/>
      <c r="Z793" s="3186">
        <v>5</v>
      </c>
      <c r="AA793" s="3186"/>
      <c r="AB793" s="3186"/>
      <c r="AC793" s="3186"/>
      <c r="AD793" s="3186"/>
      <c r="AE793" s="3186"/>
      <c r="AF793" s="3186">
        <f>IF(T793&gt;Z793,5,T793)</f>
        <v>0</v>
      </c>
      <c r="AG793" s="3186"/>
      <c r="AH793" s="3186"/>
      <c r="AI793" s="3186"/>
      <c r="AJ793" s="3186"/>
      <c r="AK793" s="318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1646</v>
      </c>
      <c r="B794" s="3180" t="s">
        <v>1872</v>
      </c>
      <c r="C794" s="3180"/>
      <c r="D794" s="3180"/>
      <c r="E794" s="3180"/>
      <c r="F794" s="3180"/>
      <c r="G794" s="3180"/>
      <c r="H794" s="3180"/>
      <c r="I794" s="3180"/>
      <c r="J794" s="3180"/>
      <c r="K794" s="3180"/>
      <c r="L794" s="3180"/>
      <c r="M794" s="3180"/>
      <c r="N794" s="3180"/>
      <c r="O794" s="3180"/>
      <c r="P794" s="3180"/>
      <c r="Q794" s="3180"/>
      <c r="R794" s="3180"/>
      <c r="S794" s="3181"/>
      <c r="T794" s="3208">
        <f>AK267</f>
        <v>10</v>
      </c>
      <c r="U794" s="3208"/>
      <c r="V794" s="3208"/>
      <c r="W794" s="3208"/>
      <c r="X794" s="3208"/>
      <c r="Y794" s="3208"/>
      <c r="Z794" s="3186">
        <v>10</v>
      </c>
      <c r="AA794" s="3186"/>
      <c r="AB794" s="3186"/>
      <c r="AC794" s="3186"/>
      <c r="AD794" s="3186"/>
      <c r="AE794" s="3186"/>
      <c r="AF794" s="3215">
        <f>IF(T794&gt;Z794,Z794,T794)</f>
        <v>10</v>
      </c>
      <c r="AG794" s="3216"/>
      <c r="AH794" s="3216"/>
      <c r="AI794" s="3216"/>
      <c r="AJ794" s="3216"/>
      <c r="AK794" s="321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1650</v>
      </c>
      <c r="B795" s="3180" t="s">
        <v>1651</v>
      </c>
      <c r="C795" s="3180"/>
      <c r="D795" s="3180"/>
      <c r="E795" s="3180"/>
      <c r="F795" s="3180"/>
      <c r="G795" s="3180"/>
      <c r="H795" s="3180"/>
      <c r="I795" s="3180"/>
      <c r="J795" s="3180"/>
      <c r="K795" s="3180"/>
      <c r="L795" s="3180"/>
      <c r="M795" s="3180"/>
      <c r="N795" s="3180"/>
      <c r="O795" s="3180"/>
      <c r="P795" s="3180"/>
      <c r="Q795" s="3180"/>
      <c r="R795" s="3180"/>
      <c r="S795" s="3181"/>
      <c r="T795" s="3208">
        <f>AK553</f>
        <v>19</v>
      </c>
      <c r="U795" s="3208"/>
      <c r="V795" s="3208"/>
      <c r="W795" s="3208"/>
      <c r="X795" s="3208"/>
      <c r="Y795" s="3208"/>
      <c r="Z795" s="3215">
        <v>20</v>
      </c>
      <c r="AA795" s="3216"/>
      <c r="AB795" s="3216"/>
      <c r="AC795" s="3216"/>
      <c r="AD795" s="3216"/>
      <c r="AE795" s="3217"/>
      <c r="AF795" s="3215">
        <f>IF(T795&gt;Z795,Z795,T795)</f>
        <v>19</v>
      </c>
      <c r="AG795" s="3230"/>
      <c r="AH795" s="3230"/>
      <c r="AI795" s="3230"/>
      <c r="AJ795" s="3230"/>
      <c r="AK795" s="323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80">
        <f>AK320</f>
        <v>9</v>
      </c>
      <c r="U796" s="3080"/>
      <c r="V796" s="3080"/>
      <c r="W796" s="3080"/>
      <c r="X796" s="3080"/>
      <c r="Y796" s="3080"/>
      <c r="Z796" s="3085">
        <v>20</v>
      </c>
      <c r="AA796" s="3086"/>
      <c r="AB796" s="3086"/>
      <c r="AC796" s="3086"/>
      <c r="AD796" s="3086"/>
      <c r="AE796" s="3087"/>
      <c r="AF796" s="3212"/>
      <c r="AG796" s="3212"/>
      <c r="AH796" s="3212"/>
      <c r="AI796" s="3212"/>
      <c r="AJ796" s="3212"/>
      <c r="AK796" s="321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80">
        <f>AK551</f>
        <v>10</v>
      </c>
      <c r="U797" s="3080"/>
      <c r="V797" s="3080"/>
      <c r="W797" s="3080"/>
      <c r="X797" s="3080"/>
      <c r="Y797" s="3080"/>
      <c r="Z797" s="3085">
        <v>10</v>
      </c>
      <c r="AA797" s="3086"/>
      <c r="AB797" s="3086"/>
      <c r="AC797" s="3086"/>
      <c r="AD797" s="3086"/>
      <c r="AE797" s="3087"/>
      <c r="AF797" s="3212"/>
      <c r="AG797" s="3212"/>
      <c r="AH797" s="3212"/>
      <c r="AI797" s="3212"/>
      <c r="AJ797" s="3212"/>
      <c r="AK797" s="321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1736</v>
      </c>
      <c r="B798" s="3180" t="s">
        <v>908</v>
      </c>
      <c r="C798" s="3180"/>
      <c r="D798" s="3180"/>
      <c r="E798" s="3180"/>
      <c r="F798" s="3180"/>
      <c r="G798" s="3180"/>
      <c r="H798" s="3180"/>
      <c r="I798" s="3180"/>
      <c r="J798" s="3180"/>
      <c r="K798" s="3180"/>
      <c r="L798" s="3180"/>
      <c r="M798" s="3180"/>
      <c r="N798" s="3180"/>
      <c r="O798" s="3180"/>
      <c r="P798" s="3180"/>
      <c r="Q798" s="3180"/>
      <c r="R798" s="3180"/>
      <c r="S798" s="3181"/>
      <c r="T798" s="3208">
        <f>AK684</f>
        <v>10</v>
      </c>
      <c r="U798" s="3208"/>
      <c r="V798" s="3208"/>
      <c r="W798" s="3208"/>
      <c r="X798" s="3208"/>
      <c r="Y798" s="3208"/>
      <c r="Z798" s="3215">
        <v>10</v>
      </c>
      <c r="AA798" s="3216"/>
      <c r="AB798" s="3216"/>
      <c r="AC798" s="3216"/>
      <c r="AD798" s="3216"/>
      <c r="AE798" s="3217"/>
      <c r="AF798" s="3186">
        <f>IF(T798&gt;Z798,Z798,T798)</f>
        <v>10</v>
      </c>
      <c r="AG798" s="3186"/>
      <c r="AH798" s="3186"/>
      <c r="AI798" s="3186"/>
      <c r="AJ798" s="3186"/>
      <c r="AK798" s="318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1849</v>
      </c>
      <c r="B799" s="3180" t="s">
        <v>1850</v>
      </c>
      <c r="C799" s="3180"/>
      <c r="D799" s="3180"/>
      <c r="E799" s="3180"/>
      <c r="F799" s="3180"/>
      <c r="G799" s="3180"/>
      <c r="H799" s="3180"/>
      <c r="I799" s="3180"/>
      <c r="J799" s="3180"/>
      <c r="K799" s="3180"/>
      <c r="L799" s="3180"/>
      <c r="M799" s="3180"/>
      <c r="N799" s="3180"/>
      <c r="O799" s="3180"/>
      <c r="P799" s="3180"/>
      <c r="Q799" s="3180"/>
      <c r="R799" s="3180"/>
      <c r="S799" s="3181"/>
      <c r="T799" s="3208">
        <f>AK774</f>
        <v>12</v>
      </c>
      <c r="U799" s="3208"/>
      <c r="V799" s="3208"/>
      <c r="W799" s="3208"/>
      <c r="X799" s="3208"/>
      <c r="Y799" s="3208"/>
      <c r="Z799" s="3215">
        <v>12</v>
      </c>
      <c r="AA799" s="3216"/>
      <c r="AB799" s="3216"/>
      <c r="AC799" s="3216"/>
      <c r="AD799" s="3216"/>
      <c r="AE799" s="3217"/>
      <c r="AF799" s="3186">
        <f>IF(T799&gt;Z799,Z799,T799)</f>
        <v>12</v>
      </c>
      <c r="AG799" s="3186"/>
      <c r="AH799" s="3186"/>
      <c r="AI799" s="3186"/>
      <c r="AJ799" s="3186"/>
      <c r="AK799" s="318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213" t="s">
        <v>1875</v>
      </c>
      <c r="B800" s="3180"/>
      <c r="C800" s="3180"/>
      <c r="D800" s="3180"/>
      <c r="E800" s="3180"/>
      <c r="F800" s="3180"/>
      <c r="G800" s="3180"/>
      <c r="H800" s="3180"/>
      <c r="I800" s="3180"/>
      <c r="J800" s="3180"/>
      <c r="K800" s="3180"/>
      <c r="L800" s="3180"/>
      <c r="M800" s="3180"/>
      <c r="N800" s="3180"/>
      <c r="O800" s="3180"/>
      <c r="P800" s="3180"/>
      <c r="Q800" s="3180"/>
      <c r="R800" s="3180"/>
      <c r="S800" s="3181"/>
      <c r="T800" s="3214"/>
      <c r="U800" s="3214"/>
      <c r="V800" s="3214"/>
      <c r="W800" s="3214"/>
      <c r="X800" s="3214"/>
      <c r="Y800" s="3214"/>
      <c r="Z800" s="3211" t="s">
        <v>1876</v>
      </c>
      <c r="AA800" s="3211"/>
      <c r="AB800" s="3211"/>
      <c r="AC800" s="3211"/>
      <c r="AD800" s="3211"/>
      <c r="AE800" s="3211"/>
      <c r="AF800" s="3215">
        <f>IF(T800&gt;0,T800,0)</f>
        <v>0</v>
      </c>
      <c r="AG800" s="3216"/>
      <c r="AH800" s="3216"/>
      <c r="AI800" s="3216"/>
      <c r="AJ800" s="3216"/>
      <c r="AK800" s="321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18" t="s">
        <v>1877</v>
      </c>
      <c r="B801" s="3219"/>
      <c r="C801" s="3219"/>
      <c r="D801" s="3219"/>
      <c r="E801" s="3219"/>
      <c r="F801" s="3219"/>
      <c r="G801" s="3219"/>
      <c r="H801" s="3219"/>
      <c r="I801" s="3219"/>
      <c r="J801" s="3219"/>
      <c r="K801" s="3219"/>
      <c r="L801" s="3219"/>
      <c r="M801" s="3219"/>
      <c r="N801" s="3219"/>
      <c r="O801" s="3219"/>
      <c r="P801" s="3219"/>
      <c r="Q801" s="3219"/>
      <c r="R801" s="3219"/>
      <c r="S801" s="3219"/>
      <c r="T801" s="3219"/>
      <c r="U801" s="3219"/>
      <c r="V801" s="3219"/>
      <c r="W801" s="3219"/>
      <c r="X801" s="3219"/>
      <c r="Y801" s="3219"/>
      <c r="Z801" s="3219"/>
      <c r="AA801" s="3219"/>
      <c r="AB801" s="3219"/>
      <c r="AC801" s="3219"/>
      <c r="AD801" s="3219"/>
      <c r="AE801" s="3220"/>
      <c r="AF801" s="3224">
        <f ca="1">SUM(AF784:AK799)-AF800</f>
        <v>119</v>
      </c>
      <c r="AG801" s="3225"/>
      <c r="AH801" s="3225"/>
      <c r="AI801" s="3225"/>
      <c r="AJ801" s="3225"/>
      <c r="AK801" s="322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21"/>
      <c r="B802" s="3222"/>
      <c r="C802" s="3222"/>
      <c r="D802" s="3222"/>
      <c r="E802" s="3222"/>
      <c r="F802" s="3222"/>
      <c r="G802" s="3222"/>
      <c r="H802" s="3222"/>
      <c r="I802" s="3222"/>
      <c r="J802" s="3222"/>
      <c r="K802" s="3222"/>
      <c r="L802" s="3222"/>
      <c r="M802" s="3222"/>
      <c r="N802" s="3222"/>
      <c r="O802" s="3222"/>
      <c r="P802" s="3222"/>
      <c r="Q802" s="3222"/>
      <c r="R802" s="3222"/>
      <c r="S802" s="3222"/>
      <c r="T802" s="3222"/>
      <c r="U802" s="3222"/>
      <c r="V802" s="3222"/>
      <c r="W802" s="3222"/>
      <c r="X802" s="3222"/>
      <c r="Y802" s="3222"/>
      <c r="Z802" s="3222"/>
      <c r="AA802" s="3222"/>
      <c r="AB802" s="3222"/>
      <c r="AC802" s="3222"/>
      <c r="AD802" s="3222"/>
      <c r="AE802" s="3223"/>
      <c r="AF802" s="3227"/>
      <c r="AG802" s="3228"/>
      <c r="AH802" s="3228"/>
      <c r="AI802" s="3228"/>
      <c r="AJ802" s="3228"/>
      <c r="AK802" s="322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NOTES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Joanne Ho</cp:lastModifiedBy>
  <cp:lastPrinted>2021-04-23T23:58:28Z</cp:lastPrinted>
  <dcterms:created xsi:type="dcterms:W3CDTF">2007-12-27T18:26:28Z</dcterms:created>
  <dcterms:modified xsi:type="dcterms:W3CDTF">2021-09-07T20:00:11Z</dcterms:modified>
</cp:coreProperties>
</file>