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Whitney Ranch-Rocklin - 688/Working Docs/JOINT TCAC CDLAC App/Uploaded/"/>
    </mc:Choice>
  </mc:AlternateContent>
  <xr:revisionPtr revIDLastSave="0" documentId="13_ncr:1_{F425CEB6-DAA7-4B6A-90C7-17DF74C0ACCB}" xr6:coauthVersionLast="47" xr6:coauthVersionMax="47" xr10:uidLastSave="{00000000-0000-0000-0000-000000000000}"/>
  <bookViews>
    <workbookView xWindow="-120" yWindow="-120" windowWidth="29040" windowHeight="1599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38" i="3" l="1"/>
  <c r="C637" i="3"/>
  <c r="C45" i="4" l="1"/>
  <c r="C56" i="4"/>
  <c r="AC884" i="3"/>
  <c r="C40" i="4"/>
  <c r="F30" i="4"/>
  <c r="E4" i="4"/>
  <c r="K99" i="4" l="1"/>
  <c r="E91" i="4"/>
  <c r="E90" i="4"/>
  <c r="E89" i="4"/>
  <c r="E88" i="4"/>
  <c r="E87" i="4"/>
  <c r="E86" i="4"/>
  <c r="E85" i="4"/>
  <c r="E84" i="4"/>
  <c r="E83" i="4"/>
  <c r="E80" i="4"/>
  <c r="E79" i="4"/>
  <c r="E75" i="4"/>
  <c r="E61" i="4"/>
  <c r="E57" i="4"/>
  <c r="E56" i="4"/>
  <c r="E51" i="4"/>
  <c r="E50" i="4"/>
  <c r="E46" i="4"/>
  <c r="E45" i="4"/>
  <c r="E43" i="4"/>
  <c r="E40" i="4"/>
  <c r="E36" i="4"/>
  <c r="E35" i="4"/>
  <c r="E33" i="4"/>
  <c r="E32" i="4"/>
  <c r="E31" i="4"/>
  <c r="E30" i="4"/>
  <c r="J99" i="4" l="1"/>
  <c r="AJ1004" i="3"/>
  <c r="Z814" i="3"/>
  <c r="Q392" i="3" l="1"/>
  <c r="AG392" i="3"/>
  <c r="M52" i="7"/>
  <c r="K54" i="7"/>
  <c r="K53" i="7"/>
  <c r="K52" i="7"/>
  <c r="I54" i="7"/>
  <c r="I53" i="7"/>
  <c r="I52" i="7"/>
  <c r="G53" i="7"/>
  <c r="G52" i="7"/>
  <c r="A65" i="7"/>
  <c r="F51" i="13" l="1"/>
  <c r="F50" i="13"/>
  <c r="F43" i="13"/>
  <c r="F79" i="13"/>
  <c r="F87" i="13"/>
  <c r="F90" i="13"/>
  <c r="F89" i="13"/>
  <c r="F91" i="13"/>
  <c r="C91" i="13"/>
  <c r="C90" i="13"/>
  <c r="C89" i="13"/>
  <c r="C88" i="13"/>
  <c r="C87" i="13"/>
  <c r="C79" i="13"/>
  <c r="C61" i="13"/>
  <c r="C51" i="13"/>
  <c r="C50" i="13"/>
  <c r="C43" i="13"/>
  <c r="C36" i="13"/>
  <c r="C35" i="13"/>
  <c r="C33" i="13"/>
  <c r="C32" i="13"/>
  <c r="C31" i="13"/>
  <c r="C30" i="13"/>
  <c r="C29" i="13"/>
  <c r="F36" i="13"/>
  <c r="F35" i="13"/>
  <c r="F33" i="13"/>
  <c r="F32" i="13"/>
  <c r="F31" i="13"/>
  <c r="C13" i="13"/>
  <c r="C4" i="13"/>
  <c r="S91" i="4"/>
  <c r="S90" i="4"/>
  <c r="S89" i="4"/>
  <c r="S87" i="4"/>
  <c r="S79" i="4"/>
  <c r="S51" i="4"/>
  <c r="S50" i="4"/>
  <c r="S43" i="4"/>
  <c r="S31" i="4"/>
  <c r="S32" i="4"/>
  <c r="S33" i="4"/>
  <c r="S34" i="4"/>
  <c r="S35" i="4"/>
  <c r="S36" i="4"/>
  <c r="E99" i="4"/>
  <c r="F29" i="4"/>
  <c r="F13" i="4"/>
  <c r="C89" i="4"/>
  <c r="C33" i="4" l="1"/>
  <c r="C32" i="4"/>
  <c r="C30" i="4"/>
  <c r="C21" i="4"/>
  <c r="AF637" i="3"/>
  <c r="G735" i="3"/>
  <c r="G734" i="3"/>
  <c r="G733" i="3"/>
  <c r="G732" i="3"/>
  <c r="C639"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M53" i="7"/>
  <c r="O53" i="7" s="1"/>
  <c r="Q53" i="7" s="1"/>
  <c r="S53" i="7" s="1"/>
  <c r="U53" i="7" s="1"/>
  <c r="W53" i="7" s="1"/>
  <c r="Y53" i="7" s="1"/>
  <c r="AA53" i="7" s="1"/>
  <c r="AC53" i="7" s="1"/>
  <c r="AE53" i="7" s="1"/>
  <c r="AG53" i="7" s="1"/>
  <c r="G54" i="7"/>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O52" i="7"/>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C28" i="7"/>
  <c r="K28" i="7"/>
  <c r="I28" i="7"/>
  <c r="U28" i="7"/>
  <c r="AE28" i="7"/>
  <c r="O28" i="7"/>
  <c r="M28" i="7"/>
  <c r="AA28" i="7"/>
  <c r="Y28" i="7"/>
  <c r="W28" i="7"/>
  <c r="S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C81" i="13" s="1"/>
  <c r="R80" i="4"/>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6" i="13"/>
  <c r="F46" i="13" s="1"/>
  <c r="E43" i="13"/>
  <c r="E41" i="13"/>
  <c r="E37" i="13"/>
  <c r="E35" i="13"/>
  <c r="E34" i="13"/>
  <c r="E33" i="13"/>
  <c r="E32" i="13"/>
  <c r="E31"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C86" i="13" s="1"/>
  <c r="B85" i="13"/>
  <c r="C85" i="13" s="1"/>
  <c r="B84" i="13"/>
  <c r="B83" i="13"/>
  <c r="C83" i="13" s="1"/>
  <c r="B79" i="13"/>
  <c r="B76" i="13"/>
  <c r="B75" i="13"/>
  <c r="C75" i="13" s="1"/>
  <c r="C77" i="13" s="1"/>
  <c r="B74" i="13"/>
  <c r="B73" i="13"/>
  <c r="B72" i="13"/>
  <c r="B70" i="13"/>
  <c r="B65" i="13"/>
  <c r="B61" i="13"/>
  <c r="B60" i="13"/>
  <c r="B59" i="13"/>
  <c r="B58" i="13"/>
  <c r="B57" i="13"/>
  <c r="C57" i="13" s="1"/>
  <c r="C62" i="13" s="1"/>
  <c r="B56" i="13"/>
  <c r="C56" i="13" s="1"/>
  <c r="B53" i="13"/>
  <c r="B52" i="13"/>
  <c r="B51" i="13"/>
  <c r="B50" i="13"/>
  <c r="B49" i="13"/>
  <c r="B48" i="13"/>
  <c r="B47" i="13"/>
  <c r="B46" i="13"/>
  <c r="C46" i="13" s="1"/>
  <c r="B45" i="13"/>
  <c r="C45" i="13" s="1"/>
  <c r="B43" i="13"/>
  <c r="C42" i="4"/>
  <c r="B42" i="13" s="1"/>
  <c r="B41" i="13"/>
  <c r="B40" i="13"/>
  <c r="C40" i="13" s="1"/>
  <c r="C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S86" i="4" s="1"/>
  <c r="E86" i="13" s="1"/>
  <c r="F86" i="13" s="1"/>
  <c r="R85" i="4"/>
  <c r="S85" i="4" s="1"/>
  <c r="E85" i="13" s="1"/>
  <c r="F85" i="13" s="1"/>
  <c r="R83" i="4"/>
  <c r="R76" i="4"/>
  <c r="R75" i="4"/>
  <c r="R72" i="4"/>
  <c r="R73" i="4"/>
  <c r="R74" i="4"/>
  <c r="R69" i="4"/>
  <c r="S69" i="4" s="1"/>
  <c r="E69" i="13" s="1"/>
  <c r="R65" i="4"/>
  <c r="R61" i="4"/>
  <c r="R60" i="4"/>
  <c r="R59" i="4"/>
  <c r="R58" i="4"/>
  <c r="R57" i="4"/>
  <c r="R56" i="4"/>
  <c r="R53" i="4"/>
  <c r="R52" i="4"/>
  <c r="R51" i="4"/>
  <c r="R50" i="4"/>
  <c r="R49" i="4"/>
  <c r="R48" i="4"/>
  <c r="R47" i="4"/>
  <c r="R46" i="4"/>
  <c r="S46" i="4" s="1"/>
  <c r="R45" i="4"/>
  <c r="S45" i="4" s="1"/>
  <c r="E45" i="13" s="1"/>
  <c r="F45" i="13" s="1"/>
  <c r="F54" i="13" s="1"/>
  <c r="R43" i="4"/>
  <c r="R41" i="4"/>
  <c r="R40" i="4"/>
  <c r="S40" i="4" s="1"/>
  <c r="E40" i="13" s="1"/>
  <c r="F40" i="13" s="1"/>
  <c r="F42" i="13" s="1"/>
  <c r="R37" i="4"/>
  <c r="R35" i="4"/>
  <c r="R34" i="4"/>
  <c r="R33" i="4"/>
  <c r="R32" i="4"/>
  <c r="R31" i="4"/>
  <c r="R30" i="4"/>
  <c r="S30" i="4"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s="1"/>
  <c r="BI711" i="3" s="1"/>
  <c r="AC737" i="3"/>
  <c r="AM737" i="3"/>
  <c r="BI712" i="3" s="1"/>
  <c r="AC738" i="3"/>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96" i="13" l="1"/>
  <c r="AM738" i="3"/>
  <c r="BI713" i="3" s="1"/>
  <c r="N153" i="23"/>
  <c r="F96" i="13"/>
  <c r="S38" i="4"/>
  <c r="E38" i="13" s="1"/>
  <c r="E30" i="13"/>
  <c r="F30" i="13" s="1"/>
  <c r="F38" i="13" s="1"/>
  <c r="F63" i="13" s="1"/>
  <c r="C54" i="13"/>
  <c r="C63" i="13" s="1"/>
  <c r="C97" i="13" s="1"/>
  <c r="C105" i="13" s="1"/>
  <c r="S104" i="4"/>
  <c r="E104" i="13" s="1"/>
  <c r="R81" i="4"/>
  <c r="S80" i="4"/>
  <c r="S70" i="4"/>
  <c r="E70" i="1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E80" i="13"/>
  <c r="F80" i="13" s="1"/>
  <c r="F81" i="13" s="1"/>
  <c r="F97" i="13" s="1"/>
  <c r="F105" i="13" s="1"/>
  <c r="F107" i="13" s="1"/>
  <c r="S81" i="4"/>
  <c r="E81"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G4" i="7"/>
  <c r="G5" i="7" s="1"/>
  <c r="BI671" i="3"/>
  <c r="BI696" i="3" s="1"/>
  <c r="AH753" i="3" s="1"/>
  <c r="M21" i="7"/>
  <c r="M34" i="7" s="1"/>
  <c r="O14" i="7"/>
  <c r="M8" i="7"/>
  <c r="K9" i="7"/>
  <c r="G7" i="7"/>
  <c r="I6" i="7"/>
  <c r="T107" i="4"/>
  <c r="H105" i="13"/>
  <c r="AC454" i="3"/>
  <c r="B105" i="13"/>
  <c r="B105" i="4"/>
  <c r="D98" i="11" l="1"/>
  <c r="E36" i="7"/>
  <c r="E44" i="7" s="1"/>
  <c r="E55" i="7"/>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47" i="7"/>
  <c r="E46" i="7"/>
  <c r="AC455" i="3"/>
  <c r="T11" i="15"/>
  <c r="T23" i="15" s="1"/>
  <c r="Y64" i="15" s="1"/>
  <c r="AC453" i="3"/>
  <c r="AB47" i="15"/>
  <c r="AB49" i="15" s="1"/>
  <c r="G55" i="7" l="1"/>
  <c r="E57" i="7"/>
  <c r="E59" i="7" s="1"/>
  <c r="AJ1024" i="3"/>
  <c r="AJ1028"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Y68" i="15"/>
  <c r="T26" i="15"/>
  <c r="T28" i="15" s="1"/>
  <c r="T29" i="15" s="1"/>
  <c r="AB54" i="15"/>
  <c r="AB55" i="15" s="1"/>
  <c r="I55" i="7" l="1"/>
  <c r="G57" i="7"/>
  <c r="G59" i="7" s="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1" i="7"/>
  <c r="K55" i="7"/>
  <c r="I57" i="7"/>
  <c r="I59" i="7" s="1"/>
  <c r="G69" i="7"/>
  <c r="G71" i="7" s="1"/>
  <c r="AZ854" i="3"/>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M55" i="7" l="1"/>
  <c r="K57" i="7"/>
  <c r="K59" i="7" s="1"/>
  <c r="K61" i="7" s="1"/>
  <c r="K65" i="7"/>
  <c r="I61" i="7"/>
  <c r="I65" i="7"/>
  <c r="AB57" i="15"/>
  <c r="AB59" i="15" s="1"/>
  <c r="AB76" i="15" s="1"/>
  <c r="AB77" i="15" s="1"/>
  <c r="E3" i="21" s="1"/>
  <c r="E7" i="21" s="1"/>
  <c r="E18" i="21" s="1"/>
  <c r="Q5" i="7"/>
  <c r="O44" i="7"/>
  <c r="O48" i="7"/>
  <c r="W21" i="7"/>
  <c r="W34" i="7" s="1"/>
  <c r="Y14" i="7"/>
  <c r="W8" i="7"/>
  <c r="U9" i="7"/>
  <c r="M47" i="7"/>
  <c r="M46" i="7"/>
  <c r="U4" i="7"/>
  <c r="S5" i="7"/>
  <c r="Q7" i="7"/>
  <c r="S6" i="7"/>
  <c r="O55" i="7" l="1"/>
  <c r="M57" i="7"/>
  <c r="M59" i="7" s="1"/>
  <c r="I69" i="7"/>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46" i="7"/>
  <c r="O47" i="7"/>
  <c r="Q55" i="7" l="1"/>
  <c r="O57" i="7"/>
  <c r="O59" i="7" s="1"/>
  <c r="O61" i="7"/>
  <c r="O65" i="7"/>
  <c r="M69" i="7"/>
  <c r="M71" i="7" s="1"/>
  <c r="Q44" i="7"/>
  <c r="Q46" i="7" s="1"/>
  <c r="S44" i="7"/>
  <c r="S48" i="7"/>
  <c r="W6" i="7"/>
  <c r="U7" i="7"/>
  <c r="U10" i="7" s="1"/>
  <c r="U36" i="7" s="1"/>
  <c r="Y4" i="7"/>
  <c r="W5" i="7"/>
  <c r="AA21" i="7"/>
  <c r="AA34" i="7" s="1"/>
  <c r="AC14" i="7"/>
  <c r="Y9" i="7"/>
  <c r="AA8" i="7"/>
  <c r="S55" i="7" l="1"/>
  <c r="Q57" i="7"/>
  <c r="O69" i="7"/>
  <c r="O71" i="7" s="1"/>
  <c r="Q59" i="7"/>
  <c r="Q47" i="7"/>
  <c r="U44" i="7"/>
  <c r="U48" i="7"/>
  <c r="AE14" i="7"/>
  <c r="AC21" i="7"/>
  <c r="AC34" i="7" s="1"/>
  <c r="W7" i="7"/>
  <c r="W10" i="7" s="1"/>
  <c r="W36" i="7" s="1"/>
  <c r="Y6" i="7"/>
  <c r="AA4" i="7"/>
  <c r="Y5" i="7"/>
  <c r="AA9" i="7"/>
  <c r="AC8" i="7"/>
  <c r="S47" i="7"/>
  <c r="S46" i="7"/>
  <c r="U55" i="7" l="1"/>
  <c r="S57" i="7"/>
  <c r="S59" i="7" s="1"/>
  <c r="S61" i="7"/>
  <c r="S65" i="7"/>
  <c r="Q61" i="7"/>
  <c r="Q65" i="7"/>
  <c r="AA6" i="7"/>
  <c r="Y7" i="7"/>
  <c r="Y10" i="7" s="1"/>
  <c r="Y36" i="7" s="1"/>
  <c r="AE8" i="7"/>
  <c r="AC9" i="7"/>
  <c r="AC4" i="7"/>
  <c r="AA5" i="7"/>
  <c r="W48" i="7"/>
  <c r="W44" i="7"/>
  <c r="AG14" i="7"/>
  <c r="AG21" i="7" s="1"/>
  <c r="AG34" i="7" s="1"/>
  <c r="AE21" i="7"/>
  <c r="AE34" i="7" s="1"/>
  <c r="U47" i="7"/>
  <c r="U46" i="7"/>
  <c r="W55" i="7" l="1"/>
  <c r="U57" i="7"/>
  <c r="U59" i="7" s="1"/>
  <c r="S69" i="7"/>
  <c r="S71" i="7" s="1"/>
  <c r="Q69" i="7"/>
  <c r="Q71" i="7" s="1"/>
  <c r="U61" i="7"/>
  <c r="U65" i="7"/>
  <c r="W46" i="7"/>
  <c r="W47" i="7"/>
  <c r="Y44" i="7"/>
  <c r="Y48" i="7"/>
  <c r="AE4" i="7"/>
  <c r="AC5" i="7"/>
  <c r="AE9" i="7"/>
  <c r="AG8" i="7"/>
  <c r="AG9" i="7" s="1"/>
  <c r="AA7" i="7"/>
  <c r="AA10" i="7" s="1"/>
  <c r="AA36" i="7" s="1"/>
  <c r="AC6" i="7"/>
  <c r="Y55" i="7" l="1"/>
  <c r="W57" i="7"/>
  <c r="W59" i="7" s="1"/>
  <c r="U69" i="7"/>
  <c r="U71" i="7" s="1"/>
  <c r="W61" i="7"/>
  <c r="W65" i="7"/>
  <c r="AA48" i="7"/>
  <c r="AA44" i="7"/>
  <c r="AE5" i="7"/>
  <c r="AG4" i="7"/>
  <c r="Y47" i="7"/>
  <c r="Y46" i="7"/>
  <c r="AC7" i="7"/>
  <c r="AC10" i="7" s="1"/>
  <c r="AC36" i="7" s="1"/>
  <c r="AE6" i="7"/>
  <c r="AA55" i="7" l="1"/>
  <c r="Y57" i="7"/>
  <c r="Y59" i="7" s="1"/>
  <c r="Y65" i="7" s="1"/>
  <c r="Y61" i="7"/>
  <c r="W69" i="7"/>
  <c r="W71" i="7" s="1"/>
  <c r="AE7" i="7"/>
  <c r="AE10" i="7" s="1"/>
  <c r="AE36" i="7" s="1"/>
  <c r="AG6" i="7"/>
  <c r="AG7" i="7" s="1"/>
  <c r="AC44" i="7"/>
  <c r="AC48" i="7"/>
  <c r="AG5" i="7"/>
  <c r="AA46" i="7"/>
  <c r="AA47" i="7"/>
  <c r="AC55" i="7" l="1"/>
  <c r="AA57" i="7"/>
  <c r="AA59" i="7" s="1"/>
  <c r="Y69" i="7"/>
  <c r="Y71" i="7" s="1"/>
  <c r="AA65" i="7"/>
  <c r="AA61" i="7"/>
  <c r="AG10" i="7"/>
  <c r="AG36" i="7" s="1"/>
  <c r="AG48" i="7" s="1"/>
  <c r="AE48" i="7"/>
  <c r="AE44" i="7"/>
  <c r="AC46" i="7"/>
  <c r="AC47" i="7"/>
  <c r="AE55" i="7" l="1"/>
  <c r="AC57" i="7"/>
  <c r="AC59" i="7" s="1"/>
  <c r="AA69" i="7"/>
  <c r="AA71" i="7" s="1"/>
  <c r="AC65" i="7"/>
  <c r="AC61" i="7"/>
  <c r="AG44" i="7"/>
  <c r="AG46" i="7" s="1"/>
  <c r="AE46" i="7"/>
  <c r="AE47" i="7"/>
  <c r="AG55" i="7" l="1"/>
  <c r="AG57" i="7" s="1"/>
  <c r="AE57" i="7"/>
  <c r="AE59" i="7" s="1"/>
  <c r="AC69" i="7"/>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<sst xmlns="http://schemas.openxmlformats.org/spreadsheetml/2006/main" count="5050" uniqueCount="2649">
  <si>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</si>
  <si>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</si>
  <si>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</si>
  <si>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</si>
  <si>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</si>
  <si>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</si>
  <si>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</si>
  <si>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</si>
  <si>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</si>
  <si>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</si>
  <si>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</si>
  <si>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</si>
  <si>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</si>
  <si>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</si>
  <si>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</si>
  <si>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</si>
  <si>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</si>
  <si>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</si>
  <si>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</si>
  <si>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</si>
  <si>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</si>
  <si>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</si>
  <si>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</si>
  <si>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</si>
  <si>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</si>
  <si>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</si>
  <si>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</si>
  <si>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</si>
  <si>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</si>
  <si>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</si>
  <si>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</si>
  <si>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</si>
  <si>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</si>
  <si>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</si>
  <si>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</si>
  <si>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</si>
  <si>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</si>
  <si>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</si>
  <si>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</si>
  <si>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</si>
  <si>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</si>
  <si>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</si>
  <si>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</si>
  <si>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</si>
  <si>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</si>
  <si>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</si>
  <si>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</si>
  <si>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</si>
  <si>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</si>
  <si>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</si>
  <si>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</si>
  <si>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</si>
  <si>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</si>
  <si>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</si>
  <si>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</si>
  <si>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</si>
  <si>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</si>
  <si>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</si>
  <si>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</si>
  <si>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</si>
  <si>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</si>
  <si>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</si>
  <si>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</si>
  <si>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</si>
  <si>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</si>
  <si>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</si>
  <si>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</si>
  <si>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</si>
  <si>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</si>
  <si>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</si>
  <si>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</si>
  <si>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</si>
  <si>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</si>
  <si>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</si>
  <si>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</si>
  <si>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</si>
  <si>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</si>
  <si>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</si>
  <si>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</si>
  <si>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</si>
  <si>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</si>
  <si>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</si>
  <si>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</si>
  <si>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</si>
  <si>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</si>
  <si>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</si>
  <si>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</si>
  <si>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</si>
  <si>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</si>
  <si>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</si>
  <si>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</si>
  <si>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</si>
  <si>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</si>
  <si>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</si>
  <si>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</si>
  <si>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</si>
  <si>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</si>
  <si>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</si>
  <si>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</si>
  <si>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</si>
  <si>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</si>
  <si>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</si>
  <si>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</si>
  <si>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</si>
  <si>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</si>
  <si>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</si>
  <si>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</si>
  <si>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</si>
  <si>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</si>
  <si>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</si>
  <si>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</si>
  <si>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</si>
  <si>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</si>
  <si>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</si>
  <si>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</si>
  <si>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</si>
  <si>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</si>
  <si>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</si>
  <si>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</si>
  <si>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</si>
  <si>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</si>
  <si>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</si>
  <si>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</si>
  <si>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</si>
  <si>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</si>
  <si>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</si>
  <si>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</si>
  <si>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</si>
  <si>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</si>
  <si>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</si>
  <si>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</si>
  <si>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</si>
  <si>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</si>
  <si>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</si>
  <si>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</si>
  <si>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</si>
  <si>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</si>
  <si>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</si>
  <si>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</si>
  <si>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</si>
  <si>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</si>
  <si>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</si>
  <si>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</si>
  <si>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</si>
  <si>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</si>
  <si>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</si>
  <si>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</si>
  <si>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</si>
  <si>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</si>
  <si>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</si>
  <si>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</si>
  <si>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</si>
  <si>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</si>
  <si>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</si>
  <si>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</si>
  <si>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</si>
  <si>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</si>
  <si>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</si>
  <si>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</si>
  <si>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</si>
  <si>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</si>
  <si>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</si>
  <si>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</si>
  <si>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</si>
  <si>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</si>
  <si>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</si>
  <si>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</si>
  <si>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</si>
  <si>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</si>
  <si>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</si>
  <si>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</si>
  <si>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</si>
  <si>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</si>
  <si>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</si>
  <si>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</si>
  <si>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</si>
  <si>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</si>
  <si>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</si>
  <si>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</si>
  <si>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</si>
  <si>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</si>
  <si>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</si>
  <si>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</si>
  <si>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</si>
  <si>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</si>
  <si>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</si>
  <si>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</si>
  <si>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</si>
  <si>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</si>
  <si>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</si>
  <si>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</si>
  <si>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</si>
  <si>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</si>
  <si>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</si>
  <si>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</si>
  <si>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</si>
  <si>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</si>
  <si>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</si>
  <si>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</si>
  <si>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</si>
  <si>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</si>
  <si>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</si>
  <si>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</si>
  <si>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</si>
  <si>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</si>
  <si>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</si>
  <si>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</si>
  <si>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</si>
  <si>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</si>
  <si>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</si>
  <si>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</si>
  <si>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</si>
  <si>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</si>
  <si>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</si>
  <si>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</si>
  <si>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</si>
  <si>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</si>
  <si>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</si>
  <si>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</si>
  <si>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</si>
  <si>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</si>
  <si>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</si>
  <si>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</si>
  <si>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</si>
  <si>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</si>
  <si>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</si>
  <si>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</si>
  <si>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</si>
  <si>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</si>
  <si>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</si>
  <si>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</si>
  <si>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</si>
  <si>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</si>
  <si>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</si>
  <si>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</si>
  <si>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</si>
  <si>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</si>
  <si>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</si>
  <si>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</si>
  <si>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</si>
  <si>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</si>
  <si>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</si>
  <si>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</si>
  <si>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</si>
  <si>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</si>
  <si>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</si>
  <si>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</si>
  <si>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</si>
  <si>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</si>
  <si>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</si>
  <si>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</si>
  <si>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</si>
  <si>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</si>
  <si>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</si>
  <si>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</si>
  <si>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</si>
  <si>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</si>
  <si>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</si>
  <si>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</si>
  <si>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</si>
  <si>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</si>
  <si>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</si>
  <si>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</si>
  <si>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</si>
  <si>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</si>
  <si>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</si>
  <si>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</si>
  <si>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</si>
  <si>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</si>
  <si>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</si>
  <si>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</si>
  <si>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</si>
  <si>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</si>
  <si>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</si>
  <si>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</si>
  <si>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</si>
  <si>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</si>
  <si>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</si>
  <si>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</si>
  <si>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</si>
  <si>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</si>
  <si>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</si>
  <si>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</si>
  <si>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</si>
  <si>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</si>
  <si>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</si>
  <si>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</si>
  <si>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</si>
  <si>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</si>
  <si>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</si>
  <si>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</si>
  <si>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</si>
  <si>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</si>
  <si>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</si>
  <si>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</si>
  <si>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</si>
  <si>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</si>
  <si>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</si>
  <si>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</si>
  <si>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</si>
  <si>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</si>
  <si>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</si>
  <si>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</si>
  <si>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</si>
  <si>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</si>
  <si>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</si>
  <si>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</si>
  <si>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</si>
  <si>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</si>
  <si>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</si>
  <si>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</si>
  <si>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</si>
  <si>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</si>
  <si>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</si>
  <si>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</si>
  <si>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</si>
  <si>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</si>
  <si>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</si>
  <si>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</si>
  <si>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</si>
  <si>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</si>
  <si>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</si>
  <si>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</si>
  <si>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</si>
  <si>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</si>
  <si>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</si>
  <si>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</si>
  <si>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</si>
  <si>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</si>
  <si>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</si>
  <si>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</si>
  <si>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</si>
  <si>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</si>
  <si>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</si>
  <si>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</si>
  <si>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</si>
  <si>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</si>
  <si>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</si>
  <si>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</si>
  <si>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</si>
  <si>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</si>
  <si>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</si>
  <si>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</si>
  <si>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</si>
  <si>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</si>
  <si>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</si>
  <si>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</si>
  <si>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</si>
  <si>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</si>
  <si>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</si>
  <si>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</si>
  <si>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</si>
  <si>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</si>
  <si>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</si>
  <si>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</si>
  <si>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</si>
  <si>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</si>
  <si>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</si>
  <si>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</si>
  <si>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</si>
  <si>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</si>
  <si>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</si>
  <si>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</si>
  <si>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</si>
  <si>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</si>
  <si>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</si>
  <si>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</si>
  <si>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</si>
  <si>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</si>
  <si>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</si>
  <si>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</si>
  <si>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</si>
  <si>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</si>
  <si>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</si>
  <si>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</si>
  <si>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</si>
  <si>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</si>
  <si>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</si>
  <si>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</si>
  <si>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</si>
  <si>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</si>
  <si>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</si>
  <si>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</si>
  <si>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</si>
  <si>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</si>
  <si>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</si>
  <si>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</si>
  <si>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</si>
  <si>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</si>
  <si>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</si>
  <si>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</si>
  <si>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</si>
  <si>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</si>
  <si>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</si>
  <si>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</si>
  <si>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</si>
  <si>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</si>
  <si>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</si>
  <si>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</si>
  <si>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</si>
  <si>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</si>
  <si>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</si>
  <si>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</si>
  <si>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</si>
  <si>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</si>
  <si>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</si>
  <si>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</si>
  <si>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</si>
  <si>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</si>
  <si>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</si>
  <si>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</si>
  <si>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</si>
  <si>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</si>
  <si>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</si>
  <si>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</si>
  <si>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</si>
  <si>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</si>
  <si>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</si>
  <si>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</si>
  <si>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</si>
  <si>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</si>
  <si>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</si>
  <si>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</si>
  <si>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</si>
  <si>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</si>
  <si>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</si>
  <si>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</si>
  <si>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</si>
  <si>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</si>
  <si>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</si>
  <si>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</si>
  <si>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</si>
  <si>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</si>
  <si>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</si>
  <si>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</si>
  <si>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</si>
  <si>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</si>
  <si>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</si>
  <si>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</si>
  <si>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</si>
  <si>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</si>
  <si>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</si>
  <si>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</si>
  <si>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</si>
  <si>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</si>
  <si>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</si>
  <si>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</si>
  <si>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</si>
  <si>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</si>
  <si>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</si>
  <si>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</si>
  <si>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</si>
  <si>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</si>
  <si>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</si>
  <si>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</si>
  <si>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</si>
  <si>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</si>
  <si>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</si>
  <si>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</si>
  <si>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</si>
  <si>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</si>
  <si>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</si>
  <si>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</si>
  <si>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</si>
  <si>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</si>
  <si>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</si>
  <si>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</si>
  <si>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</si>
  <si>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</si>
  <si>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</si>
  <si>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</si>
  <si>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</si>
  <si>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</si>
  <si>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</si>
  <si>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</si>
  <si>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</si>
  <si>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</si>
  <si>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</si>
  <si>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</si>
  <si>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</si>
  <si>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</si>
  <si>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</si>
  <si>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</si>
  <si>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</si>
  <si>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</si>
  <si>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</si>
  <si>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</si>
  <si>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</si>
  <si>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</si>
  <si>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</si>
  <si>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</si>
  <si>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</si>
  <si>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</si>
  <si>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</si>
  <si>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</si>
  <si>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</si>
  <si>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</si>
  <si>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</si>
  <si>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</si>
  <si>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</si>
  <si>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</si>
  <si>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</si>
  <si>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</si>
  <si>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</si>
  <si>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</si>
  <si>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</si>
  <si>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</si>
  <si>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</si>
  <si>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</si>
  <si>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</si>
  <si>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</si>
  <si>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</si>
  <si>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</si>
  <si>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</si>
  <si>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</si>
  <si>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</si>
  <si>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</si>
  <si>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</si>
  <si>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</si>
  <si>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</si>
  <si>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</si>
  <si>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</si>
  <si>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</si>
  <si>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</si>
  <si>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</si>
  <si>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</si>
  <si>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</si>
  <si>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</si>
  <si>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</si>
  <si>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</si>
  <si>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</si>
  <si>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</si>
  <si>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</si>
  <si>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</si>
  <si>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</si>
  <si>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</si>
  <si>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</si>
  <si>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</si>
  <si>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</si>
  <si>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</si>
  <si>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</si>
  <si>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</si>
  <si>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</si>
  <si>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</si>
  <si>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</si>
  <si>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</si>
  <si>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</si>
  <si>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</si>
  <si>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</si>
  <si>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</si>
  <si>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</si>
  <si>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</si>
  <si>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</si>
  <si>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</si>
  <si>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</si>
  <si>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</si>
  <si>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</si>
  <si>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</si>
  <si>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</si>
  <si>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</si>
  <si>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</si>
  <si>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</si>
  <si>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</si>
  <si>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</si>
  <si>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</si>
  <si>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</si>
  <si>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</si>
  <si>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</si>
  <si>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</si>
  <si>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</si>
  <si>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</si>
  <si>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</si>
  <si>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</si>
  <si>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</si>
  <si>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</si>
  <si>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</si>
  <si>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</si>
  <si>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</si>
  <si>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</si>
  <si>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</si>
  <si>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</si>
  <si>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</si>
  <si>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</si>
  <si>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</si>
  <si>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</si>
  <si>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</si>
  <si>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</si>
  <si>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</si>
  <si>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</si>
  <si>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</si>
  <si>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</si>
  <si>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</si>
  <si>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</si>
  <si>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</si>
  <si>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</si>
  <si>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</si>
  <si>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</si>
  <si>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</si>
  <si>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</si>
  <si>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</si>
  <si>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</si>
  <si>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</si>
  <si>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</si>
  <si>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</si>
  <si>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</si>
  <si>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</si>
  <si>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</si>
  <si>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</si>
  <si>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</si>
  <si>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</si>
  <si>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</si>
  <si>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</si>
  <si>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</si>
  <si>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</si>
  <si>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</si>
  <si>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</si>
  <si>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</si>
  <si>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</si>
  <si>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</si>
  <si>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</si>
  <si>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</si>
  <si>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</si>
  <si>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</si>
  <si>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</si>
  <si>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</si>
  <si>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</si>
  <si>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</si>
  <si>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</si>
  <si>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</si>
  <si>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</si>
  <si>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</si>
  <si>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</si>
  <si>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</si>
  <si>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</si>
  <si>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</si>
  <si>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</si>
  <si>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</si>
  <si>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</si>
  <si>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</si>
  <si>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</si>
  <si>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</si>
  <si>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</si>
  <si>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</si>
  <si>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</si>
  <si>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</si>
  <si>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</si>
  <si>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</si>
  <si>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</si>
  <si>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</si>
  <si>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</si>
  <si>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</si>
  <si>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</si>
  <si>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</si>
  <si>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</si>
  <si>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</si>
  <si>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</si>
  <si>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</si>
  <si>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</si>
  <si>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</si>
  <si>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</si>
  <si>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</si>
  <si>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</si>
  <si>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</si>
  <si>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</si>
  <si>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</si>
  <si>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</si>
  <si>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</si>
  <si>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</si>
  <si>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</si>
  <si>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</si>
  <si>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</si>
  <si>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</si>
  <si>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</si>
  <si>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</si>
  <si>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</si>
  <si>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</si>
  <si>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</si>
  <si>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</si>
  <si>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</si>
  <si>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</si>
  <si>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</si>
  <si>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</si>
  <si>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</si>
  <si>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</si>
  <si>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</si>
  <si>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</si>
  <si>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</si>
  <si>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</si>
  <si>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</si>
  <si>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</si>
  <si>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</si>
  <si>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</si>
  <si>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</si>
  <si>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</si>
  <si>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</si>
  <si>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</si>
  <si>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</si>
  <si>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</si>
  <si>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</si>
  <si>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</si>
  <si>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</si>
  <si>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</si>
  <si>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</si>
  <si>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</si>
  <si>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</si>
  <si>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</si>
  <si>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</si>
  <si>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</si>
  <si>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</si>
  <si>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</si>
  <si>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</si>
  <si>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</si>
  <si>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</si>
  <si>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</si>
  <si>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</si>
  <si>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</si>
  <si>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</si>
  <si>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</si>
  <si>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</si>
  <si>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</si>
  <si>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</si>
  <si>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</si>
  <si>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</si>
  <si>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</si>
  <si>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</si>
  <si>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</si>
  <si>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</si>
  <si>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</si>
  <si>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</si>
  <si>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</si>
  <si>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</si>
  <si>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</si>
  <si>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</si>
  <si>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</si>
  <si>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</si>
  <si>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</si>
  <si>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</si>
  <si>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</si>
  <si>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</si>
  <si>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</si>
  <si>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</si>
  <si>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</si>
  <si>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</si>
  <si>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</si>
  <si>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</si>
  <si>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</si>
  <si>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</si>
  <si>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</si>
  <si>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</si>
  <si>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</si>
  <si>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</si>
  <si>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</si>
  <si>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</si>
  <si>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</si>
  <si>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</si>
  <si>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</si>
  <si>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</si>
  <si>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</si>
  <si>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</si>
  <si>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</si>
  <si>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</si>
  <si>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</si>
  <si>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</si>
  <si>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</si>
  <si>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</si>
  <si>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</si>
  <si>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</si>
  <si>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</si>
  <si>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</si>
  <si>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</si>
  <si>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</si>
  <si>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</si>
  <si>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</si>
  <si>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</si>
  <si>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</si>
  <si>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</si>
  <si>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</si>
  <si>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</si>
  <si>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</si>
  <si>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</si>
  <si>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</si>
  <si>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</si>
  <si>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</si>
  <si>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</si>
  <si>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</si>
  <si>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</si>
  <si>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</si>
  <si>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</si>
  <si>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</si>
  <si>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</si>
  <si>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</si>
  <si>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</si>
  <si>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</si>
  <si>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</si>
  <si>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</si>
  <si>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</si>
  <si>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</si>
  <si>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</si>
  <si>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</si>
  <si>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</si>
  <si>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</si>
  <si>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</si>
  <si>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</si>
  <si>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</si>
  <si>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</si>
  <si>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</si>
  <si>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</si>
  <si>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</si>
  <si>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</si>
  <si>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</si>
  <si>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</si>
  <si>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</si>
  <si>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</si>
  <si>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</si>
  <si>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</si>
  <si>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</si>
  <si>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</si>
  <si>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</si>
  <si>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</si>
  <si>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</si>
  <si>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</si>
  <si>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</si>
  <si>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</si>
  <si>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</si>
  <si>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</si>
  <si>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</si>
  <si>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</si>
  <si>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</si>
  <si>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</si>
  <si>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</si>
  <si>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</si>
  <si>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</si>
  <si>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</si>
  <si>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</si>
  <si>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</si>
  <si>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</si>
  <si>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</si>
  <si>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</si>
  <si>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</si>
  <si>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</si>
  <si>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</si>
  <si>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</si>
  <si>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</si>
  <si>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</si>
  <si>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</si>
  <si>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</si>
  <si>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</si>
  <si>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</si>
  <si>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</si>
  <si>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</si>
  <si>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</si>
  <si>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</si>
  <si>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</si>
  <si>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</si>
  <si>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</si>
  <si>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</si>
  <si>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</si>
  <si>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</si>
  <si>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</si>
  <si>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</si>
  <si>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</si>
  <si>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</si>
  <si>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</si>
  <si>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</si>
  <si>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</si>
  <si>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</si>
  <si>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</si>
  <si>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</si>
  <si>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</si>
  <si>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</si>
  <si>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</si>
  <si>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</si>
  <si>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</si>
  <si>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</si>
  <si>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</si>
  <si>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</si>
  <si>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</si>
  <si>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</si>
  <si>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</si>
  <si>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</si>
  <si>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</si>
  <si>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</si>
  <si>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</si>
  <si>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</si>
  <si>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</si>
  <si>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</si>
  <si>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</si>
  <si>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</si>
  <si>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</si>
  <si>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</si>
  <si>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</si>
  <si>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</si>
  <si>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</si>
  <si>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</si>
  <si>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</si>
  <si>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</si>
  <si>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</si>
  <si>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</si>
  <si>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</si>
  <si>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</si>
  <si>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</si>
  <si>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</si>
  <si>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</si>
  <si>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</si>
  <si>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</si>
  <si>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</si>
  <si>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</si>
  <si>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</si>
  <si>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</si>
  <si>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</si>
  <si>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</si>
  <si>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</si>
  <si>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</si>
  <si>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</si>
  <si>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</si>
  <si>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</si>
  <si>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</si>
  <si>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</si>
  <si>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</si>
  <si>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</si>
  <si>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</si>
  <si>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</si>
  <si>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</si>
  <si>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</si>
  <si>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</si>
  <si>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</si>
  <si>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</si>
  <si>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</si>
  <si>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</si>
  <si>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</si>
  <si>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</si>
  <si>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</si>
  <si>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</si>
  <si>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</si>
  <si>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</si>
  <si>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</si>
  <si>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</si>
  <si>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</si>
  <si>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</si>
  <si>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</si>
  <si>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</si>
  <si>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</si>
  <si>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</si>
  <si>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</si>
  <si>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</si>
  <si>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</si>
  <si>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</si>
  <si>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</si>
  <si>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</si>
  <si>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</si>
  <si>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</si>
  <si>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</si>
  <si>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</si>
  <si>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</si>
  <si>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</si>
  <si>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</si>
  <si>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</si>
  <si>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</si>
  <si>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</si>
  <si>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</si>
  <si>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</si>
  <si>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</si>
  <si>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</si>
  <si>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</si>
  <si>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</si>
  <si>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</si>
  <si>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</si>
  <si>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</si>
  <si>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</si>
  <si>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</si>
  <si>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</si>
  <si>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</si>
  <si>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</si>
  <si>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</si>
  <si>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</si>
  <si>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</si>
  <si>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</si>
  <si>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</si>
  <si>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</si>
  <si>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</si>
  <si>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</si>
  <si>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</si>
  <si>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</si>
  <si>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</si>
  <si>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</si>
  <si>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</si>
  <si>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</si>
  <si>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</si>
  <si>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</si>
  <si>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</si>
  <si>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</si>
  <si>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</si>
  <si>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</si>
  <si>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</si>
  <si>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</si>
  <si>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</si>
  <si>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</si>
  <si>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</si>
  <si>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</si>
  <si>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</si>
  <si>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</si>
  <si>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</si>
  <si>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</si>
  <si>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</si>
  <si>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</si>
  <si>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</si>
  <si>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</si>
  <si>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</si>
  <si>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</si>
  <si>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</si>
  <si>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</si>
  <si>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</si>
  <si>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</si>
  <si>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</si>
  <si>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</si>
  <si>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</si>
  <si>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</si>
  <si>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</si>
  <si>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</si>
  <si>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</si>
  <si>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</si>
  <si>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</si>
  <si>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</si>
  <si>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</si>
  <si>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</si>
  <si>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</si>
  <si>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</si>
  <si>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</si>
  <si>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</si>
  <si>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</si>
  <si>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</si>
  <si>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</si>
  <si>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</si>
  <si>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</si>
  <si>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</si>
  <si>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</si>
  <si>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</si>
  <si>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</si>
  <si>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</si>
  <si>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</si>
  <si>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</si>
  <si>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</si>
  <si>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</si>
  <si>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</si>
  <si>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</si>
  <si>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</si>
  <si>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</si>
  <si>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</si>
  <si>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</si>
  <si>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</si>
  <si>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</si>
  <si>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</si>
  <si>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</si>
  <si>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</si>
  <si>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</si>
  <si>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</si>
  <si>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</si>
  <si>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</si>
  <si>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</si>
  <si>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</si>
  <si>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</si>
  <si>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</si>
  <si>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</si>
  <si>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</si>
  <si>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</si>
  <si>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</si>
  <si>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</si>
  <si>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</si>
  <si>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</si>
  <si>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</si>
  <si>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</si>
  <si>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</si>
  <si>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</si>
  <si>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</si>
  <si>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</si>
  <si>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</si>
  <si>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</si>
  <si>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</si>
  <si>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</si>
  <si>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</si>
  <si>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</si>
  <si>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</si>
  <si>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</si>
  <si>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</si>
  <si>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</si>
  <si>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</si>
  <si>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</si>
  <si>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</si>
  <si>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</si>
  <si>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</si>
  <si>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</si>
  <si>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</si>
  <si>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</si>
  <si>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</si>
  <si>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</si>
  <si>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</si>
  <si>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</si>
  <si>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</si>
  <si>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</si>
  <si>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</si>
  <si>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</si>
  <si>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</si>
  <si>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</si>
  <si>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</si>
  <si>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</si>
  <si>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</si>
  <si>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</si>
  <si>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</si>
  <si>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</si>
  <si>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</si>
  <si>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</si>
  <si>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</si>
  <si>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</si>
  <si>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</si>
  <si>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</si>
  <si>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</si>
  <si>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</si>
  <si>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</si>
  <si>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</si>
  <si>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</si>
  <si>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</si>
  <si>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</si>
  <si>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</si>
  <si>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</si>
  <si>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</si>
  <si>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</si>
  <si>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</si>
  <si>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</si>
  <si>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</si>
  <si>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</si>
  <si>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</si>
  <si>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</si>
  <si>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</si>
  <si>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</si>
  <si>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</si>
  <si>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</si>
  <si>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</si>
  <si>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</si>
  <si>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</si>
  <si>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</si>
  <si>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</si>
  <si>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</si>
  <si>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</si>
  <si>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</si>
  <si>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</si>
  <si>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</si>
  <si>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</si>
  <si>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</si>
  <si>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</si>
  <si>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</si>
  <si>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</si>
  <si>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</si>
  <si>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</si>
  <si>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</si>
  <si>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</si>
  <si>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</si>
  <si>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</si>
  <si>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</si>
  <si>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</si>
  <si>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</si>
  <si>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</si>
  <si>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</si>
  <si>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</si>
  <si>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</si>
  <si>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</si>
  <si>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</si>
  <si>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</si>
  <si>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</si>
  <si>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</si>
  <si>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</si>
  <si>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</si>
  <si>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</si>
  <si>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</si>
  <si>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</si>
  <si>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</si>
  <si>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</si>
  <si>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</si>
  <si>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</si>
  <si>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</si>
  <si>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</si>
  <si>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</si>
  <si>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</si>
  <si>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</si>
  <si>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</si>
  <si>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</si>
  <si>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</si>
  <si>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</si>
  <si>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</si>
  <si>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</si>
  <si>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</si>
  <si>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</si>
  <si>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</si>
  <si>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</si>
  <si>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</si>
  <si>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</si>
  <si>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</si>
  <si>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</si>
  <si>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</si>
  <si>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</si>
  <si>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</si>
  <si>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</si>
  <si>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</si>
  <si>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</si>
  <si>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</si>
  <si>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</si>
  <si>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</si>
  <si>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</si>
  <si>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</si>
  <si>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</si>
  <si>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</si>
  <si>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</si>
  <si>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</si>
  <si>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</si>
  <si>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</si>
  <si>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</si>
  <si>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</si>
  <si>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</si>
  <si>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</si>
  <si>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</si>
  <si>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</si>
  <si>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</si>
  <si>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</si>
  <si>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</si>
  <si>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</si>
  <si>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</si>
  <si>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</si>
  <si>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</si>
  <si>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</si>
  <si>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</si>
  <si>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</si>
  <si>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</si>
  <si>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</si>
  <si>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</si>
  <si>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</si>
  <si>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</si>
  <si>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</si>
  <si>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</si>
  <si>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</si>
  <si>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</si>
  <si>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</si>
  <si>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</si>
  <si>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</si>
  <si>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</si>
  <si>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</si>
  <si>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</si>
  <si>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</si>
  <si>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</si>
  <si>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</si>
  <si>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</si>
  <si>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</si>
  <si>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</si>
  <si>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</si>
  <si>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</si>
  <si>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</si>
  <si>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</si>
  <si>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</si>
  <si>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</si>
  <si>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</si>
  <si>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</si>
  <si>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</si>
  <si>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</si>
  <si>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</si>
  <si>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</si>
  <si>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</si>
  <si>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</si>
  <si>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</si>
  <si>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</si>
  <si>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</si>
  <si>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</si>
  <si>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</si>
  <si>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</si>
  <si>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</si>
  <si>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</si>
  <si>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</si>
  <si>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</si>
  <si>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</si>
  <si>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</si>
  <si>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</si>
  <si>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</si>
  <si>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</si>
  <si>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</si>
  <si>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</si>
  <si>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</si>
  <si>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</si>
  <si>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</si>
  <si>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</si>
  <si>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</si>
  <si>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</si>
  <si>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</si>
  <si>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</si>
  <si>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</si>
  <si>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</si>
  <si>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</si>
  <si>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</si>
  <si>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</si>
  <si>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</si>
  <si>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</si>
  <si>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</si>
  <si>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</si>
  <si>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</si>
  <si>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</si>
  <si>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</si>
  <si>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</si>
  <si>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</si>
  <si>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</si>
  <si>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</si>
  <si>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</si>
  <si>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</si>
  <si>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</si>
  <si>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</si>
  <si>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</si>
  <si>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</si>
  <si>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</si>
  <si>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</si>
  <si>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</si>
  <si>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</si>
  <si>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</si>
  <si>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</si>
  <si>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</si>
  <si>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</si>
  <si>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</si>
  <si>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</si>
  <si>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</si>
  <si>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</si>
  <si>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</si>
  <si>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</si>
  <si>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</si>
  <si>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</si>
  <si>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</si>
  <si>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</si>
  <si>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</si>
  <si>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</si>
  <si>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</si>
  <si>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</si>
  <si>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</si>
  <si>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</si>
  <si>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</si>
  <si>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</si>
  <si>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</si>
  <si>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</si>
  <si>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</si>
  <si>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</si>
  <si>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</si>
  <si>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</si>
  <si>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</si>
  <si>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</si>
  <si>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</si>
  <si>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</si>
  <si>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</si>
  <si>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</si>
  <si>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</si>
  <si>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</si>
  <si>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</si>
  <si>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</si>
  <si>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</si>
  <si>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</si>
  <si>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</si>
  <si>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</si>
  <si>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</si>
  <si>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</si>
  <si>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</si>
  <si>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</si>
  <si>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</si>
  <si>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</si>
  <si>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</si>
  <si>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</si>
  <si>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</si>
  <si>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</si>
  <si>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</si>
  <si>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</si>
  <si>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</si>
  <si>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</si>
  <si>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</si>
  <si>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</si>
  <si>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</si>
  <si>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</si>
  <si>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</si>
  <si>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</si>
  <si>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</si>
  <si>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</si>
  <si>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</si>
  <si>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</si>
  <si>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</si>
  <si>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</si>
  <si>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</si>
  <si>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</si>
  <si>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</si>
  <si>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</si>
  <si>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</si>
  <si>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</si>
  <si>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</si>
  <si>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</si>
  <si>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</si>
  <si>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</si>
  <si>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</si>
  <si>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</si>
  <si>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</si>
  <si>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</si>
  <si>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</si>
  <si>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</si>
  <si>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</si>
  <si>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</si>
  <si>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</si>
  <si>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</si>
  <si>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</si>
  <si>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</si>
  <si>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</si>
  <si>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</si>
  <si>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</si>
  <si>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</si>
  <si>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</si>
  <si>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</si>
  <si>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</si>
  <si>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</si>
  <si>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</si>
  <si>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</si>
  <si>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</si>
  <si>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</si>
  <si>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</si>
  <si>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</si>
  <si>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</si>
  <si>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</si>
  <si>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</si>
  <si>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</si>
  <si>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</si>
  <si>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</si>
  <si>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</si>
  <si>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</si>
  <si>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</si>
  <si>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</si>
  <si>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</si>
  <si>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</si>
  <si>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</si>
  <si>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</si>
  <si>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</si>
  <si>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</si>
  <si>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</si>
  <si>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</si>
  <si>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</si>
  <si>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</si>
  <si>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</si>
  <si>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</si>
  <si>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</si>
  <si>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</si>
  <si>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</si>
  <si>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</si>
  <si>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</si>
  <si>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</si>
  <si>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</si>
  <si>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</si>
  <si>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</si>
  <si>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</si>
  <si>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</si>
  <si>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</si>
  <si>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</si>
  <si>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</si>
  <si>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</si>
  <si>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</si>
  <si>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</si>
  <si>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</si>
  <si>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</si>
  <si>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</si>
  <si>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</si>
  <si>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</si>
  <si>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</si>
  <si>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</si>
  <si>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</si>
  <si>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</si>
  <si>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</si>
  <si>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</si>
  <si>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</si>
  <si>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</si>
  <si>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</si>
  <si>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</si>
  <si>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</si>
  <si>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</si>
  <si>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</si>
  <si>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</si>
  <si>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</si>
  <si>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</si>
  <si>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</si>
  <si>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</si>
  <si>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</si>
  <si>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</si>
  <si>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</si>
  <si>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</si>
  <si>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</si>
  <si>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</si>
  <si>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</si>
  <si>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</si>
  <si>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</si>
  <si>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</si>
  <si>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</si>
  <si>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</si>
  <si>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</si>
  <si>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</si>
  <si>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</si>
  <si>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</si>
  <si>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</si>
  <si>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</si>
  <si>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</si>
  <si>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</si>
  <si>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</si>
  <si>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</si>
  <si>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</si>
  <si>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</si>
  <si>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</si>
  <si>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</si>
  <si>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</si>
  <si>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</si>
  <si>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</si>
  <si>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</si>
  <si>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</si>
  <si>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</si>
  <si>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</si>
  <si>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</si>
  <si>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</si>
  <si>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</si>
  <si>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</si>
  <si>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</si>
  <si>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</si>
  <si>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</si>
  <si>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</si>
  <si>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</si>
  <si>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</si>
  <si>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</si>
  <si>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</si>
  <si>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</si>
  <si>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</si>
  <si>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</si>
  <si>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</si>
  <si>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</si>
  <si>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</si>
  <si>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</si>
  <si>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</si>
  <si>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</si>
  <si>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</si>
  <si>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</si>
  <si>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</si>
  <si>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</si>
  <si>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</si>
  <si>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</si>
  <si>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</si>
  <si>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</si>
  <si>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</si>
  <si>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</si>
  <si>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</si>
  <si>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</si>
  <si>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</si>
  <si>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</si>
  <si>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</si>
  <si>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</si>
  <si>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</si>
  <si>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</si>
  <si>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</si>
  <si>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</si>
  <si>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</si>
  <si>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</si>
  <si>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</si>
  <si>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</si>
  <si>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</si>
  <si>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</si>
  <si>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</si>
  <si>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</si>
  <si>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</si>
  <si>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</si>
  <si>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</si>
  <si>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</si>
  <si>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</si>
  <si>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</si>
  <si>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</si>
  <si>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</si>
  <si>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</si>
  <si>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</si>
  <si>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</si>
  <si>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</si>
  <si>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</si>
  <si>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</si>
  <si>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</si>
  <si>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</si>
  <si>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</si>
  <si>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</si>
  <si>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</si>
  <si>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</si>
  <si>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</si>
  <si>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</si>
  <si>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</si>
  <si>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</si>
  <si>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</si>
  <si>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</si>
  <si>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</si>
  <si>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</si>
  <si>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</si>
  <si>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</si>
  <si>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</si>
  <si>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</si>
  <si>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</si>
  <si>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</si>
  <si>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</si>
  <si>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</si>
  <si>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</si>
  <si>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</si>
  <si>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</si>
  <si>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</si>
  <si>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</si>
  <si>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</si>
  <si>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</si>
  <si>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</si>
  <si>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</si>
  <si>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</si>
  <si>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</si>
  <si>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</si>
  <si>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</si>
  <si>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</si>
  <si>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</si>
  <si>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</si>
  <si>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</si>
  <si>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</si>
  <si>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</si>
  <si>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</si>
  <si>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</si>
  <si>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</si>
  <si>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</si>
  <si>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</si>
  <si>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</si>
  <si>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</si>
  <si>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</si>
  <si>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</si>
  <si>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</si>
  <si>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</si>
  <si>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</si>
  <si>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</si>
  <si>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</si>
  <si>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</si>
  <si>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</si>
  <si>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</si>
  <si>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</si>
  <si>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</si>
  <si>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</si>
  <si>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</si>
  <si>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</si>
  <si>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</si>
  <si>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</si>
  <si>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</si>
  <si>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</si>
  <si>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</si>
  <si>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</si>
  <si>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</si>
  <si>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</si>
  <si>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</si>
  <si>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</si>
  <si>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</si>
  <si>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</si>
  <si>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</si>
  <si>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</si>
  <si>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</si>
  <si>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</si>
  <si>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</si>
  <si>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</si>
  <si>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</si>
  <si>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</si>
  <si>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</si>
  <si>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</si>
  <si>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</si>
  <si>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</si>
  <si>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</si>
  <si>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</si>
  <si>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</si>
  <si>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</si>
  <si>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</si>
  <si>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</si>
  <si>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</si>
  <si>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</si>
  <si>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</si>
  <si>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</si>
  <si>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</si>
  <si>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</si>
  <si>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</si>
  <si>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</si>
  <si>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</si>
  <si>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</si>
  <si>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</si>
  <si>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</si>
  <si>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</si>
  <si>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</si>
  <si>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</si>
  <si>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</si>
  <si>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</si>
  <si>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</si>
  <si>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</si>
  <si>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</si>
  <si>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</si>
  <si>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</si>
  <si>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</si>
  <si>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</si>
  <si>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</si>
  <si>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</si>
  <si>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</si>
  <si>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</si>
  <si>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</si>
  <si>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</si>
  <si>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</si>
  <si>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</si>
  <si>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</si>
  <si>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</si>
  <si>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</si>
  <si>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</si>
  <si>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</si>
  <si>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</si>
  <si>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</si>
  <si>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</si>
  <si>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</si>
  <si>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</si>
  <si>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</si>
  <si>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</si>
  <si>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</si>
  <si>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</si>
  <si>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</si>
  <si>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</si>
  <si>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</si>
  <si>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</si>
  <si>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</si>
  <si>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</si>
  <si>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</si>
  <si>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</si>
  <si>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</si>
  <si>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</si>
  <si>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</si>
  <si>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</si>
  <si>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</si>
  <si>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</si>
  <si>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</si>
  <si>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</si>
  <si>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</si>
  <si>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</si>
  <si>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</si>
  <si>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</si>
  <si>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</si>
  <si>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</si>
  <si>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</si>
  <si>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</si>
  <si>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</si>
  <si>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</si>
  <si>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</si>
  <si>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</si>
  <si>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</si>
  <si>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</si>
  <si>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</si>
  <si>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</si>
  <si>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</si>
  <si>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</si>
  <si>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</si>
  <si>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</si>
  <si>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</si>
  <si>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</si>
  <si>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</si>
  <si>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</si>
  <si>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</si>
  <si>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</si>
  <si>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</si>
  <si>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</si>
  <si>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</si>
  <si>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</si>
  <si>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</si>
  <si>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</si>
  <si>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</si>
  <si>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</si>
  <si>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</si>
  <si>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</si>
  <si>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</si>
  <si>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</si>
  <si>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</si>
  <si>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</si>
  <si>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</si>
  <si>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</si>
  <si>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</si>
  <si>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</si>
  <si>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</si>
  <si>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</si>
  <si>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</si>
  <si>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</si>
  <si>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</si>
  <si>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</si>
  <si>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</si>
  <si>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</si>
  <si>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</si>
  <si>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</si>
  <si>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</si>
  <si>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</si>
  <si>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</si>
  <si>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</si>
  <si>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</si>
  <si>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</si>
  <si>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</si>
  <si>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</si>
  <si>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</si>
  <si>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</si>
  <si>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</si>
  <si>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</si>
  <si>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</si>
  <si>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</si>
  <si>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</si>
  <si>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</si>
  <si>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</si>
  <si>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</si>
  <si>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</si>
  <si>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</si>
  <si>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</si>
  <si>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</si>
  <si>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</si>
  <si>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</si>
  <si>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</si>
  <si>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</si>
  <si>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</si>
  <si>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</si>
  <si>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</si>
  <si>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</si>
  <si>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</si>
  <si>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</si>
  <si>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</si>
  <si>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</si>
  <si>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</si>
  <si>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</si>
  <si>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</si>
  <si>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</si>
  <si>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</si>
  <si>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</si>
  <si>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</si>
  <si>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</si>
  <si>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</si>
  <si>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</si>
  <si>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</si>
  <si>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</si>
  <si>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</si>
  <si>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</si>
  <si>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</si>
  <si>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</si>
  <si>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</si>
  <si>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</si>
  <si>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</si>
  <si>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</si>
  <si>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</si>
  <si>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</si>
  <si>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</si>
  <si>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</si>
  <si>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</si>
  <si>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</si>
  <si>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</si>
  <si>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</si>
  <si>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</si>
  <si>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</si>
  <si>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</si>
  <si>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</si>
  <si>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</si>
  <si>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</si>
  <si>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</si>
  <si>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</si>
  <si>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</si>
  <si>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</si>
  <si>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</si>
  <si>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</si>
  <si>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</si>
  <si>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</si>
  <si>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</si>
  <si>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</si>
  <si>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</si>
  <si>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</si>
  <si>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</si>
  <si>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</si>
  <si>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</si>
  <si>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</si>
  <si>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</si>
  <si>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</si>
  <si>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</si>
  <si>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</si>
  <si>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</si>
  <si>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</si>
  <si>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</si>
  <si>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</si>
  <si>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</si>
  <si>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</si>
  <si>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</si>
  <si>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</si>
  <si>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</si>
  <si>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</si>
  <si>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</si>
  <si>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</si>
  <si>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</si>
  <si>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</si>
  <si>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</si>
  <si>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</si>
  <si>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</si>
  <si>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</si>
  <si>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</si>
  <si>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</si>
  <si>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</si>
  <si>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</si>
  <si>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</si>
  <si>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</si>
  <si>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</si>
  <si>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</si>
  <si>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</si>
  <si>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</si>
  <si>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</si>
  <si>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</si>
  <si>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</si>
  <si>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</si>
  <si>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</si>
  <si>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</si>
  <si>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</si>
  <si>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</si>
  <si>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</si>
  <si>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</si>
  <si>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</si>
  <si>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</si>
  <si>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</si>
  <si>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</si>
  <si>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</si>
  <si>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</si>
  <si>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</si>
  <si>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</si>
  <si>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</si>
  <si>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</si>
  <si>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</si>
  <si>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</si>
  <si>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</si>
  <si>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</si>
  <si>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</si>
  <si>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</si>
  <si>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</si>
  <si>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</si>
  <si>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</si>
  <si>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</si>
  <si>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</si>
  <si>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</si>
  <si>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</si>
  <si>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</si>
  <si>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</si>
  <si>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</si>
  <si>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</si>
  <si>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</si>
  <si>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</si>
  <si>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</si>
  <si>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</si>
  <si>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</si>
  <si>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</si>
  <si>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</si>
  <si>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</si>
  <si>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</si>
  <si>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</si>
  <si>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</si>
  <si>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</si>
  <si>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</si>
  <si>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</si>
  <si>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</si>
  <si>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</si>
  <si>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</si>
  <si>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</si>
  <si>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</si>
  <si>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</si>
  <si>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</si>
  <si>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</si>
  <si>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</si>
  <si>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</si>
  <si>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</si>
  <si>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</si>
  <si>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</si>
  <si>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</si>
  <si>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</si>
  <si>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</si>
  <si>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</si>
  <si>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</si>
  <si>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</si>
  <si>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</si>
  <si>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</si>
  <si>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</si>
  <si>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</si>
  <si>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</si>
  <si>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</si>
  <si>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</si>
  <si>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</si>
  <si>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</si>
  <si>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</si>
  <si>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</si>
  <si>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</si>
  <si>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</si>
  <si>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</si>
  <si>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</si>
  <si>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</si>
  <si>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</si>
  <si>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</si>
  <si>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</si>
  <si>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</si>
  <si>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</si>
  <si>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</si>
  <si>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</si>
  <si>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</si>
  <si>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</si>
  <si>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</si>
  <si>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</si>
  <si>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</si>
  <si>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</si>
  <si>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</si>
  <si>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</si>
  <si>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</si>
  <si>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</si>
  <si>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</si>
  <si>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</si>
  <si>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</si>
  <si>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</si>
  <si>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</si>
  <si>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</si>
  <si>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</si>
  <si>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</si>
  <si>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</si>
  <si>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</si>
  <si>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</si>
  <si>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</si>
  <si>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</si>
  <si>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</si>
  <si>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</si>
  <si>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</si>
  <si>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</si>
  <si>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</si>
  <si>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</si>
  <si>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</si>
  <si>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</si>
  <si>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</si>
  <si>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</si>
  <si>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</si>
  <si>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</si>
  <si>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</si>
  <si>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</si>
  <si>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</si>
  <si>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</si>
  <si>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</si>
  <si>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</si>
  <si>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</si>
  <si>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</si>
  <si>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</si>
  <si>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</si>
  <si>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</si>
  <si>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</si>
  <si>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</si>
  <si>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</si>
  <si>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</si>
  <si>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</si>
  <si>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</si>
  <si>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</si>
  <si>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</si>
  <si>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</si>
  <si>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</si>
  <si>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</si>
  <si>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</si>
  <si>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</si>
  <si>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</si>
  <si>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</si>
  <si>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</si>
  <si>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</si>
  <si>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</si>
  <si>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</si>
  <si>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</si>
  <si>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</si>
  <si>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</si>
  <si>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</si>
  <si>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</si>
  <si>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</si>
  <si>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</si>
  <si>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</si>
  <si>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</si>
  <si>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</si>
  <si>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</si>
  <si>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</si>
  <si>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</si>
  <si>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</si>
  <si>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</si>
  <si>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</si>
  <si>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</si>
  <si>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</si>
  <si>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</si>
  <si>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</si>
  <si>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</si>
  <si>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</si>
  <si>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</si>
  <si>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</si>
  <si>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</si>
  <si>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</si>
  <si>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</si>
  <si>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</si>
  <si>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</si>
  <si>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</si>
  <si>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</si>
  <si>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</si>
  <si>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</si>
  <si>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</si>
  <si>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</si>
  <si>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</si>
  <si>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</si>
  <si>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</si>
  <si>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</si>
  <si>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</si>
  <si>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</si>
  <si>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</si>
  <si>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</si>
  <si>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</si>
  <si>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</si>
  <si>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</si>
  <si>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</si>
  <si>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</si>
  <si>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</si>
  <si>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</si>
  <si>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</si>
  <si>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</si>
  <si>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</si>
  <si>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</si>
  <si>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</si>
  <si>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</si>
  <si>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</si>
  <si>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</si>
  <si>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</si>
  <si>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</si>
  <si>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</si>
  <si>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</si>
  <si>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</si>
  <si>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</si>
  <si>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</si>
  <si>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</si>
  <si>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</si>
  <si>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</si>
  <si>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</si>
  <si>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</si>
  <si>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</si>
  <si>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</si>
  <si>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</si>
  <si>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</si>
  <si>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</si>
  <si>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</si>
  <si>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</si>
  <si>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</si>
  <si>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</si>
  <si>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</si>
  <si>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</si>
  <si>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</si>
  <si>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</si>
  <si>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</si>
  <si>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</si>
  <si>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</si>
  <si>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</si>
  <si>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</si>
  <si>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</si>
  <si>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</si>
  <si>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</si>
  <si>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</si>
  <si>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</si>
  <si>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</si>
  <si>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</si>
  <si>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</si>
  <si>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</si>
  <si>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</si>
  <si>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</si>
  <si>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</si>
  <si>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</si>
  <si>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</si>
  <si>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</si>
  <si>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</si>
  <si>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</si>
  <si>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</si>
  <si>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</si>
  <si>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</si>
  <si>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</si>
  <si>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</si>
  <si>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</si>
  <si>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</si>
  <si>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</si>
  <si>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</si>
  <si>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</si>
  <si>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</si>
  <si>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</si>
  <si>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</si>
  <si>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</si>
  <si>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</si>
  <si>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</si>
  <si>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</si>
  <si>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</si>
  <si>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</si>
  <si>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</si>
  <si>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</si>
  <si>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</si>
  <si>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</si>
  <si>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</si>
  <si>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</si>
  <si>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</si>
  <si>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</si>
  <si>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</si>
  <si>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</si>
  <si>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</si>
  <si>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</si>
  <si>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</si>
  <si>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</si>
  <si>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</si>
  <si>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</si>
  <si>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</si>
  <si>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</si>
  <si>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</si>
  <si>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</si>
  <si>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</si>
  <si>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</si>
  <si>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</si>
  <si>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</si>
  <si>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</si>
  <si>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</si>
  <si>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</si>
  <si>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</si>
  <si>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</si>
  <si>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</si>
  <si>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</si>
  <si>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</si>
  <si>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</si>
  <si>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</si>
  <si>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</si>
  <si>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</si>
  <si>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</si>
  <si>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</si>
  <si>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</si>
  <si>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</si>
  <si>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</si>
  <si>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</si>
  <si>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</si>
  <si>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</si>
  <si>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</si>
  <si>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</si>
  <si>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</si>
  <si>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</si>
  <si>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</si>
  <si>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</si>
  <si>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</si>
  <si>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</si>
  <si>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</si>
  <si>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</si>
  <si>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</si>
  <si>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</si>
  <si>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</si>
  <si>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</si>
  <si>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</si>
  <si>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</si>
  <si>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</si>
  <si>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</si>
  <si>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</si>
  <si>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</si>
  <si>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</si>
  <si>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</si>
  <si>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</si>
  <si>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</si>
  <si>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</si>
  <si>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</si>
  <si>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</si>
  <si>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</si>
  <si>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</si>
  <si>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</si>
  <si>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</si>
  <si>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</si>
  <si>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</si>
  <si>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</si>
  <si>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</si>
  <si>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</si>
  <si>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</si>
  <si>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</si>
  <si>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</si>
  <si>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</si>
  <si>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</si>
  <si>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</si>
  <si>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</si>
  <si>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</si>
  <si>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</si>
  <si>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</si>
  <si>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</si>
  <si>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</si>
  <si>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</si>
  <si>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</si>
  <si>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</si>
  <si>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</si>
  <si>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</si>
  <si>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</si>
  <si>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</si>
  <si>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</si>
  <si>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</si>
  <si>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</si>
  <si>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</si>
  <si>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</si>
  <si>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</si>
  <si>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</si>
  <si>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</si>
  <si>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</si>
  <si>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</si>
  <si>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</si>
  <si>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</si>
  <si>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</si>
  <si>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</si>
  <si>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</si>
  <si>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</si>
  <si>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</si>
  <si>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</si>
  <si>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</si>
  <si>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</si>
  <si>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</si>
  <si>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</si>
  <si>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</si>
  <si>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</si>
  <si>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</si>
  <si>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</si>
  <si>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</si>
  <si>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</si>
  <si>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</si>
  <si>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</si>
  <si>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</si>
  <si>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</si>
  <si>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</si>
  <si>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</si>
  <si>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</si>
  <si>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</si>
  <si>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</si>
  <si>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</si>
  <si>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</si>
  <si>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</si>
  <si>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</si>
  <si>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</si>
  <si>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</si>
  <si>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</si>
  <si>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</si>
  <si>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</si>
  <si>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</si>
  <si>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</si>
  <si>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</si>
  <si>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</si>
  <si>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</si>
  <si>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</si>
  <si>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</si>
  <si>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</si>
  <si>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</si>
  <si>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</si>
  <si>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</si>
  <si>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</si>
  <si>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</si>
  <si>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</si>
  <si>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</si>
  <si>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</si>
  <si>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</si>
  <si>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</si>
  <si>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</si>
  <si>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</si>
  <si>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</si>
  <si>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</si>
  <si>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</si>
  <si>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</si>
  <si>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</si>
  <si>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</si>
  <si>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</si>
  <si>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</si>
  <si>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</si>
  <si>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</si>
  <si>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</si>
  <si>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</si>
  <si>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</si>
  <si>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</si>
  <si>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</si>
  <si>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</si>
  <si>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</si>
  <si>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</si>
  <si>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</si>
  <si>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</si>
  <si>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</si>
  <si>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</si>
  <si>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</si>
  <si>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</si>
  <si>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</si>
  <si>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</si>
  <si>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</si>
  <si>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</si>
  <si>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</si>
  <si>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</si>
  <si>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</si>
  <si>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</si>
  <si>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</si>
  <si>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</si>
  <si>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</si>
  <si>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</si>
  <si>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</si>
  <si>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</si>
  <si>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</si>
  <si>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</si>
  <si>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</si>
  <si>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</si>
  <si>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</si>
  <si>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</si>
  <si>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</si>
  <si>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</si>
  <si>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</si>
  <si>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</si>
  <si>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</si>
  <si>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</si>
  <si>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</si>
  <si>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</si>
  <si>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</si>
  <si>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</si>
  <si>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</si>
  <si>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</si>
  <si>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</si>
  <si>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</si>
  <si>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</si>
  <si>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</si>
  <si>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</si>
  <si>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</si>
  <si>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</si>
  <si>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</si>
  <si>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</si>
  <si>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</si>
  <si>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</si>
  <si>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</si>
  <si>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</si>
  <si>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</si>
  <si>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</si>
  <si>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</si>
  <si>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</si>
  <si>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</si>
  <si>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</si>
  <si>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</si>
  <si>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</si>
  <si>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</si>
  <si>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</si>
  <si>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</si>
  <si>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</si>
  <si>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</si>
  <si>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</si>
  <si>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</si>
  <si>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</si>
  <si>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</si>
  <si>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</si>
  <si>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</si>
  <si>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</si>
  <si>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</si>
  <si>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</si>
  <si>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</si>
  <si>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</si>
  <si>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</si>
  <si>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</si>
  <si>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</si>
  <si>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</si>
  <si>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</si>
  <si>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</si>
  <si>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</si>
  <si>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</si>
  <si>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</si>
  <si>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</si>
  <si>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</si>
  <si>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</si>
  <si>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</si>
  <si>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</si>
  <si>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</si>
  <si>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</si>
  <si>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</si>
  <si>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</si>
  <si>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</si>
  <si>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</si>
  <si>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</si>
  <si>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</si>
  <si>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</si>
  <si>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</si>
  <si>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</si>
  <si>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</si>
  <si>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</si>
  <si>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</si>
  <si>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</si>
  <si>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</si>
  <si>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</si>
  <si>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</si>
  <si>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</si>
  <si>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</si>
  <si>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</si>
  <si>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</si>
  <si>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</si>
  <si>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</si>
  <si>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</si>
  <si>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</si>
  <si>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</si>
  <si>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</si>
  <si>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</si>
  <si>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</si>
  <si>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</si>
  <si>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</si>
  <si>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</si>
  <si>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</si>
  <si>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</si>
  <si>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</si>
  <si>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</si>
  <si>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</si>
  <si>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</si>
  <si>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</si>
  <si>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</si>
  <si>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</si>
  <si>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</si>
  <si>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</si>
  <si>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</si>
  <si>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</si>
  <si>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</si>
  <si>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</si>
  <si>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</si>
  <si>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</si>
  <si>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</si>
  <si>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</si>
  <si>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</si>
  <si>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</si>
  <si>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</si>
  <si>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</si>
  <si>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</si>
  <si>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</si>
  <si>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</si>
  <si>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</si>
  <si>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</si>
  <si>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</si>
  <si>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</si>
  <si>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Terracina at Whitney Ranch</t>
  </si>
  <si>
    <t>CDLAC-TCAC Joint Application (submitting concurrently)</t>
  </si>
  <si>
    <t>40%/60% Average Income</t>
  </si>
  <si>
    <t xml:space="preserve">NOI during Construction </t>
  </si>
  <si>
    <t>L+200</t>
  </si>
  <si>
    <t>L+250</t>
  </si>
  <si>
    <t>Fixed</t>
  </si>
  <si>
    <t>Variable</t>
  </si>
  <si>
    <t>I/O</t>
  </si>
  <si>
    <t>Riverside Charitable Corp-Equity Investment</t>
  </si>
  <si>
    <t>NOI during Construction</t>
  </si>
  <si>
    <t>Placer County Housing Authority</t>
  </si>
  <si>
    <t>Admin</t>
  </si>
  <si>
    <t>Tenant Relations</t>
  </si>
  <si>
    <t>Bus. License &amp; Permits</t>
  </si>
  <si>
    <t>50% of CF</t>
  </si>
  <si>
    <t>Developer Legal</t>
  </si>
  <si>
    <t>Citibank - CMFA Recycled Tax Exempt Bonds</t>
  </si>
  <si>
    <t>Below residual receipts line for cash flow</t>
  </si>
  <si>
    <t>Subordinated Prop. Mgmt. Fee</t>
  </si>
  <si>
    <t>City of Rocklin - Community Development Department</t>
  </si>
  <si>
    <t>3970 Rocklin Road/PO Box 1138</t>
  </si>
  <si>
    <t>Rocklin</t>
  </si>
  <si>
    <t>sharon.cohen@rocklin.ca.us</t>
  </si>
  <si>
    <t>017-172-014-000</t>
  </si>
  <si>
    <t>3200 Douglas Blvd., Suite 200</t>
  </si>
  <si>
    <t>Roseville</t>
  </si>
  <si>
    <t>CA</t>
  </si>
  <si>
    <t>Darren Bobrowsky</t>
  </si>
  <si>
    <t>dbobrowsky@usapropfund.com</t>
  </si>
  <si>
    <t>USA Properties Fund, Inc.</t>
  </si>
  <si>
    <t>Administrative GP</t>
  </si>
  <si>
    <t>Riverside Charitable Corporation</t>
  </si>
  <si>
    <t>Managing GP</t>
  </si>
  <si>
    <t>14131 Yorba Street, Suite 204</t>
  </si>
  <si>
    <t>Tustin</t>
  </si>
  <si>
    <t>Kenneth S. Robertson</t>
  </si>
  <si>
    <t>ksr@riversidecharitable.org</t>
  </si>
  <si>
    <t>Not Applicable</t>
  </si>
  <si>
    <t xml:space="preserve">CA </t>
  </si>
  <si>
    <t>USA Multi-Family Development, Inc.</t>
  </si>
  <si>
    <t>3200 Douglas Blvd, Suite 200</t>
  </si>
  <si>
    <t>Roseville, CA  95661</t>
  </si>
  <si>
    <t>Geoffrey C. Brown</t>
  </si>
  <si>
    <t>gbrown@usapropfund.com</t>
  </si>
  <si>
    <t>USA Construction Management, Inc.</t>
  </si>
  <si>
    <t>Antonio Piscitello</t>
  </si>
  <si>
    <t>tpiscitello@usapropfund.com</t>
  </si>
  <si>
    <t>Bocarsly Emden Cowan Esmail &amp; Arndt LLP</t>
  </si>
  <si>
    <t>633 West Fifth Street, 64th Floor</t>
  </si>
  <si>
    <t>Los Angeles, CA  90071</t>
  </si>
  <si>
    <t>Kyle Arndt</t>
  </si>
  <si>
    <t>karndt@bocarsly.com</t>
  </si>
  <si>
    <t>Cohn Reznick</t>
  </si>
  <si>
    <t>KTGY Group, Inc.</t>
  </si>
  <si>
    <t>Keith Labus</t>
  </si>
  <si>
    <t>klabus@ktgy.com</t>
  </si>
  <si>
    <t>Laura Wilder</t>
  </si>
  <si>
    <t>Laura.Wilder@CohnReznick.com</t>
  </si>
  <si>
    <t>Kinetic Valuation</t>
  </si>
  <si>
    <t>USA Multifamily Management, Inc.</t>
  </si>
  <si>
    <t>April Atkinson</t>
  </si>
  <si>
    <t>aatkinson@usapropfund.com</t>
  </si>
  <si>
    <t>325 E Hillcrest Dr., Suite 160</t>
  </si>
  <si>
    <t>Thousand Oaks, CA  91360</t>
  </si>
  <si>
    <t>Mike Hemmens</t>
  </si>
  <si>
    <t>Tax Exempt bonds</t>
  </si>
  <si>
    <t>Recycled Tax Exempt Bonds</t>
  </si>
  <si>
    <t>NOI during construction</t>
  </si>
  <si>
    <t>17911 Von Karmen Ave, Suite 200</t>
  </si>
  <si>
    <t>Irvine, Ca 92614</t>
  </si>
  <si>
    <t>Other (Specify below)</t>
  </si>
  <si>
    <t>3-story walk up apartment community</t>
  </si>
  <si>
    <t>High Density Residential (HDR)</t>
  </si>
  <si>
    <t>Planned Development 20 Dwelling Units Per Acre (PD-20)</t>
  </si>
  <si>
    <t>35 ft Max</t>
  </si>
  <si>
    <t>Design Review</t>
  </si>
  <si>
    <t>Vice President</t>
  </si>
  <si>
    <t>11060 Oak Street, Suite 6</t>
  </si>
  <si>
    <t>Omaha, NE 68144</t>
  </si>
  <si>
    <t>Jay Wortmann</t>
  </si>
  <si>
    <t>jay@kvgteam.com</t>
  </si>
  <si>
    <t>California Municipal Finance Authority</t>
  </si>
  <si>
    <t>2111 Palomar Airport Rd., Suite 320</t>
  </si>
  <si>
    <t>Carlsbad, CA  92011</t>
  </si>
  <si>
    <t>John P. Stoecker</t>
  </si>
  <si>
    <t>(760) 683-3390</t>
  </si>
  <si>
    <t>(760) 930-1221</t>
  </si>
  <si>
    <t xml:space="preserve"> jstoecker@cmfa-ca.com</t>
  </si>
  <si>
    <t>Sunset Ranchos Investors, LLC</t>
  </si>
  <si>
    <t>C. Blaine Peterson</t>
  </si>
  <si>
    <t>Barry S. Villines</t>
  </si>
  <si>
    <t>Senior Vice President</t>
  </si>
  <si>
    <t>Chief Financial Officer</t>
  </si>
  <si>
    <t>C. Blaine Peterson and Barry S. Villines</t>
  </si>
  <si>
    <t>6540 Lonetree Blvd., Suite 200, Rocklin, CA  95765</t>
  </si>
  <si>
    <t>Laura Webster</t>
  </si>
  <si>
    <t>Housing&amp;Environmental Services Director Long Range Planning and Housing</t>
  </si>
  <si>
    <t>400 Capitol Mall</t>
  </si>
  <si>
    <t>Sacramento, CA 95814</t>
  </si>
  <si>
    <t>USA Multi-Family Management, Inc.</t>
  </si>
  <si>
    <t>Provided</t>
  </si>
  <si>
    <t>WNC - Tax Credit Investor</t>
  </si>
  <si>
    <t>Deferred Fees</t>
  </si>
  <si>
    <t>Tax Exempt B Bond</t>
  </si>
  <si>
    <t>Deferred fees</t>
  </si>
  <si>
    <t>App and late fees, Turnover</t>
  </si>
  <si>
    <t>Tax Credit Equity</t>
  </si>
  <si>
    <t>Air Conditioning</t>
  </si>
  <si>
    <t>17782 Sky Park Circle</t>
  </si>
  <si>
    <t>Irvine, CA  92614</t>
  </si>
  <si>
    <t>Jessica Captanis</t>
  </si>
  <si>
    <t>WNC</t>
  </si>
  <si>
    <t>jcaptanis@wncinc.com</t>
  </si>
  <si>
    <t>Operations</t>
  </si>
  <si>
    <t>LifeSTEPS</t>
  </si>
  <si>
    <t>Tax-Exempt B Bond</t>
  </si>
  <si>
    <t>Tax-Exempt Permanent Bonds</t>
  </si>
  <si>
    <t>Capital Contribution</t>
  </si>
  <si>
    <t>USA Rocklin 688, Inc. (To Be Formed)</t>
  </si>
  <si>
    <t>84 hours/yr</t>
  </si>
  <si>
    <t>342 hours/yr</t>
  </si>
  <si>
    <t>$500M</t>
  </si>
  <si>
    <t>TE Recycled Bonds</t>
  </si>
  <si>
    <t>Sponsor</t>
  </si>
  <si>
    <t>USA Properties Fund, Inc.- Tax Exempt B Bond</t>
  </si>
  <si>
    <t>Citibank -Tranche B - Recycled TE Bonds</t>
  </si>
  <si>
    <t>Citibank -Tranche A - Tax-Exempt</t>
  </si>
  <si>
    <t>Between University Avenue and Wildcat Blvd.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</si>
</sst>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8">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49" fillId="5" borderId="11" xfId="0" applyFont="1" applyFill="1" applyBorder="1" applyAlignment="1" applyProtection="1">
      <alignment horizontal="right" vertical="top" wrapText="1"/>
      <protection locked="0"/>
    </xf>
    <xf numFmtId="0" fontId="17" fillId="5" borderId="14" xfId="17147" applyFont="1" applyFill="1" applyBorder="1" applyProtection="1">
      <protection locked="0"/>
    </xf>
    <xf numFmtId="3" fontId="17" fillId="5" borderId="14" xfId="570" applyNumberFormat="1" applyFont="1" applyFill="1" applyBorder="1" applyProtection="1">
      <protection locked="0"/>
    </xf>
    <xf numFmtId="3" fontId="17" fillId="5" borderId="14" xfId="17147" applyNumberFormat="1" applyFont="1" applyFill="1" applyBorder="1" applyProtection="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30" fillId="0" borderId="0" xfId="570" applyFont="1" applyFill="1" applyAlignment="1">
      <alignment horizontal="center"/>
    </xf>
    <xf numFmtId="0" fontId="12" fillId="0" borderId="0" xfId="570" applyFill="1" applyAlignment="1">
      <alignment horizontal="center"/>
    </xf>
    <xf numFmtId="0" fontId="19" fillId="0" borderId="0" xfId="0" applyFont="1" applyAlignment="1">
      <alignment horizontal="left" vertical="top"/>
    </xf>
    <xf numFmtId="0" fontId="30" fillId="0" borderId="0" xfId="570" applyFont="1" applyAlignment="1">
      <alignment horizontal="left" wrapText="1"/>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0" applyFont="1" applyBorder="1" applyAlignment="1">
      <alignment horizontal="left" vertical="top"/>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0" fillId="44" borderId="6" xfId="0"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4" fontId="0" fillId="5" borderId="11" xfId="0" applyNumberForma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 fontId="21" fillId="5" borderId="6" xfId="0" applyNumberFormat="1"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0" fillId="44" borderId="6"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1"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3" xfId="0" applyBorder="1" applyAlignment="1" applyProtection="1">
      <alignment horizontal="left"/>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Border="1" applyAlignment="1" applyProtection="1">
      <alignment horizontal="center"/>
      <protection locked="0"/>
    </xf>
    <xf numFmtId="0" fontId="21" fillId="46"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0" xfId="0" applyFont="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3" fontId="21" fillId="5" borderId="3" xfId="0" applyNumberFormat="1" applyFont="1" applyFill="1" applyBorder="1" applyAlignment="1" applyProtection="1">
      <alignment horizontal="center"/>
      <protection locked="0"/>
    </xf>
    <xf numFmtId="3" fontId="21" fillId="5" borderId="4" xfId="0" applyNumberFormat="1" applyFont="1" applyFill="1" applyBorder="1" applyAlignment="1" applyProtection="1">
      <alignment horizontal="center"/>
      <protection locked="0"/>
    </xf>
    <xf numFmtId="3" fontId="21" fillId="5"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0" fillId="0" borderId="6" xfId="0" applyFill="1" applyBorder="1" applyAlignment="1" applyProtection="1">
      <alignment horizontal="left"/>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0" borderId="0" xfId="543" applyNumberFormat="1" applyFont="1" applyFill="1" applyBorder="1" applyAlignment="1" applyProtection="1">
      <alignment horizontal="center" vertical="center"/>
    </xf>
    <xf numFmtId="0" fontId="12" fillId="0" borderId="6" xfId="543" applyFont="1" applyBorder="1" applyAlignment="1" applyProtection="1">
      <alignment horizontal="left"/>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4" xfId="0" applyFont="1" applyBorder="1" applyAlignment="1" applyProtection="1">
      <alignment horizontal="center"/>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Fill="1" applyBorder="1" applyAlignment="1" applyProtection="1">
      <alignment horizontal="center"/>
      <protection locked="0"/>
    </xf>
    <xf numFmtId="0" fontId="12" fillId="0" borderId="6" xfId="0" applyFont="1" applyBorder="1" applyAlignment="1" applyProtection="1">
      <alignment horizontal="center"/>
      <protection locked="0"/>
    </xf>
    <xf numFmtId="0" fontId="12" fillId="5" borderId="6" xfId="244" applyFont="1" applyFill="1" applyBorder="1" applyAlignment="1" applyProtection="1">
      <alignment horizontal="left"/>
      <protection locked="0"/>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244" applyFill="1" applyAlignment="1" applyProtection="1">
      <alignment horizontal="left"/>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166" fontId="12" fillId="5" borderId="6" xfId="0" applyNumberFormat="1" applyFont="1" applyFill="1" applyBorder="1" applyAlignment="1" applyProtection="1">
      <alignment horizontal="left"/>
      <protection locked="0"/>
    </xf>
    <xf numFmtId="0" fontId="21"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21" fillId="0" borderId="6" xfId="0" applyFont="1" applyFill="1" applyBorder="1" applyAlignment="1" applyProtection="1">
      <alignment horizontal="left" wrapText="1"/>
    </xf>
    <xf numFmtId="0" fontId="12" fillId="0" borderId="6" xfId="0" applyFont="1" applyFill="1" applyBorder="1" applyAlignment="1" applyProtection="1">
      <alignment horizontal="left"/>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4"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0" fillId="44" borderId="6" xfId="0" applyNumberFormat="1" applyFill="1" applyBorder="1" applyAlignment="1" applyProtection="1">
      <alignment horizontal="righ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0" fontId="21" fillId="5" borderId="4" xfId="0" applyFont="1" applyFill="1" applyBorder="1" applyAlignment="1" applyProtection="1">
      <alignment horizontal="righ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0" fontId="21" fillId="0" borderId="11" xfId="0" applyFont="1" applyFill="1" applyBorder="1" applyAlignment="1" applyProtection="1">
      <alignment horizontal="center"/>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2" fontId="0" fillId="5" borderId="6" xfId="0" applyNumberFormat="1"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3" fontId="0" fillId="5" borderId="3" xfId="0" applyNumberFormat="1" applyFill="1" applyBorder="1" applyAlignment="1" applyProtection="1">
      <alignment horizontal="righ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71" fontId="12"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0" fontId="21" fillId="0" borderId="3" xfId="0" applyFont="1" applyBorder="1" applyAlignment="1" applyProtection="1">
      <alignment horizontal="left"/>
    </xf>
    <xf numFmtId="0" fontId="20"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8" fontId="12" fillId="0" borderId="11" xfId="543" applyNumberFormat="1" applyFont="1" applyFill="1" applyBorder="1" applyAlignment="1" applyProtection="1">
      <alignment horizont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21" fillId="5" borderId="6" xfId="271" applyFont="1" applyFill="1" applyBorder="1" applyAlignment="1" applyProtection="1">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9" fontId="12" fillId="5" borderId="3" xfId="0" applyNumberFormat="1" applyFont="1" applyFill="1" applyBorder="1" applyAlignment="1" applyProtection="1">
      <alignment horizontal="right"/>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11" xfId="0" applyFont="1" applyFill="1" applyBorder="1" applyAlignment="1" applyProtection="1">
      <alignment horizontal="center"/>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0" borderId="6" xfId="0" applyFont="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14" fontId="154" fillId="48" borderId="73" xfId="4501" applyNumberFormat="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4"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79"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45" borderId="81"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49" fillId="45" borderId="3"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4" fillId="48" borderId="75" xfId="4501" applyNumberFormat="1"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0" fontId="154" fillId="48" borderId="95"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149" fillId="45" borderId="94"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5"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45"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17148">
    <cellStyle name="20% - Accent1" xfId="1" builtinId="30" customBuiltin="1"/>
    <cellStyle name="20% - Accent1 10" xfId="4507" xr:uid="{00000000-0005-0000-0000-000001000000}"/>
    <cellStyle name="20% - Accent1 10 2" xfId="12936" xr:uid="{0CC28E21-956E-4946-8DBE-E932EFB828D9}"/>
    <cellStyle name="20% - Accent1 11" xfId="8718" xr:uid="{F47CB111-88D9-427C-9464-E5F3EB2D60A1}"/>
    <cellStyle name="20% - Accent1 2" xfId="2" xr:uid="{00000000-0005-0000-0000-000002000000}"/>
    <cellStyle name="20% - Accent1 2 10" xfId="8719" xr:uid="{C7E4FB84-37FE-4FB4-852C-45C9CD23B8F2}"/>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D81808FB-2B10-4C3D-9FAB-554130BDD9A7}"/>
    <cellStyle name="20% - Accent1 2 2 2 2 2 3" xfId="11280" xr:uid="{976D90D6-58FE-4A8E-A872-E081F0D33739}"/>
    <cellStyle name="20% - Accent1 2 2 2 2 3" xfId="4924" xr:uid="{00000000-0005-0000-0000-000008000000}"/>
    <cellStyle name="20% - Accent1 2 2 2 2 3 2" xfId="13353" xr:uid="{BF052BE8-6A7A-416C-A67B-E5DD032E2C66}"/>
    <cellStyle name="20% - Accent1 2 2 2 2 4" xfId="9135" xr:uid="{C7D59A07-E8F7-40E3-987A-548A790D3199}"/>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F3DDC6F8-933D-4FEB-928D-0A437EF3F8EF}"/>
    <cellStyle name="20% - Accent1 2 2 2 3 2 3" xfId="11693" xr:uid="{02BD2289-7FC6-4CD1-9CB8-8EDDFB9041E2}"/>
    <cellStyle name="20% - Accent1 2 2 2 3 3" xfId="5337" xr:uid="{00000000-0005-0000-0000-00000C000000}"/>
    <cellStyle name="20% - Accent1 2 2 2 3 3 2" xfId="13766" xr:uid="{00114FFE-A443-44E0-9438-6044E036A48A}"/>
    <cellStyle name="20% - Accent1 2 2 2 3 4" xfId="9548" xr:uid="{937C09FB-B044-4D45-B42A-343D532582C5}"/>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9A3A971D-7DE1-4327-9F0F-3978D92DF992}"/>
    <cellStyle name="20% - Accent1 2 2 2 4 2 3" xfId="12106" xr:uid="{8B5DA52D-CC71-4494-BB3D-CFAAAAC3A132}"/>
    <cellStyle name="20% - Accent1 2 2 2 4 3" xfId="5750" xr:uid="{00000000-0005-0000-0000-000010000000}"/>
    <cellStyle name="20% - Accent1 2 2 2 4 3 2" xfId="14179" xr:uid="{82B6BACF-86BE-4761-ADAB-B3DD7B081491}"/>
    <cellStyle name="20% - Accent1 2 2 2 4 4" xfId="9961" xr:uid="{10E2241A-E050-4DF5-A847-EB823E96D346}"/>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B7813824-944E-46BE-8087-44270E6E620C}"/>
    <cellStyle name="20% - Accent1 2 2 2 5 2 3" xfId="12519" xr:uid="{504F0BD4-E8E1-44EE-BB4F-C8E141F82ABF}"/>
    <cellStyle name="20% - Accent1 2 2 2 5 3" xfId="6163" xr:uid="{00000000-0005-0000-0000-000014000000}"/>
    <cellStyle name="20% - Accent1 2 2 2 5 3 2" xfId="14592" xr:uid="{AFF526ED-AC06-4310-A850-531E690A66EA}"/>
    <cellStyle name="20% - Accent1 2 2 2 5 4" xfId="10374" xr:uid="{6F5CAA06-3C00-4CA4-A666-3D7DBE3EF839}"/>
    <cellStyle name="20% - Accent1 2 2 2 6" xfId="2268" xr:uid="{00000000-0005-0000-0000-000015000000}"/>
    <cellStyle name="20% - Accent1 2 2 2 6 2" xfId="6576" xr:uid="{00000000-0005-0000-0000-000016000000}"/>
    <cellStyle name="20% - Accent1 2 2 2 6 2 2" xfId="15005" xr:uid="{C898DB86-C023-4664-AD98-8967C43FB14D}"/>
    <cellStyle name="20% - Accent1 2 2 2 6 3" xfId="10787" xr:uid="{EF25D256-A80E-4629-89C1-007D8FA37D53}"/>
    <cellStyle name="20% - Accent1 2 2 2 7" xfId="4510" xr:uid="{00000000-0005-0000-0000-000017000000}"/>
    <cellStyle name="20% - Accent1 2 2 2 7 2" xfId="12939" xr:uid="{27984584-FE7F-4F8D-8EF8-BE3C4EBC1EB4}"/>
    <cellStyle name="20% - Accent1 2 2 2 8" xfId="8721" xr:uid="{AD89218D-9C7F-4DA4-AB0B-7C33F33D2A54}"/>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C8E16DE6-99D1-44BD-844D-1EF3ACB2B8B3}"/>
    <cellStyle name="20% - Accent1 2 2 3 2 3" xfId="11279" xr:uid="{34D135CB-4E1E-43DB-BC50-C2A94DBC2830}"/>
    <cellStyle name="20% - Accent1 2 2 3 3" xfId="4923" xr:uid="{00000000-0005-0000-0000-00001B000000}"/>
    <cellStyle name="20% - Accent1 2 2 3 3 2" xfId="13352" xr:uid="{77C90492-77B6-4EEA-8628-7BE5081C62ED}"/>
    <cellStyle name="20% - Accent1 2 2 3 4" xfId="9134" xr:uid="{DC61B2F6-115E-410F-975F-408270742509}"/>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A5473BC7-56AC-4C46-99FD-8AA994E40A23}"/>
    <cellStyle name="20% - Accent1 2 2 4 2 3" xfId="11692" xr:uid="{D7185B67-138A-4487-B39E-16943284F91B}"/>
    <cellStyle name="20% - Accent1 2 2 4 3" xfId="5336" xr:uid="{00000000-0005-0000-0000-00001F000000}"/>
    <cellStyle name="20% - Accent1 2 2 4 3 2" xfId="13765" xr:uid="{A1155E13-C3A3-47D9-B1D6-B249FEDED5FB}"/>
    <cellStyle name="20% - Accent1 2 2 4 4" xfId="9547" xr:uid="{17168614-96F9-4A65-8804-04EDB6506650}"/>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CB19B2E7-97B6-4113-96BB-E905E0CBA788}"/>
    <cellStyle name="20% - Accent1 2 2 5 2 3" xfId="12105" xr:uid="{179CEB19-AFAE-483F-B33C-9EBEA3CA602C}"/>
    <cellStyle name="20% - Accent1 2 2 5 3" xfId="5749" xr:uid="{00000000-0005-0000-0000-000023000000}"/>
    <cellStyle name="20% - Accent1 2 2 5 3 2" xfId="14178" xr:uid="{8461743D-6CC5-4FC7-91BB-22819EF3B800}"/>
    <cellStyle name="20% - Accent1 2 2 5 4" xfId="9960" xr:uid="{F588D5B2-379E-41E2-85A8-5E27A5C9E09E}"/>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936A754B-296C-4851-9928-02B2548DF56E}"/>
    <cellStyle name="20% - Accent1 2 2 6 2 3" xfId="12518" xr:uid="{99115DBA-B155-49E3-B458-6C8D466C0285}"/>
    <cellStyle name="20% - Accent1 2 2 6 3" xfId="6162" xr:uid="{00000000-0005-0000-0000-000027000000}"/>
    <cellStyle name="20% - Accent1 2 2 6 3 2" xfId="14591" xr:uid="{3D67F1B4-0826-4A04-B2B7-E88CE524A680}"/>
    <cellStyle name="20% - Accent1 2 2 6 4" xfId="10373" xr:uid="{2BBB3538-E6BA-4EDD-ABD1-9D80CDEEEAE1}"/>
    <cellStyle name="20% - Accent1 2 2 7" xfId="2267" xr:uid="{00000000-0005-0000-0000-000028000000}"/>
    <cellStyle name="20% - Accent1 2 2 7 2" xfId="6575" xr:uid="{00000000-0005-0000-0000-000029000000}"/>
    <cellStyle name="20% - Accent1 2 2 7 2 2" xfId="15004" xr:uid="{3E7DACC0-477B-49DD-B9BB-E038BF222153}"/>
    <cellStyle name="20% - Accent1 2 2 7 3" xfId="10786" xr:uid="{92C89FB4-42EC-49E7-835A-3C707450DFA6}"/>
    <cellStyle name="20% - Accent1 2 2 8" xfId="4509" xr:uid="{00000000-0005-0000-0000-00002A000000}"/>
    <cellStyle name="20% - Accent1 2 2 8 2" xfId="12938" xr:uid="{61C8F63A-666A-48D2-BA90-4FB73BF3B67D}"/>
    <cellStyle name="20% - Accent1 2 2 9" xfId="8720" xr:uid="{41613615-8732-42F7-8FF6-1F0C7C46F5B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C6F44AE3-8025-4719-ADB6-7DDD0F7E290C}"/>
    <cellStyle name="20% - Accent1 2 3 2 2 3" xfId="11281" xr:uid="{42FAD37E-D733-4873-A410-BAD9A89FD8B2}"/>
    <cellStyle name="20% - Accent1 2 3 2 3" xfId="4925" xr:uid="{00000000-0005-0000-0000-00002F000000}"/>
    <cellStyle name="20% - Accent1 2 3 2 3 2" xfId="13354" xr:uid="{C10ED822-F4B4-477A-8C11-F260AF44D878}"/>
    <cellStyle name="20% - Accent1 2 3 2 4" xfId="9136" xr:uid="{85AE236A-B230-472C-B296-7517C90A6A19}"/>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722E8135-9690-4903-89BA-5E2199C94FE9}"/>
    <cellStyle name="20% - Accent1 2 3 3 2 3" xfId="11694" xr:uid="{57333CC1-2D0C-4A06-8528-BF1C6C2B5A17}"/>
    <cellStyle name="20% - Accent1 2 3 3 3" xfId="5338" xr:uid="{00000000-0005-0000-0000-000033000000}"/>
    <cellStyle name="20% - Accent1 2 3 3 3 2" xfId="13767" xr:uid="{FC9DF03C-B4B8-4633-8F54-214BA665C760}"/>
    <cellStyle name="20% - Accent1 2 3 3 4" xfId="9549" xr:uid="{7520C787-9A6C-488A-8BAF-5ABB1BD4E0DF}"/>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12CC134C-9FC2-474A-A4C0-FE7966A61A37}"/>
    <cellStyle name="20% - Accent1 2 3 4 2 3" xfId="12107" xr:uid="{A7818047-38C9-43E5-946C-3EC63AAA1DFD}"/>
    <cellStyle name="20% - Accent1 2 3 4 3" xfId="5751" xr:uid="{00000000-0005-0000-0000-000037000000}"/>
    <cellStyle name="20% - Accent1 2 3 4 3 2" xfId="14180" xr:uid="{1269797E-4270-4496-9AA0-683C22016C54}"/>
    <cellStyle name="20% - Accent1 2 3 4 4" xfId="9962" xr:uid="{606209D5-6CAB-46C9-81D0-AC92C4AE7749}"/>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6DEDF49B-856B-489F-8528-3DCDDBBDCADB}"/>
    <cellStyle name="20% - Accent1 2 3 5 2 3" xfId="12520" xr:uid="{BEDE9740-A3E1-4D04-AB86-0BF433EDA6E7}"/>
    <cellStyle name="20% - Accent1 2 3 5 3" xfId="6164" xr:uid="{00000000-0005-0000-0000-00003B000000}"/>
    <cellStyle name="20% - Accent1 2 3 5 3 2" xfId="14593" xr:uid="{91E6A7E9-E2EF-4D95-8F93-849EB6967532}"/>
    <cellStyle name="20% - Accent1 2 3 5 4" xfId="10375" xr:uid="{C2C0D862-D18D-40FE-8D56-9455E2250C35}"/>
    <cellStyle name="20% - Accent1 2 3 6" xfId="2269" xr:uid="{00000000-0005-0000-0000-00003C000000}"/>
    <cellStyle name="20% - Accent1 2 3 6 2" xfId="6577" xr:uid="{00000000-0005-0000-0000-00003D000000}"/>
    <cellStyle name="20% - Accent1 2 3 6 2 2" xfId="15006" xr:uid="{D930A2BB-4793-4CA2-997C-2950ABC7181A}"/>
    <cellStyle name="20% - Accent1 2 3 6 3" xfId="10788" xr:uid="{11E0D71F-14FA-43AC-9FE9-71B9B67BAEF2}"/>
    <cellStyle name="20% - Accent1 2 3 7" xfId="4511" xr:uid="{00000000-0005-0000-0000-00003E000000}"/>
    <cellStyle name="20% - Accent1 2 3 7 2" xfId="12940" xr:uid="{5D77FF74-FA25-41EC-A7F7-D1FD3D515BD9}"/>
    <cellStyle name="20% - Accent1 2 3 8" xfId="8722" xr:uid="{F49A788C-0FDE-4AFE-9B7B-75A62FBC015A}"/>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D3AE962B-CB26-4CC1-A51C-F18239FB35F1}"/>
    <cellStyle name="20% - Accent1 2 4 2 3" xfId="11278" xr:uid="{8586B722-9D48-49F9-B488-F8908C428960}"/>
    <cellStyle name="20% - Accent1 2 4 3" xfId="4922" xr:uid="{00000000-0005-0000-0000-000042000000}"/>
    <cellStyle name="20% - Accent1 2 4 3 2" xfId="13351" xr:uid="{28452DC8-1D32-4674-AEE8-CCB56DAC3661}"/>
    <cellStyle name="20% - Accent1 2 4 4" xfId="9133" xr:uid="{729A0BF1-AF6F-4E59-96A8-B7DD1B14A315}"/>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A20232BF-58BF-46A0-92C8-669FC0D71181}"/>
    <cellStyle name="20% - Accent1 2 5 2 3" xfId="11691" xr:uid="{1B7930C2-6BE9-4059-A25E-BC6742FAB002}"/>
    <cellStyle name="20% - Accent1 2 5 3" xfId="5335" xr:uid="{00000000-0005-0000-0000-000046000000}"/>
    <cellStyle name="20% - Accent1 2 5 3 2" xfId="13764" xr:uid="{F37181D8-EFBB-4B16-B932-949E6751C8B1}"/>
    <cellStyle name="20% - Accent1 2 5 4" xfId="9546" xr:uid="{333D5939-BEBA-40E7-BCF8-F277D5CEFC69}"/>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D3A6DCBE-BD5E-416F-BB3D-E6ACA4EDAC2C}"/>
    <cellStyle name="20% - Accent1 2 6 2 3" xfId="12104" xr:uid="{6BEA6402-844C-469D-9A3B-5FEC90DEC989}"/>
    <cellStyle name="20% - Accent1 2 6 3" xfId="5748" xr:uid="{00000000-0005-0000-0000-00004A000000}"/>
    <cellStyle name="20% - Accent1 2 6 3 2" xfId="14177" xr:uid="{7725F55F-70E6-497E-9C80-F9D604660DE0}"/>
    <cellStyle name="20% - Accent1 2 6 4" xfId="9959" xr:uid="{3CF362A2-59A0-4FB0-9D7A-0F5D31D62149}"/>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5831958E-3AF8-4094-92BD-B93000BC2E4E}"/>
    <cellStyle name="20% - Accent1 2 7 2 3" xfId="12517" xr:uid="{D1C8F212-4174-465D-9BA5-35E4F85C1061}"/>
    <cellStyle name="20% - Accent1 2 7 3" xfId="6161" xr:uid="{00000000-0005-0000-0000-00004E000000}"/>
    <cellStyle name="20% - Accent1 2 7 3 2" xfId="14590" xr:uid="{FA833DD7-E663-4D86-856A-DE59A503E244}"/>
    <cellStyle name="20% - Accent1 2 7 4" xfId="10372" xr:uid="{AB54C7FD-CF15-490E-A4DA-FE8D883E0C1B}"/>
    <cellStyle name="20% - Accent1 2 8" xfId="2266" xr:uid="{00000000-0005-0000-0000-00004F000000}"/>
    <cellStyle name="20% - Accent1 2 8 2" xfId="6574" xr:uid="{00000000-0005-0000-0000-000050000000}"/>
    <cellStyle name="20% - Accent1 2 8 2 2" xfId="15003" xr:uid="{79F36368-B131-4213-AF94-7A817E2810B5}"/>
    <cellStyle name="20% - Accent1 2 8 3" xfId="10785" xr:uid="{1E6445CE-90ED-420F-A93B-EDC87937473F}"/>
    <cellStyle name="20% - Accent1 2 9" xfId="4508" xr:uid="{00000000-0005-0000-0000-000051000000}"/>
    <cellStyle name="20% - Accent1 2 9 2" xfId="12937" xr:uid="{86CB32E9-BF05-495B-91F9-0D92D8DF603F}"/>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2E50D023-16BE-403D-A566-1BB4A3D638BD}"/>
    <cellStyle name="20% - Accent1 3 2 2 2 3" xfId="11283" xr:uid="{404ECF8D-3716-421D-8501-5500128A19BE}"/>
    <cellStyle name="20% - Accent1 3 2 2 3" xfId="4927" xr:uid="{00000000-0005-0000-0000-000057000000}"/>
    <cellStyle name="20% - Accent1 3 2 2 3 2" xfId="13356" xr:uid="{AA28DDCE-F2B0-432B-8AF3-982F696CC956}"/>
    <cellStyle name="20% - Accent1 3 2 2 4" xfId="9138" xr:uid="{6DB63A4A-219E-4795-999D-1426C062B803}"/>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8ABDC65C-6287-428F-BFAF-1C1D1A5050C1}"/>
    <cellStyle name="20% - Accent1 3 2 3 2 3" xfId="11696" xr:uid="{85F06248-6BA4-48F0-8A49-EEF3F5AAD3A0}"/>
    <cellStyle name="20% - Accent1 3 2 3 3" xfId="5340" xr:uid="{00000000-0005-0000-0000-00005B000000}"/>
    <cellStyle name="20% - Accent1 3 2 3 3 2" xfId="13769" xr:uid="{3F7B8166-9A3A-4B8C-A135-80E27183D85F}"/>
    <cellStyle name="20% - Accent1 3 2 3 4" xfId="9551" xr:uid="{E5BF186D-C7BA-4589-A448-80C598C39F72}"/>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3F6DFEEC-41BC-4DE5-BF86-996A82ED8183}"/>
    <cellStyle name="20% - Accent1 3 2 4 2 3" xfId="12109" xr:uid="{71902726-1B5B-4DEC-8120-2FBB2FDFB572}"/>
    <cellStyle name="20% - Accent1 3 2 4 3" xfId="5753" xr:uid="{00000000-0005-0000-0000-00005F000000}"/>
    <cellStyle name="20% - Accent1 3 2 4 3 2" xfId="14182" xr:uid="{0DE201CF-594C-46DA-8C05-3C44257A7F43}"/>
    <cellStyle name="20% - Accent1 3 2 4 4" xfId="9964" xr:uid="{1871B3CC-5E70-4F3D-8B65-E75BEEC8F491}"/>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1E993878-E712-46FF-8361-92E43AA6B424}"/>
    <cellStyle name="20% - Accent1 3 2 5 2 3" xfId="12522" xr:uid="{33428E2D-8C77-4E52-8AC7-188F94FF2D63}"/>
    <cellStyle name="20% - Accent1 3 2 5 3" xfId="6166" xr:uid="{00000000-0005-0000-0000-000063000000}"/>
    <cellStyle name="20% - Accent1 3 2 5 3 2" xfId="14595" xr:uid="{8A7F0B96-0FD2-4949-8589-CB5DE165B965}"/>
    <cellStyle name="20% - Accent1 3 2 5 4" xfId="10377" xr:uid="{0B6A85B1-F27D-4835-A9AF-CC54DF41E330}"/>
    <cellStyle name="20% - Accent1 3 2 6" xfId="2271" xr:uid="{00000000-0005-0000-0000-000064000000}"/>
    <cellStyle name="20% - Accent1 3 2 6 2" xfId="6579" xr:uid="{00000000-0005-0000-0000-000065000000}"/>
    <cellStyle name="20% - Accent1 3 2 6 2 2" xfId="15008" xr:uid="{73CB15ED-9F47-4B75-A15A-13FD4EDA02A2}"/>
    <cellStyle name="20% - Accent1 3 2 6 3" xfId="10790" xr:uid="{545C6571-21CC-4A11-941E-94C365477CF3}"/>
    <cellStyle name="20% - Accent1 3 2 7" xfId="4513" xr:uid="{00000000-0005-0000-0000-000066000000}"/>
    <cellStyle name="20% - Accent1 3 2 7 2" xfId="12942" xr:uid="{67C976A6-C0B3-4F62-A1DD-2AF6F078631B}"/>
    <cellStyle name="20% - Accent1 3 2 8" xfId="8724" xr:uid="{1C2475F9-F5AC-487D-83A3-585E5A497989}"/>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7D5B9E08-0315-40C7-BBE4-52875052F73F}"/>
    <cellStyle name="20% - Accent1 3 3 2 3" xfId="11282" xr:uid="{F0D05A14-9AE3-4969-B261-4F1A283C23F9}"/>
    <cellStyle name="20% - Accent1 3 3 3" xfId="4926" xr:uid="{00000000-0005-0000-0000-00006A000000}"/>
    <cellStyle name="20% - Accent1 3 3 3 2" xfId="13355" xr:uid="{AF99F267-7562-43FE-BA9A-7276373E7B8D}"/>
    <cellStyle name="20% - Accent1 3 3 4" xfId="9137" xr:uid="{56F2CB6B-030E-45A5-A903-07EEC5E9F3C6}"/>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8099EED6-12AC-49C7-B553-7912F8446D51}"/>
    <cellStyle name="20% - Accent1 3 4 2 3" xfId="11695" xr:uid="{0D9871AD-6C78-455D-9888-1A282B45CA08}"/>
    <cellStyle name="20% - Accent1 3 4 3" xfId="5339" xr:uid="{00000000-0005-0000-0000-00006E000000}"/>
    <cellStyle name="20% - Accent1 3 4 3 2" xfId="13768" xr:uid="{A1139DCA-1CC1-4051-9B5A-DFD231CE3E7B}"/>
    <cellStyle name="20% - Accent1 3 4 4" xfId="9550" xr:uid="{334E3AB2-9174-43A6-9D3C-92F839EAE8D5}"/>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1BE4EEA3-8541-487A-8FBF-CB7D567204C1}"/>
    <cellStyle name="20% - Accent1 3 5 2 3" xfId="12108" xr:uid="{78859DA8-04CE-4083-B1F3-E798AA6FE5BC}"/>
    <cellStyle name="20% - Accent1 3 5 3" xfId="5752" xr:uid="{00000000-0005-0000-0000-000072000000}"/>
    <cellStyle name="20% - Accent1 3 5 3 2" xfId="14181" xr:uid="{EE2E1086-2EAC-42A1-991C-B5F902C6208E}"/>
    <cellStyle name="20% - Accent1 3 5 4" xfId="9963" xr:uid="{41A01B31-3728-4D65-87D8-E53D3D3B4CDD}"/>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67059174-04CF-41B6-AE90-9B6725BD6FD1}"/>
    <cellStyle name="20% - Accent1 3 6 2 3" xfId="12521" xr:uid="{606A7363-F223-429B-B96D-F071AB664D34}"/>
    <cellStyle name="20% - Accent1 3 6 3" xfId="6165" xr:uid="{00000000-0005-0000-0000-000076000000}"/>
    <cellStyle name="20% - Accent1 3 6 3 2" xfId="14594" xr:uid="{00C1336C-250A-49E3-B29C-2EEBA236699C}"/>
    <cellStyle name="20% - Accent1 3 6 4" xfId="10376" xr:uid="{89C8948D-148A-4F4A-A7D1-88F355606ED9}"/>
    <cellStyle name="20% - Accent1 3 7" xfId="2270" xr:uid="{00000000-0005-0000-0000-000077000000}"/>
    <cellStyle name="20% - Accent1 3 7 2" xfId="6578" xr:uid="{00000000-0005-0000-0000-000078000000}"/>
    <cellStyle name="20% - Accent1 3 7 2 2" xfId="15007" xr:uid="{DE296615-7EBE-4FDA-BF79-0EEC366A6322}"/>
    <cellStyle name="20% - Accent1 3 7 3" xfId="10789" xr:uid="{1E38590D-D4FB-45AD-B3AE-A0EA6CCDA38F}"/>
    <cellStyle name="20% - Accent1 3 8" xfId="4512" xr:uid="{00000000-0005-0000-0000-000079000000}"/>
    <cellStyle name="20% - Accent1 3 8 2" xfId="12941" xr:uid="{1A80F407-402D-4A7A-9C75-8B7457ADFC58}"/>
    <cellStyle name="20% - Accent1 3 9" xfId="8723" xr:uid="{3066B47D-EA4B-4A0C-8319-F6466D63408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B5F79287-6F5F-400A-9155-38F6480B442B}"/>
    <cellStyle name="20% - Accent1 4 2 2 3" xfId="11284" xr:uid="{DE8A1100-7322-407B-98BB-89C25E0E88CA}"/>
    <cellStyle name="20% - Accent1 4 2 3" xfId="4928" xr:uid="{00000000-0005-0000-0000-00007E000000}"/>
    <cellStyle name="20% - Accent1 4 2 3 2" xfId="13357" xr:uid="{CF4C2888-6E2D-4D85-B6DE-2F92DCC43874}"/>
    <cellStyle name="20% - Accent1 4 2 4" xfId="9139" xr:uid="{35F95D5F-AB74-4F65-962F-ADE51EE6CDB2}"/>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5EB4CE94-7EE4-4B7E-B50E-900032A87432}"/>
    <cellStyle name="20% - Accent1 4 3 2 3" xfId="11697" xr:uid="{06BFB1EE-9F74-4021-8A21-EAB757247D33}"/>
    <cellStyle name="20% - Accent1 4 3 3" xfId="5341" xr:uid="{00000000-0005-0000-0000-000082000000}"/>
    <cellStyle name="20% - Accent1 4 3 3 2" xfId="13770" xr:uid="{96D169F3-C93E-4713-9A4A-AA4D540E9B08}"/>
    <cellStyle name="20% - Accent1 4 3 4" xfId="9552" xr:uid="{10EE8E9D-91D0-4923-8489-F39D33EE8B3F}"/>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4637BB13-E940-4B7A-9F42-FC4530502505}"/>
    <cellStyle name="20% - Accent1 4 4 2 3" xfId="12110" xr:uid="{8F2E9FD5-6B87-4DC8-BE03-23835C501454}"/>
    <cellStyle name="20% - Accent1 4 4 3" xfId="5754" xr:uid="{00000000-0005-0000-0000-000086000000}"/>
    <cellStyle name="20% - Accent1 4 4 3 2" xfId="14183" xr:uid="{BCB4F997-5591-4393-9785-59F8C055F32D}"/>
    <cellStyle name="20% - Accent1 4 4 4" xfId="9965" xr:uid="{404DB3D1-F74C-498B-9C9F-8706EF6641EC}"/>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06ED3FD4-4CDA-412C-878D-8958B4CA5DE9}"/>
    <cellStyle name="20% - Accent1 4 5 2 3" xfId="12523" xr:uid="{3DB1E90C-B686-47F4-91F7-8CAF165D2C2C}"/>
    <cellStyle name="20% - Accent1 4 5 3" xfId="6167" xr:uid="{00000000-0005-0000-0000-00008A000000}"/>
    <cellStyle name="20% - Accent1 4 5 3 2" xfId="14596" xr:uid="{10DF75BD-69D3-4E66-A3E1-7C99FB09F50A}"/>
    <cellStyle name="20% - Accent1 4 5 4" xfId="10378" xr:uid="{278A549C-5466-49F8-8D05-8148302F0F55}"/>
    <cellStyle name="20% - Accent1 4 6" xfId="2272" xr:uid="{00000000-0005-0000-0000-00008B000000}"/>
    <cellStyle name="20% - Accent1 4 6 2" xfId="6580" xr:uid="{00000000-0005-0000-0000-00008C000000}"/>
    <cellStyle name="20% - Accent1 4 6 2 2" xfId="15009" xr:uid="{41996B41-BB8C-40E3-9BB0-0AA4B2ACB114}"/>
    <cellStyle name="20% - Accent1 4 6 3" xfId="10791" xr:uid="{99A7B8A0-5DC4-4258-B2F6-BC18307963E0}"/>
    <cellStyle name="20% - Accent1 4 7" xfId="4514" xr:uid="{00000000-0005-0000-0000-00008D000000}"/>
    <cellStyle name="20% - Accent1 4 7 2" xfId="12943" xr:uid="{6AFB0D88-7A56-4B7D-8857-B2BB211D22B5}"/>
    <cellStyle name="20% - Accent1 4 8" xfId="8725" xr:uid="{B437E746-0837-450C-8E0F-DFC4826287F6}"/>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DB34B828-C5AB-45EE-AF07-5EF71F24EF2D}"/>
    <cellStyle name="20% - Accent1 5 2 3" xfId="11277" xr:uid="{8389B4D4-D3F5-42A0-B158-DC6A14B262F5}"/>
    <cellStyle name="20% - Accent1 5 3" xfId="4921" xr:uid="{00000000-0005-0000-0000-000091000000}"/>
    <cellStyle name="20% - Accent1 5 3 2" xfId="13350" xr:uid="{DD7639F3-CB5E-40B6-BC32-44E4320ED66D}"/>
    <cellStyle name="20% - Accent1 5 4" xfId="9132" xr:uid="{31B50A2C-8488-4EBD-8260-802AAEAAD893}"/>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CDF05D5A-68A0-442C-8821-2A438155E1F7}"/>
    <cellStyle name="20% - Accent1 6 2 3" xfId="11690" xr:uid="{2CC0847F-D6AF-49C7-A622-BCE6F31002EA}"/>
    <cellStyle name="20% - Accent1 6 3" xfId="5334" xr:uid="{00000000-0005-0000-0000-000095000000}"/>
    <cellStyle name="20% - Accent1 6 3 2" xfId="13763" xr:uid="{E1151717-7B1F-4C25-9A87-B0A49A0E738A}"/>
    <cellStyle name="20% - Accent1 6 4" xfId="9545" xr:uid="{F2F42A80-D272-4AA4-953C-A3FE7F107B5B}"/>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1F452A6F-6F72-4BB9-8352-A80934DDADA3}"/>
    <cellStyle name="20% - Accent1 7 2 3" xfId="12103" xr:uid="{04500350-68C7-4B5C-9E4D-DD0F8D1B5883}"/>
    <cellStyle name="20% - Accent1 7 3" xfId="5747" xr:uid="{00000000-0005-0000-0000-000099000000}"/>
    <cellStyle name="20% - Accent1 7 3 2" xfId="14176" xr:uid="{3790A275-E610-47DB-91E7-32B86272C4F7}"/>
    <cellStyle name="20% - Accent1 7 4" xfId="9958" xr:uid="{55C12FBD-9C88-4086-823B-35B2C3B827DC}"/>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2DCC829A-80B2-4387-A205-65C419EF108C}"/>
    <cellStyle name="20% - Accent1 8 2 3" xfId="12516" xr:uid="{C872187C-3770-4B06-BF01-84D016E383DC}"/>
    <cellStyle name="20% - Accent1 8 3" xfId="6160" xr:uid="{00000000-0005-0000-0000-00009D000000}"/>
    <cellStyle name="20% - Accent1 8 3 2" xfId="14589" xr:uid="{46B39BF1-6230-48C3-A0FB-CB6F2C92AA2A}"/>
    <cellStyle name="20% - Accent1 8 4" xfId="10371" xr:uid="{F0BDAFE1-D2BB-439F-AD6D-36387AE6B218}"/>
    <cellStyle name="20% - Accent1 9" xfId="2265" xr:uid="{00000000-0005-0000-0000-00009E000000}"/>
    <cellStyle name="20% - Accent1 9 2" xfId="6573" xr:uid="{00000000-0005-0000-0000-00009F000000}"/>
    <cellStyle name="20% - Accent1 9 2 2" xfId="15002" xr:uid="{DAE38A0D-BA1C-4E14-8C07-415B2B100DE9}"/>
    <cellStyle name="20% - Accent1 9 3" xfId="10784" xr:uid="{845A99E6-6A61-4F2C-8131-FEC0F5FB8AA3}"/>
    <cellStyle name="20% - Accent2" xfId="9" builtinId="34" customBuiltin="1"/>
    <cellStyle name="20% - Accent2 10" xfId="4515" xr:uid="{00000000-0005-0000-0000-0000A1000000}"/>
    <cellStyle name="20% - Accent2 10 2" xfId="12944" xr:uid="{DB6B1E2A-2D09-4424-8FFA-F0BAEDC6B0FD}"/>
    <cellStyle name="20% - Accent2 11" xfId="8726" xr:uid="{69E07D5C-5630-4124-AE3D-250E6FC65859}"/>
    <cellStyle name="20% - Accent2 2" xfId="10" xr:uid="{00000000-0005-0000-0000-0000A2000000}"/>
    <cellStyle name="20% - Accent2 2 10" xfId="8727" xr:uid="{4D9FF11A-AE5D-4AEC-8925-049318A16E53}"/>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F36999A8-2C11-4AD4-A4B7-B261411F11BB}"/>
    <cellStyle name="20% - Accent2 2 2 2 2 2 3" xfId="11288" xr:uid="{7E0F9EA7-AD74-49E9-8848-0E5ADCCCA403}"/>
    <cellStyle name="20% - Accent2 2 2 2 2 3" xfId="4932" xr:uid="{00000000-0005-0000-0000-0000A8000000}"/>
    <cellStyle name="20% - Accent2 2 2 2 2 3 2" xfId="13361" xr:uid="{D0457391-F1F4-4190-9348-B591EFBC9F8B}"/>
    <cellStyle name="20% - Accent2 2 2 2 2 4" xfId="9143" xr:uid="{01D216D6-ABBF-48DD-BDF5-4A9E24189799}"/>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11CC026B-7843-4719-B7B7-5C439E48FE48}"/>
    <cellStyle name="20% - Accent2 2 2 2 3 2 3" xfId="11701" xr:uid="{352A6FC2-A083-4F37-8A4D-F9CDDC5908AB}"/>
    <cellStyle name="20% - Accent2 2 2 2 3 3" xfId="5345" xr:uid="{00000000-0005-0000-0000-0000AC000000}"/>
    <cellStyle name="20% - Accent2 2 2 2 3 3 2" xfId="13774" xr:uid="{8FF39EC9-7792-40BE-90A5-2C2488135BD6}"/>
    <cellStyle name="20% - Accent2 2 2 2 3 4" xfId="9556" xr:uid="{0C3FD160-B7B8-4688-B783-71135410833C}"/>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690A013C-702C-4E92-AA1C-94B9226E2604}"/>
    <cellStyle name="20% - Accent2 2 2 2 4 2 3" xfId="12114" xr:uid="{AF1E0E7A-0831-47B7-8855-88E121D53A2D}"/>
    <cellStyle name="20% - Accent2 2 2 2 4 3" xfId="5758" xr:uid="{00000000-0005-0000-0000-0000B0000000}"/>
    <cellStyle name="20% - Accent2 2 2 2 4 3 2" xfId="14187" xr:uid="{0C3E9D2A-7F91-4168-8E4E-D2D4BF9290FF}"/>
    <cellStyle name="20% - Accent2 2 2 2 4 4" xfId="9969" xr:uid="{CA35D879-008C-4D78-A24A-F0DAB19D08DD}"/>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42BBA860-A57A-4FC1-9387-A0CF9A12B070}"/>
    <cellStyle name="20% - Accent2 2 2 2 5 2 3" xfId="12527" xr:uid="{5D8D95BF-5F93-434B-A157-CBEE5CF27872}"/>
    <cellStyle name="20% - Accent2 2 2 2 5 3" xfId="6171" xr:uid="{00000000-0005-0000-0000-0000B4000000}"/>
    <cellStyle name="20% - Accent2 2 2 2 5 3 2" xfId="14600" xr:uid="{486F2D13-35E9-465E-A3BC-848B722E80D2}"/>
    <cellStyle name="20% - Accent2 2 2 2 5 4" xfId="10382" xr:uid="{A3C71950-5725-442F-ACDC-E69EABD49C22}"/>
    <cellStyle name="20% - Accent2 2 2 2 6" xfId="2276" xr:uid="{00000000-0005-0000-0000-0000B5000000}"/>
    <cellStyle name="20% - Accent2 2 2 2 6 2" xfId="6584" xr:uid="{00000000-0005-0000-0000-0000B6000000}"/>
    <cellStyle name="20% - Accent2 2 2 2 6 2 2" xfId="15013" xr:uid="{A81AB985-AF33-420E-990C-12D2D0E99CF7}"/>
    <cellStyle name="20% - Accent2 2 2 2 6 3" xfId="10795" xr:uid="{895CBFEC-DA9A-4FD5-B100-3F5AF30889AC}"/>
    <cellStyle name="20% - Accent2 2 2 2 7" xfId="4518" xr:uid="{00000000-0005-0000-0000-0000B7000000}"/>
    <cellStyle name="20% - Accent2 2 2 2 7 2" xfId="12947" xr:uid="{A101FFFB-EC9A-4655-BDC2-90D2E21D3A5A}"/>
    <cellStyle name="20% - Accent2 2 2 2 8" xfId="8729" xr:uid="{95C33F94-0384-47E0-9DE3-8F76680C8919}"/>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2E4ADA58-97C1-49A3-A1B0-A5A809977BD5}"/>
    <cellStyle name="20% - Accent2 2 2 3 2 3" xfId="11287" xr:uid="{F6BF7C0A-8A26-4B1A-A59B-A9EF6C2A4B6C}"/>
    <cellStyle name="20% - Accent2 2 2 3 3" xfId="4931" xr:uid="{00000000-0005-0000-0000-0000BB000000}"/>
    <cellStyle name="20% - Accent2 2 2 3 3 2" xfId="13360" xr:uid="{F5D34CC5-1899-4577-B2F9-AD0B232F5090}"/>
    <cellStyle name="20% - Accent2 2 2 3 4" xfId="9142" xr:uid="{FA6263F5-5663-4411-8B02-474562D645A9}"/>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652F68EE-650D-4098-8B68-06F1A1A7C2E3}"/>
    <cellStyle name="20% - Accent2 2 2 4 2 3" xfId="11700" xr:uid="{D65701FC-CCF0-4C25-AEDA-6382F5EA69E7}"/>
    <cellStyle name="20% - Accent2 2 2 4 3" xfId="5344" xr:uid="{00000000-0005-0000-0000-0000BF000000}"/>
    <cellStyle name="20% - Accent2 2 2 4 3 2" xfId="13773" xr:uid="{F4321A97-3035-44CC-9D42-7A8BE7E218E0}"/>
    <cellStyle name="20% - Accent2 2 2 4 4" xfId="9555" xr:uid="{381805CE-7767-4199-AFCE-D6721E77269A}"/>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F2B77E12-9729-4CBD-8BFD-0AC83E00042E}"/>
    <cellStyle name="20% - Accent2 2 2 5 2 3" xfId="12113" xr:uid="{A46454A4-821F-4F84-9548-8E246096311C}"/>
    <cellStyle name="20% - Accent2 2 2 5 3" xfId="5757" xr:uid="{00000000-0005-0000-0000-0000C3000000}"/>
    <cellStyle name="20% - Accent2 2 2 5 3 2" xfId="14186" xr:uid="{2D2C832A-67E8-4F3E-B51A-F316F02589DB}"/>
    <cellStyle name="20% - Accent2 2 2 5 4" xfId="9968" xr:uid="{3585090B-B06D-487E-B362-DA4A8CCDF866}"/>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8EE9B0AE-9822-4522-95EF-BBB0D0DEFF4E}"/>
    <cellStyle name="20% - Accent2 2 2 6 2 3" xfId="12526" xr:uid="{DCD18E0E-1876-44A0-8479-C1C2CFAD60AE}"/>
    <cellStyle name="20% - Accent2 2 2 6 3" xfId="6170" xr:uid="{00000000-0005-0000-0000-0000C7000000}"/>
    <cellStyle name="20% - Accent2 2 2 6 3 2" xfId="14599" xr:uid="{7B680347-D5E2-4774-82FA-78309C08F3D0}"/>
    <cellStyle name="20% - Accent2 2 2 6 4" xfId="10381" xr:uid="{9F0DF6DF-EEC3-4241-901B-A3556D9E80FE}"/>
    <cellStyle name="20% - Accent2 2 2 7" xfId="2275" xr:uid="{00000000-0005-0000-0000-0000C8000000}"/>
    <cellStyle name="20% - Accent2 2 2 7 2" xfId="6583" xr:uid="{00000000-0005-0000-0000-0000C9000000}"/>
    <cellStyle name="20% - Accent2 2 2 7 2 2" xfId="15012" xr:uid="{E9541C32-2ACA-48BC-BE75-853063B9B7D4}"/>
    <cellStyle name="20% - Accent2 2 2 7 3" xfId="10794" xr:uid="{A13697A1-9CD0-4022-AD55-4434DBD7134B}"/>
    <cellStyle name="20% - Accent2 2 2 8" xfId="4517" xr:uid="{00000000-0005-0000-0000-0000CA000000}"/>
    <cellStyle name="20% - Accent2 2 2 8 2" xfId="12946" xr:uid="{54139C25-A509-419C-AA9D-FB0DAC30C23F}"/>
    <cellStyle name="20% - Accent2 2 2 9" xfId="8728" xr:uid="{D3846451-7D46-4CA9-B255-5CB2E115C793}"/>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42E86673-B89D-44B4-A170-6A18A54621ED}"/>
    <cellStyle name="20% - Accent2 2 3 2 2 3" xfId="11289" xr:uid="{7D8EBBEC-22FC-49DD-908E-6A28ABB08520}"/>
    <cellStyle name="20% - Accent2 2 3 2 3" xfId="4933" xr:uid="{00000000-0005-0000-0000-0000CF000000}"/>
    <cellStyle name="20% - Accent2 2 3 2 3 2" xfId="13362" xr:uid="{8634F63D-9FAC-4372-BB82-5CE31293C142}"/>
    <cellStyle name="20% - Accent2 2 3 2 4" xfId="9144" xr:uid="{C5FCEA53-9CF8-41CE-BF5A-B41E9616644C}"/>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1F733A25-7691-4E5B-881B-8614312EF13A}"/>
    <cellStyle name="20% - Accent2 2 3 3 2 3" xfId="11702" xr:uid="{312386E9-2229-4273-B34E-D8B234AABEA5}"/>
    <cellStyle name="20% - Accent2 2 3 3 3" xfId="5346" xr:uid="{00000000-0005-0000-0000-0000D3000000}"/>
    <cellStyle name="20% - Accent2 2 3 3 3 2" xfId="13775" xr:uid="{06DE02CE-6842-4162-A502-A459DBFCE9DA}"/>
    <cellStyle name="20% - Accent2 2 3 3 4" xfId="9557" xr:uid="{DAED8CDF-B602-4741-8DFA-68E463A1EAAB}"/>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493CD933-1E43-48FD-8B46-FEA0C61395B1}"/>
    <cellStyle name="20% - Accent2 2 3 4 2 3" xfId="12115" xr:uid="{614C7266-1AFE-4F30-9B1B-2804E9F15777}"/>
    <cellStyle name="20% - Accent2 2 3 4 3" xfId="5759" xr:uid="{00000000-0005-0000-0000-0000D7000000}"/>
    <cellStyle name="20% - Accent2 2 3 4 3 2" xfId="14188" xr:uid="{D8BFBB8A-4F92-4F04-9F61-D759106EA14E}"/>
    <cellStyle name="20% - Accent2 2 3 4 4" xfId="9970" xr:uid="{2FE7E525-49C7-4351-A935-78049CF2AE7A}"/>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5339485C-38F6-40BE-BD3A-B4133FAAA166}"/>
    <cellStyle name="20% - Accent2 2 3 5 2 3" xfId="12528" xr:uid="{F78C3045-057F-4078-830A-FC923AF29821}"/>
    <cellStyle name="20% - Accent2 2 3 5 3" xfId="6172" xr:uid="{00000000-0005-0000-0000-0000DB000000}"/>
    <cellStyle name="20% - Accent2 2 3 5 3 2" xfId="14601" xr:uid="{6CC17DC6-ABC0-4FF7-99BA-81168540C96A}"/>
    <cellStyle name="20% - Accent2 2 3 5 4" xfId="10383" xr:uid="{944AA7E1-5F58-453A-9C72-03A1C459C544}"/>
    <cellStyle name="20% - Accent2 2 3 6" xfId="2277" xr:uid="{00000000-0005-0000-0000-0000DC000000}"/>
    <cellStyle name="20% - Accent2 2 3 6 2" xfId="6585" xr:uid="{00000000-0005-0000-0000-0000DD000000}"/>
    <cellStyle name="20% - Accent2 2 3 6 2 2" xfId="15014" xr:uid="{46E39E4E-5BC7-45B0-AFBE-F8D4F5C73758}"/>
    <cellStyle name="20% - Accent2 2 3 6 3" xfId="10796" xr:uid="{5285349E-7DCB-44B1-B3F9-BCE812CEE824}"/>
    <cellStyle name="20% - Accent2 2 3 7" xfId="4519" xr:uid="{00000000-0005-0000-0000-0000DE000000}"/>
    <cellStyle name="20% - Accent2 2 3 7 2" xfId="12948" xr:uid="{026A2FD5-9B15-4F72-8318-9B44BD76BFA3}"/>
    <cellStyle name="20% - Accent2 2 3 8" xfId="8730" xr:uid="{C3C19FAD-4FEE-4A80-88EA-B15F32259D4B}"/>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9509CF0F-5FBF-4C69-836F-9F50EC0B7243}"/>
    <cellStyle name="20% - Accent2 2 4 2 3" xfId="11286" xr:uid="{4BD79B47-B699-4824-A5F1-910F1B6CD9C5}"/>
    <cellStyle name="20% - Accent2 2 4 3" xfId="4930" xr:uid="{00000000-0005-0000-0000-0000E2000000}"/>
    <cellStyle name="20% - Accent2 2 4 3 2" xfId="13359" xr:uid="{E92F7260-2FB4-42EA-8F75-A4DF86C2D63C}"/>
    <cellStyle name="20% - Accent2 2 4 4" xfId="9141" xr:uid="{068DC04D-B521-4F3F-A45C-BC2BEE052569}"/>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1D0777DD-BF78-4E73-948B-0FD12E83CF92}"/>
    <cellStyle name="20% - Accent2 2 5 2 3" xfId="11699" xr:uid="{C28B2876-1CCF-48B8-BE14-1B687313B90C}"/>
    <cellStyle name="20% - Accent2 2 5 3" xfId="5343" xr:uid="{00000000-0005-0000-0000-0000E6000000}"/>
    <cellStyle name="20% - Accent2 2 5 3 2" xfId="13772" xr:uid="{624740D2-7280-42D3-AE94-F8BCCBAC8E3D}"/>
    <cellStyle name="20% - Accent2 2 5 4" xfId="9554" xr:uid="{485A85B8-79C4-45C9-8FFF-60A65E9CEC07}"/>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7E6F3C91-0AD6-475E-8F58-D7004298560F}"/>
    <cellStyle name="20% - Accent2 2 6 2 3" xfId="12112" xr:uid="{52A70A4B-78BD-4945-9823-F886175CD375}"/>
    <cellStyle name="20% - Accent2 2 6 3" xfId="5756" xr:uid="{00000000-0005-0000-0000-0000EA000000}"/>
    <cellStyle name="20% - Accent2 2 6 3 2" xfId="14185" xr:uid="{2BBC79B1-1F6E-462C-9733-A02295D9C3A4}"/>
    <cellStyle name="20% - Accent2 2 6 4" xfId="9967" xr:uid="{6EAB2A59-FC4C-40F6-8E83-61225F1B96D2}"/>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0E55AAA7-E13F-4912-8C75-F0834B9D7CC4}"/>
    <cellStyle name="20% - Accent2 2 7 2 3" xfId="12525" xr:uid="{7D1B38DC-0412-4BD5-B0E2-25EB13F2F7BA}"/>
    <cellStyle name="20% - Accent2 2 7 3" xfId="6169" xr:uid="{00000000-0005-0000-0000-0000EE000000}"/>
    <cellStyle name="20% - Accent2 2 7 3 2" xfId="14598" xr:uid="{0105B3D6-3953-4633-8E43-24380B2F2F05}"/>
    <cellStyle name="20% - Accent2 2 7 4" xfId="10380" xr:uid="{6EBE0786-B74E-4764-878A-566447D5D140}"/>
    <cellStyle name="20% - Accent2 2 8" xfId="2274" xr:uid="{00000000-0005-0000-0000-0000EF000000}"/>
    <cellStyle name="20% - Accent2 2 8 2" xfId="6582" xr:uid="{00000000-0005-0000-0000-0000F0000000}"/>
    <cellStyle name="20% - Accent2 2 8 2 2" xfId="15011" xr:uid="{F8A3EB3C-30A0-409D-BBED-04961EE90DD4}"/>
    <cellStyle name="20% - Accent2 2 8 3" xfId="10793" xr:uid="{2A56863D-207F-41EE-B545-4D11C0917A8B}"/>
    <cellStyle name="20% - Accent2 2 9" xfId="4516" xr:uid="{00000000-0005-0000-0000-0000F1000000}"/>
    <cellStyle name="20% - Accent2 2 9 2" xfId="12945" xr:uid="{ABA1FF5A-ADA4-407B-9CDD-87C661527316}"/>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252331BB-5BFC-46B1-A70F-F4EC84CE6AD9}"/>
    <cellStyle name="20% - Accent2 3 2 2 2 3" xfId="11291" xr:uid="{1A109396-D8A8-4737-9C2E-835BB38F3D70}"/>
    <cellStyle name="20% - Accent2 3 2 2 3" xfId="4935" xr:uid="{00000000-0005-0000-0000-0000F7000000}"/>
    <cellStyle name="20% - Accent2 3 2 2 3 2" xfId="13364" xr:uid="{F2393005-330F-4CE1-830D-6BE6FD0432B1}"/>
    <cellStyle name="20% - Accent2 3 2 2 4" xfId="9146" xr:uid="{C862FC80-1CBD-41A7-9E2A-F6631F183905}"/>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56FD05B3-159E-427A-9ADB-DBE1402EFE25}"/>
    <cellStyle name="20% - Accent2 3 2 3 2 3" xfId="11704" xr:uid="{49F50BAD-F8DC-4EA4-A0E1-58AEA2E8B234}"/>
    <cellStyle name="20% - Accent2 3 2 3 3" xfId="5348" xr:uid="{00000000-0005-0000-0000-0000FB000000}"/>
    <cellStyle name="20% - Accent2 3 2 3 3 2" xfId="13777" xr:uid="{5442AF87-CC3A-4242-BFE7-2C6AA36DA10D}"/>
    <cellStyle name="20% - Accent2 3 2 3 4" xfId="9559" xr:uid="{46933EEC-0EB8-4306-8450-56D61C9AC01F}"/>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A839C99B-792F-441F-B749-B4D9191C230E}"/>
    <cellStyle name="20% - Accent2 3 2 4 2 3" xfId="12117" xr:uid="{C2DB2EB0-4CDB-4A72-85B1-20FFCE6DC9BC}"/>
    <cellStyle name="20% - Accent2 3 2 4 3" xfId="5761" xr:uid="{00000000-0005-0000-0000-0000FF000000}"/>
    <cellStyle name="20% - Accent2 3 2 4 3 2" xfId="14190" xr:uid="{F5D1DB9B-9E65-4AFB-A82E-F2CA4F9EED37}"/>
    <cellStyle name="20% - Accent2 3 2 4 4" xfId="9972" xr:uid="{FC2E89C2-053C-4189-9304-93CC2E131849}"/>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61754917-FB89-49D4-A7DB-31E99096A719}"/>
    <cellStyle name="20% - Accent2 3 2 5 2 3" xfId="12530" xr:uid="{68243733-D70C-4C41-A000-A99391F1BA29}"/>
    <cellStyle name="20% - Accent2 3 2 5 3" xfId="6174" xr:uid="{00000000-0005-0000-0000-000003010000}"/>
    <cellStyle name="20% - Accent2 3 2 5 3 2" xfId="14603" xr:uid="{88E5CBDF-C1BD-49C5-AB10-CC823FDAA3BC}"/>
    <cellStyle name="20% - Accent2 3 2 5 4" xfId="10385" xr:uid="{B04A839D-00A2-4201-B4F7-7882236A8617}"/>
    <cellStyle name="20% - Accent2 3 2 6" xfId="2279" xr:uid="{00000000-0005-0000-0000-000004010000}"/>
    <cellStyle name="20% - Accent2 3 2 6 2" xfId="6587" xr:uid="{00000000-0005-0000-0000-000005010000}"/>
    <cellStyle name="20% - Accent2 3 2 6 2 2" xfId="15016" xr:uid="{6CB2E932-001D-4CF6-AEE7-16B95861EE50}"/>
    <cellStyle name="20% - Accent2 3 2 6 3" xfId="10798" xr:uid="{E180F3F1-A6A3-4D6B-BE44-4D4B5FBFFCDE}"/>
    <cellStyle name="20% - Accent2 3 2 7" xfId="4521" xr:uid="{00000000-0005-0000-0000-000006010000}"/>
    <cellStyle name="20% - Accent2 3 2 7 2" xfId="12950" xr:uid="{CFA1994A-35FC-4F7A-95D2-9533941D05D3}"/>
    <cellStyle name="20% - Accent2 3 2 8" xfId="8732" xr:uid="{E31662C5-A5C9-43CE-A902-450D3C3D643C}"/>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A2602889-74E1-4EF7-8ED2-214E79BBA10B}"/>
    <cellStyle name="20% - Accent2 3 3 2 3" xfId="11290" xr:uid="{1C423A4D-04C9-4BE6-ACD0-83ED398FA2C3}"/>
    <cellStyle name="20% - Accent2 3 3 3" xfId="4934" xr:uid="{00000000-0005-0000-0000-00000A010000}"/>
    <cellStyle name="20% - Accent2 3 3 3 2" xfId="13363" xr:uid="{092E7FD5-2E04-4F0E-82D8-875C9032E26F}"/>
    <cellStyle name="20% - Accent2 3 3 4" xfId="9145" xr:uid="{4C71900F-AEFA-4F49-B332-23E9CFA20A19}"/>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05C48738-3750-4E44-AFD4-590C73A86441}"/>
    <cellStyle name="20% - Accent2 3 4 2 3" xfId="11703" xr:uid="{A8E14166-B814-472E-9185-74AA9B40AE29}"/>
    <cellStyle name="20% - Accent2 3 4 3" xfId="5347" xr:uid="{00000000-0005-0000-0000-00000E010000}"/>
    <cellStyle name="20% - Accent2 3 4 3 2" xfId="13776" xr:uid="{9A51E26D-87A7-4625-832F-9CF539FADFE9}"/>
    <cellStyle name="20% - Accent2 3 4 4" xfId="9558" xr:uid="{7AA4C806-E320-4C14-B5D5-523861DF2688}"/>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57EDB659-D9D8-48D7-BCDF-08254F0112E2}"/>
    <cellStyle name="20% - Accent2 3 5 2 3" xfId="12116" xr:uid="{11A8C818-D81D-44D4-90EF-035D610C42B0}"/>
    <cellStyle name="20% - Accent2 3 5 3" xfId="5760" xr:uid="{00000000-0005-0000-0000-000012010000}"/>
    <cellStyle name="20% - Accent2 3 5 3 2" xfId="14189" xr:uid="{6D2CE28F-D7FE-440A-9250-FDBCB67E0645}"/>
    <cellStyle name="20% - Accent2 3 5 4" xfId="9971" xr:uid="{97507AF4-1860-463D-BA02-57EE98221711}"/>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95FA346C-236A-4BCF-AD55-4A69C69B94D2}"/>
    <cellStyle name="20% - Accent2 3 6 2 3" xfId="12529" xr:uid="{DFB5860C-972B-433B-8028-F09AB31A2A53}"/>
    <cellStyle name="20% - Accent2 3 6 3" xfId="6173" xr:uid="{00000000-0005-0000-0000-000016010000}"/>
    <cellStyle name="20% - Accent2 3 6 3 2" xfId="14602" xr:uid="{E9394806-3B9C-4AB5-839A-4E8A3D6E90AA}"/>
    <cellStyle name="20% - Accent2 3 6 4" xfId="10384" xr:uid="{AD0F88B4-3F15-4433-A575-B1FAAFC53B7F}"/>
    <cellStyle name="20% - Accent2 3 7" xfId="2278" xr:uid="{00000000-0005-0000-0000-000017010000}"/>
    <cellStyle name="20% - Accent2 3 7 2" xfId="6586" xr:uid="{00000000-0005-0000-0000-000018010000}"/>
    <cellStyle name="20% - Accent2 3 7 2 2" xfId="15015" xr:uid="{BD19A57F-3C8E-46D3-ABFE-BC4C4FF44A28}"/>
    <cellStyle name="20% - Accent2 3 7 3" xfId="10797" xr:uid="{AB9ACAC9-60DF-455F-A895-98AB43A09EFB}"/>
    <cellStyle name="20% - Accent2 3 8" xfId="4520" xr:uid="{00000000-0005-0000-0000-000019010000}"/>
    <cellStyle name="20% - Accent2 3 8 2" xfId="12949" xr:uid="{5AF6BDA7-85FC-4292-BB0B-610E41F5A999}"/>
    <cellStyle name="20% - Accent2 3 9" xfId="8731" xr:uid="{C706D0C3-61DD-4BEE-8215-625697FED14B}"/>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B1933C3E-F5B8-4B9A-9397-635792E7E71A}"/>
    <cellStyle name="20% - Accent2 4 2 2 3" xfId="11292" xr:uid="{4F014B6A-3595-41A7-8957-DAFB2C1E3E8C}"/>
    <cellStyle name="20% - Accent2 4 2 3" xfId="4936" xr:uid="{00000000-0005-0000-0000-00001E010000}"/>
    <cellStyle name="20% - Accent2 4 2 3 2" xfId="13365" xr:uid="{CDACC2BF-3BE6-4B51-AB89-45387E41833E}"/>
    <cellStyle name="20% - Accent2 4 2 4" xfId="9147" xr:uid="{B7E90E5D-BF7F-4FC4-A5BB-FF7D25C0FD48}"/>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7AAD691C-6CFE-4BC0-9508-92F3B61C4707}"/>
    <cellStyle name="20% - Accent2 4 3 2 3" xfId="11705" xr:uid="{86DEDB15-6787-4043-9A4C-B625024057B5}"/>
    <cellStyle name="20% - Accent2 4 3 3" xfId="5349" xr:uid="{00000000-0005-0000-0000-000022010000}"/>
    <cellStyle name="20% - Accent2 4 3 3 2" xfId="13778" xr:uid="{66EF83E8-3392-4CA9-A2C2-5FC2B66FFF2C}"/>
    <cellStyle name="20% - Accent2 4 3 4" xfId="9560" xr:uid="{B02169AD-F4FF-48E2-A626-54F555B043D0}"/>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6A85AB38-85B0-41E8-8A7C-C6E309E2C9C3}"/>
    <cellStyle name="20% - Accent2 4 4 2 3" xfId="12118" xr:uid="{29C9907A-ACEE-4CC6-A6C5-268355ECCA63}"/>
    <cellStyle name="20% - Accent2 4 4 3" xfId="5762" xr:uid="{00000000-0005-0000-0000-000026010000}"/>
    <cellStyle name="20% - Accent2 4 4 3 2" xfId="14191" xr:uid="{A13C7460-9397-4B1E-AF60-7F45D0996801}"/>
    <cellStyle name="20% - Accent2 4 4 4" xfId="9973" xr:uid="{5F4504AC-BF0F-4A8F-9972-E14DD399625B}"/>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ED2E6397-B4E2-49B8-B711-275DD47FB947}"/>
    <cellStyle name="20% - Accent2 4 5 2 3" xfId="12531" xr:uid="{3A804CE8-825F-411C-93B2-B515CA16EF03}"/>
    <cellStyle name="20% - Accent2 4 5 3" xfId="6175" xr:uid="{00000000-0005-0000-0000-00002A010000}"/>
    <cellStyle name="20% - Accent2 4 5 3 2" xfId="14604" xr:uid="{53846BB6-DBB0-4A9F-84A5-279385DEB4B6}"/>
    <cellStyle name="20% - Accent2 4 5 4" xfId="10386" xr:uid="{F59FEA30-3D1E-4554-8D07-CB8FE4E32CED}"/>
    <cellStyle name="20% - Accent2 4 6" xfId="2280" xr:uid="{00000000-0005-0000-0000-00002B010000}"/>
    <cellStyle name="20% - Accent2 4 6 2" xfId="6588" xr:uid="{00000000-0005-0000-0000-00002C010000}"/>
    <cellStyle name="20% - Accent2 4 6 2 2" xfId="15017" xr:uid="{D3AE8FC4-47BA-4448-B4FF-A7E6A09662AC}"/>
    <cellStyle name="20% - Accent2 4 6 3" xfId="10799" xr:uid="{2D33EF4F-F595-46BC-9367-956A40A380A2}"/>
    <cellStyle name="20% - Accent2 4 7" xfId="4522" xr:uid="{00000000-0005-0000-0000-00002D010000}"/>
    <cellStyle name="20% - Accent2 4 7 2" xfId="12951" xr:uid="{1C3F134F-300C-429D-A016-844E8876AFA9}"/>
    <cellStyle name="20% - Accent2 4 8" xfId="8733" xr:uid="{696EE21F-58E1-427B-8435-244DC0F50400}"/>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D89F61BF-F652-4686-9851-9E314F9C59CB}"/>
    <cellStyle name="20% - Accent2 5 2 3" xfId="11285" xr:uid="{927566B1-98F5-4CA3-8236-80F3F45AB8C2}"/>
    <cellStyle name="20% - Accent2 5 3" xfId="4929" xr:uid="{00000000-0005-0000-0000-000031010000}"/>
    <cellStyle name="20% - Accent2 5 3 2" xfId="13358" xr:uid="{02476185-3482-482D-982E-D0C0D4DE2BFF}"/>
    <cellStyle name="20% - Accent2 5 4" xfId="9140" xr:uid="{A0DA54AE-B661-4ACB-9D60-52F53CB02690}"/>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590D0E6F-8228-4229-9EFE-F74B1B394A32}"/>
    <cellStyle name="20% - Accent2 6 2 3" xfId="11698" xr:uid="{BA01EE47-F249-42D8-9501-1615D12799CB}"/>
    <cellStyle name="20% - Accent2 6 3" xfId="5342" xr:uid="{00000000-0005-0000-0000-000035010000}"/>
    <cellStyle name="20% - Accent2 6 3 2" xfId="13771" xr:uid="{11D08F88-709E-4254-9401-DF98B0011347}"/>
    <cellStyle name="20% - Accent2 6 4" xfId="9553" xr:uid="{15858E7C-775A-4905-BEA9-4E75A87F30EB}"/>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F14995D2-772F-4995-986E-AFDDD4436B24}"/>
    <cellStyle name="20% - Accent2 7 2 3" xfId="12111" xr:uid="{B7B34720-B8B8-46CA-8FC1-72BBAD8A99D8}"/>
    <cellStyle name="20% - Accent2 7 3" xfId="5755" xr:uid="{00000000-0005-0000-0000-000039010000}"/>
    <cellStyle name="20% - Accent2 7 3 2" xfId="14184" xr:uid="{A5C1DA5C-3BCC-4032-8CD6-335F6876D830}"/>
    <cellStyle name="20% - Accent2 7 4" xfId="9966" xr:uid="{C78B589B-2ED3-4677-8BAF-EAE9837761CE}"/>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9ED5FDE6-5E7D-4189-A625-44C13599227A}"/>
    <cellStyle name="20% - Accent2 8 2 3" xfId="12524" xr:uid="{82255B98-1A6F-4B57-AE04-22176196A731}"/>
    <cellStyle name="20% - Accent2 8 3" xfId="6168" xr:uid="{00000000-0005-0000-0000-00003D010000}"/>
    <cellStyle name="20% - Accent2 8 3 2" xfId="14597" xr:uid="{95913E0A-5F24-4E73-8939-21C499FB5C42}"/>
    <cellStyle name="20% - Accent2 8 4" xfId="10379" xr:uid="{17FEA57B-F4EE-418A-BB4C-C0B4C3ED6C05}"/>
    <cellStyle name="20% - Accent2 9" xfId="2273" xr:uid="{00000000-0005-0000-0000-00003E010000}"/>
    <cellStyle name="20% - Accent2 9 2" xfId="6581" xr:uid="{00000000-0005-0000-0000-00003F010000}"/>
    <cellStyle name="20% - Accent2 9 2 2" xfId="15010" xr:uid="{EF1B34F7-B5C1-45C7-8034-8E5770D5E0D5}"/>
    <cellStyle name="20% - Accent2 9 3" xfId="10792" xr:uid="{19C8EEC3-2400-46E6-9D27-46219A508D99}"/>
    <cellStyle name="20% - Accent3" xfId="17" builtinId="38" customBuiltin="1"/>
    <cellStyle name="20% - Accent3 10" xfId="4523" xr:uid="{00000000-0005-0000-0000-000041010000}"/>
    <cellStyle name="20% - Accent3 10 2" xfId="12952" xr:uid="{87E164CC-D971-46A8-95AB-4D0AC336B9B5}"/>
    <cellStyle name="20% - Accent3 11" xfId="8734" xr:uid="{6C13E586-3B48-447D-922F-C7DFFECED2A7}"/>
    <cellStyle name="20% - Accent3 2" xfId="18" xr:uid="{00000000-0005-0000-0000-000042010000}"/>
    <cellStyle name="20% - Accent3 2 10" xfId="8735" xr:uid="{4E806ED0-A931-4A43-A383-2357C4F8F9FA}"/>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F0EE91F2-A767-4024-A28E-F187AB97EDAC}"/>
    <cellStyle name="20% - Accent3 2 2 2 2 2 3" xfId="11296" xr:uid="{2EC3906C-55D6-458B-ACB2-AF310A63D6B3}"/>
    <cellStyle name="20% - Accent3 2 2 2 2 3" xfId="4940" xr:uid="{00000000-0005-0000-0000-000048010000}"/>
    <cellStyle name="20% - Accent3 2 2 2 2 3 2" xfId="13369" xr:uid="{0C75C9DB-7AEC-4DF2-8C03-DB2E94B5C497}"/>
    <cellStyle name="20% - Accent3 2 2 2 2 4" xfId="9151" xr:uid="{8F10DB72-6662-41B5-9E14-1E5846AC3431}"/>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0EB473F1-8013-43AD-8A11-6B817BE6E051}"/>
    <cellStyle name="20% - Accent3 2 2 2 3 2 3" xfId="11709" xr:uid="{4256318A-7FB8-4C00-8D57-BC9BCD79B87F}"/>
    <cellStyle name="20% - Accent3 2 2 2 3 3" xfId="5353" xr:uid="{00000000-0005-0000-0000-00004C010000}"/>
    <cellStyle name="20% - Accent3 2 2 2 3 3 2" xfId="13782" xr:uid="{65107C9B-D605-4DC1-BE22-ED52D8C716AF}"/>
    <cellStyle name="20% - Accent3 2 2 2 3 4" xfId="9564" xr:uid="{2C6CDA70-F2F1-4555-9526-C0DB2100F373}"/>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61A59026-72A3-4A2B-A6B2-B676771454F7}"/>
    <cellStyle name="20% - Accent3 2 2 2 4 2 3" xfId="12122" xr:uid="{4561B82B-B5E7-499E-8062-ABCFDD32CE97}"/>
    <cellStyle name="20% - Accent3 2 2 2 4 3" xfId="5766" xr:uid="{00000000-0005-0000-0000-000050010000}"/>
    <cellStyle name="20% - Accent3 2 2 2 4 3 2" xfId="14195" xr:uid="{6DE572D4-26E7-4367-A469-1E159CF81B46}"/>
    <cellStyle name="20% - Accent3 2 2 2 4 4" xfId="9977" xr:uid="{473099BB-3EE6-433A-B446-E0459F2931ED}"/>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18168538-87F9-47AF-B928-B7C9148ED9B8}"/>
    <cellStyle name="20% - Accent3 2 2 2 5 2 3" xfId="12535" xr:uid="{48191B25-724D-4704-A227-447AC95A6747}"/>
    <cellStyle name="20% - Accent3 2 2 2 5 3" xfId="6179" xr:uid="{00000000-0005-0000-0000-000054010000}"/>
    <cellStyle name="20% - Accent3 2 2 2 5 3 2" xfId="14608" xr:uid="{F2554A9F-3C30-4B70-A83B-6A7F043DC1A3}"/>
    <cellStyle name="20% - Accent3 2 2 2 5 4" xfId="10390" xr:uid="{418F7966-D260-4A26-AAEF-2210214956CC}"/>
    <cellStyle name="20% - Accent3 2 2 2 6" xfId="2284" xr:uid="{00000000-0005-0000-0000-000055010000}"/>
    <cellStyle name="20% - Accent3 2 2 2 6 2" xfId="6592" xr:uid="{00000000-0005-0000-0000-000056010000}"/>
    <cellStyle name="20% - Accent3 2 2 2 6 2 2" xfId="15021" xr:uid="{DA9A0543-4345-42C2-919A-C9EE4B3E9785}"/>
    <cellStyle name="20% - Accent3 2 2 2 6 3" xfId="10803" xr:uid="{90097DB2-262F-49EA-8E6C-838BA81FC42C}"/>
    <cellStyle name="20% - Accent3 2 2 2 7" xfId="4526" xr:uid="{00000000-0005-0000-0000-000057010000}"/>
    <cellStyle name="20% - Accent3 2 2 2 7 2" xfId="12955" xr:uid="{EB733E30-DCBA-432C-99AE-6FB1C044F300}"/>
    <cellStyle name="20% - Accent3 2 2 2 8" xfId="8737" xr:uid="{7F99D678-BE27-4E45-83B4-3326E4351629}"/>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CE7AECE8-C114-45DA-A8DA-4A67B00666FD}"/>
    <cellStyle name="20% - Accent3 2 2 3 2 3" xfId="11295" xr:uid="{801F6696-67EA-47C1-AB76-82450DE952DB}"/>
    <cellStyle name="20% - Accent3 2 2 3 3" xfId="4939" xr:uid="{00000000-0005-0000-0000-00005B010000}"/>
    <cellStyle name="20% - Accent3 2 2 3 3 2" xfId="13368" xr:uid="{036FDB78-937A-48EF-A428-A5846D2DE35C}"/>
    <cellStyle name="20% - Accent3 2 2 3 4" xfId="9150" xr:uid="{CA9241E4-3F8A-4655-9EB2-0E3DA30E39EF}"/>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2177131C-430D-4D0B-B0C1-1D307E5ED8E4}"/>
    <cellStyle name="20% - Accent3 2 2 4 2 3" xfId="11708" xr:uid="{EFE4CA90-E77D-47FC-8900-863FEDBB0BBF}"/>
    <cellStyle name="20% - Accent3 2 2 4 3" xfId="5352" xr:uid="{00000000-0005-0000-0000-00005F010000}"/>
    <cellStyle name="20% - Accent3 2 2 4 3 2" xfId="13781" xr:uid="{2C7D08C3-0210-48CE-AEA9-4B3A555B8189}"/>
    <cellStyle name="20% - Accent3 2 2 4 4" xfId="9563" xr:uid="{48ED1FED-D85C-4F00-BD05-4344050B58DF}"/>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8B5AB0E5-61AC-4446-9243-76DDAB45DD8B}"/>
    <cellStyle name="20% - Accent3 2 2 5 2 3" xfId="12121" xr:uid="{E60C4AF4-7E64-476C-9823-0F5C2AA83B6F}"/>
    <cellStyle name="20% - Accent3 2 2 5 3" xfId="5765" xr:uid="{00000000-0005-0000-0000-000063010000}"/>
    <cellStyle name="20% - Accent3 2 2 5 3 2" xfId="14194" xr:uid="{30C2B101-EEEF-4B30-AF56-34B2109D7807}"/>
    <cellStyle name="20% - Accent3 2 2 5 4" xfId="9976" xr:uid="{30964D8D-BDE3-4142-B93B-F67600C72DCE}"/>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398F34F7-A25F-4140-A4A3-AEED02B5AFD0}"/>
    <cellStyle name="20% - Accent3 2 2 6 2 3" xfId="12534" xr:uid="{F66BDB40-54BD-4DB0-BC09-7A2F3532A714}"/>
    <cellStyle name="20% - Accent3 2 2 6 3" xfId="6178" xr:uid="{00000000-0005-0000-0000-000067010000}"/>
    <cellStyle name="20% - Accent3 2 2 6 3 2" xfId="14607" xr:uid="{E81B2B37-417C-45C1-9802-A2A9A46FA558}"/>
    <cellStyle name="20% - Accent3 2 2 6 4" xfId="10389" xr:uid="{6B01A46C-E00B-4ED9-94E9-9131E684BE67}"/>
    <cellStyle name="20% - Accent3 2 2 7" xfId="2283" xr:uid="{00000000-0005-0000-0000-000068010000}"/>
    <cellStyle name="20% - Accent3 2 2 7 2" xfId="6591" xr:uid="{00000000-0005-0000-0000-000069010000}"/>
    <cellStyle name="20% - Accent3 2 2 7 2 2" xfId="15020" xr:uid="{E45AD051-6D14-4CCB-BF50-79D83DC86E73}"/>
    <cellStyle name="20% - Accent3 2 2 7 3" xfId="10802" xr:uid="{C063FC6C-AA5A-4023-95FA-D8F269099E0D}"/>
    <cellStyle name="20% - Accent3 2 2 8" xfId="4525" xr:uid="{00000000-0005-0000-0000-00006A010000}"/>
    <cellStyle name="20% - Accent3 2 2 8 2" xfId="12954" xr:uid="{ABE8DB39-E891-4826-A188-654CA12D7EB4}"/>
    <cellStyle name="20% - Accent3 2 2 9" xfId="8736" xr:uid="{A5684C32-550F-4EC0-B19F-B06AEFA114D5}"/>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CFA6DDC4-5025-413D-81C9-6003EDCAC0B8}"/>
    <cellStyle name="20% - Accent3 2 3 2 2 3" xfId="11297" xr:uid="{65683E13-6558-47C7-B7A9-A79116997FB6}"/>
    <cellStyle name="20% - Accent3 2 3 2 3" xfId="4941" xr:uid="{00000000-0005-0000-0000-00006F010000}"/>
    <cellStyle name="20% - Accent3 2 3 2 3 2" xfId="13370" xr:uid="{3DED693A-87B9-455B-B6BC-11F2759624BC}"/>
    <cellStyle name="20% - Accent3 2 3 2 4" xfId="9152" xr:uid="{81C0A42C-2FF5-45DD-A12E-653E14F5730E}"/>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569A2185-83E1-447C-98D9-3C8FAE7F9903}"/>
    <cellStyle name="20% - Accent3 2 3 3 2 3" xfId="11710" xr:uid="{5434344B-AF27-44C1-8195-ECED893A51A0}"/>
    <cellStyle name="20% - Accent3 2 3 3 3" xfId="5354" xr:uid="{00000000-0005-0000-0000-000073010000}"/>
    <cellStyle name="20% - Accent3 2 3 3 3 2" xfId="13783" xr:uid="{0C0A4097-9642-4B88-AB68-A28A50FECBBC}"/>
    <cellStyle name="20% - Accent3 2 3 3 4" xfId="9565" xr:uid="{9D5E67CD-257A-4E41-BFEE-5FDCFCABCA53}"/>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E702F90D-FBD5-476C-B137-F98E69B645C5}"/>
    <cellStyle name="20% - Accent3 2 3 4 2 3" xfId="12123" xr:uid="{C8C48C76-28E0-4290-A21B-173F91947D8D}"/>
    <cellStyle name="20% - Accent3 2 3 4 3" xfId="5767" xr:uid="{00000000-0005-0000-0000-000077010000}"/>
    <cellStyle name="20% - Accent3 2 3 4 3 2" xfId="14196" xr:uid="{FE3A42A5-0B92-49B0-B71E-A5DBE43FD5B4}"/>
    <cellStyle name="20% - Accent3 2 3 4 4" xfId="9978" xr:uid="{738C1403-CBF2-493A-9122-F965C0B57E57}"/>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0F638AE5-96DA-45FE-AEF6-38EA01A1083A}"/>
    <cellStyle name="20% - Accent3 2 3 5 2 3" xfId="12536" xr:uid="{4C95DBBB-1383-4A6D-8F35-3CE72EBF68F1}"/>
    <cellStyle name="20% - Accent3 2 3 5 3" xfId="6180" xr:uid="{00000000-0005-0000-0000-00007B010000}"/>
    <cellStyle name="20% - Accent3 2 3 5 3 2" xfId="14609" xr:uid="{6D998C32-D3A7-44C5-B3D7-44CCB8E5F1DF}"/>
    <cellStyle name="20% - Accent3 2 3 5 4" xfId="10391" xr:uid="{5FFF7AE7-113D-4176-9266-C9D32FCE1016}"/>
    <cellStyle name="20% - Accent3 2 3 6" xfId="2285" xr:uid="{00000000-0005-0000-0000-00007C010000}"/>
    <cellStyle name="20% - Accent3 2 3 6 2" xfId="6593" xr:uid="{00000000-0005-0000-0000-00007D010000}"/>
    <cellStyle name="20% - Accent3 2 3 6 2 2" xfId="15022" xr:uid="{57E7357C-E9C2-4294-A1B5-E7226326903F}"/>
    <cellStyle name="20% - Accent3 2 3 6 3" xfId="10804" xr:uid="{1B9E26B7-B3FF-420B-AF25-744B10B813AA}"/>
    <cellStyle name="20% - Accent3 2 3 7" xfId="4527" xr:uid="{00000000-0005-0000-0000-00007E010000}"/>
    <cellStyle name="20% - Accent3 2 3 7 2" xfId="12956" xr:uid="{6C3DDFF1-5FE0-4CDD-8DC3-B9A663B7C69B}"/>
    <cellStyle name="20% - Accent3 2 3 8" xfId="8738" xr:uid="{2CDA873D-028D-4AB3-8A85-0314B77D723C}"/>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7C8C4B00-10CD-42BD-8EDE-600FBAF0DF27}"/>
    <cellStyle name="20% - Accent3 2 4 2 3" xfId="11294" xr:uid="{CDFB2CD2-0357-4F28-8AA8-E017B5EB03CB}"/>
    <cellStyle name="20% - Accent3 2 4 3" xfId="4938" xr:uid="{00000000-0005-0000-0000-000082010000}"/>
    <cellStyle name="20% - Accent3 2 4 3 2" xfId="13367" xr:uid="{7DD44166-DF6F-43F2-9525-B2230FB8000D}"/>
    <cellStyle name="20% - Accent3 2 4 4" xfId="9149" xr:uid="{526E9D3F-B8F0-4A2F-B81B-6FB07FF08BC5}"/>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B68723D7-C7EA-4C9A-9C16-4FA3362BDFC4}"/>
    <cellStyle name="20% - Accent3 2 5 2 3" xfId="11707" xr:uid="{71077ABE-B657-434E-9D18-28DBA1E1E50C}"/>
    <cellStyle name="20% - Accent3 2 5 3" xfId="5351" xr:uid="{00000000-0005-0000-0000-000086010000}"/>
    <cellStyle name="20% - Accent3 2 5 3 2" xfId="13780" xr:uid="{73E99161-DE3A-4698-B0C3-A85A86239F1F}"/>
    <cellStyle name="20% - Accent3 2 5 4" xfId="9562" xr:uid="{23740F40-7661-441C-9E3D-74E0AB1DADDE}"/>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07B6329E-A74B-4F9E-A804-B10B9833132B}"/>
    <cellStyle name="20% - Accent3 2 6 2 3" xfId="12120" xr:uid="{13DA0BB3-8A87-4507-A4A7-8DCE5A38D828}"/>
    <cellStyle name="20% - Accent3 2 6 3" xfId="5764" xr:uid="{00000000-0005-0000-0000-00008A010000}"/>
    <cellStyle name="20% - Accent3 2 6 3 2" xfId="14193" xr:uid="{6292B023-3EB7-41ED-8AAB-745CFD4565E4}"/>
    <cellStyle name="20% - Accent3 2 6 4" xfId="9975" xr:uid="{741123ED-CC78-41D5-9948-6F28A7785524}"/>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99786743-3B08-4CE5-BDDB-657918006A9B}"/>
    <cellStyle name="20% - Accent3 2 7 2 3" xfId="12533" xr:uid="{8F023C60-22F3-44F4-9DA9-422993CED5BB}"/>
    <cellStyle name="20% - Accent3 2 7 3" xfId="6177" xr:uid="{00000000-0005-0000-0000-00008E010000}"/>
    <cellStyle name="20% - Accent3 2 7 3 2" xfId="14606" xr:uid="{4B1739B6-05EA-4B66-9981-85329476EF5B}"/>
    <cellStyle name="20% - Accent3 2 7 4" xfId="10388" xr:uid="{9A64B354-6F20-4108-BB4E-CBB178491C6E}"/>
    <cellStyle name="20% - Accent3 2 8" xfId="2282" xr:uid="{00000000-0005-0000-0000-00008F010000}"/>
    <cellStyle name="20% - Accent3 2 8 2" xfId="6590" xr:uid="{00000000-0005-0000-0000-000090010000}"/>
    <cellStyle name="20% - Accent3 2 8 2 2" xfId="15019" xr:uid="{DBD88C92-58DF-49EF-8A9A-1E4669E3E8B2}"/>
    <cellStyle name="20% - Accent3 2 8 3" xfId="10801" xr:uid="{963E9098-8B7B-4761-BD81-8D9E127B9ABE}"/>
    <cellStyle name="20% - Accent3 2 9" xfId="4524" xr:uid="{00000000-0005-0000-0000-000091010000}"/>
    <cellStyle name="20% - Accent3 2 9 2" xfId="12953" xr:uid="{F0E17621-6FF2-4364-9B6D-E82A5C3B58A5}"/>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E21CFF30-EBAD-4B56-9D98-5BC25DC00C41}"/>
    <cellStyle name="20% - Accent3 3 2 2 2 3" xfId="11299" xr:uid="{0F6E745D-5B2E-4CAF-86CF-E7537DAA378D}"/>
    <cellStyle name="20% - Accent3 3 2 2 3" xfId="4943" xr:uid="{00000000-0005-0000-0000-000097010000}"/>
    <cellStyle name="20% - Accent3 3 2 2 3 2" xfId="13372" xr:uid="{2F1C065D-2663-40A1-BC35-1E596F76AE2B}"/>
    <cellStyle name="20% - Accent3 3 2 2 4" xfId="9154" xr:uid="{F65CBB62-2B64-4D37-B6BD-1A7FB8A71CD4}"/>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5BC643BE-F145-4F93-9706-E850C9415F16}"/>
    <cellStyle name="20% - Accent3 3 2 3 2 3" xfId="11712" xr:uid="{78D2A168-EE26-451F-9E6B-9C74E90BE708}"/>
    <cellStyle name="20% - Accent3 3 2 3 3" xfId="5356" xr:uid="{00000000-0005-0000-0000-00009B010000}"/>
    <cellStyle name="20% - Accent3 3 2 3 3 2" xfId="13785" xr:uid="{4281B685-267E-4C1A-B5F3-32E46795ED5E}"/>
    <cellStyle name="20% - Accent3 3 2 3 4" xfId="9567" xr:uid="{A708F038-7469-4FA3-8205-333D065D9E0F}"/>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11E7D210-D218-4999-B9F4-E77E40817100}"/>
    <cellStyle name="20% - Accent3 3 2 4 2 3" xfId="12125" xr:uid="{280F50AC-3C9C-47E8-AF0C-2822EE5176A8}"/>
    <cellStyle name="20% - Accent3 3 2 4 3" xfId="5769" xr:uid="{00000000-0005-0000-0000-00009F010000}"/>
    <cellStyle name="20% - Accent3 3 2 4 3 2" xfId="14198" xr:uid="{887D83C2-1C06-4FEA-887A-58DB56DBD669}"/>
    <cellStyle name="20% - Accent3 3 2 4 4" xfId="9980" xr:uid="{62056EC7-9C98-407B-8CB8-3EE76BFA0D0E}"/>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46E25C00-D5C5-4808-8C1E-139223B27EA1}"/>
    <cellStyle name="20% - Accent3 3 2 5 2 3" xfId="12538" xr:uid="{41C44414-528F-4F0D-AF5E-4DD0A00B7FC8}"/>
    <cellStyle name="20% - Accent3 3 2 5 3" xfId="6182" xr:uid="{00000000-0005-0000-0000-0000A3010000}"/>
    <cellStyle name="20% - Accent3 3 2 5 3 2" xfId="14611" xr:uid="{70BF78A2-FB72-4C1F-8091-122618E741EE}"/>
    <cellStyle name="20% - Accent3 3 2 5 4" xfId="10393" xr:uid="{AA0E074E-6CAA-4D87-AD75-CEF150E7AAB2}"/>
    <cellStyle name="20% - Accent3 3 2 6" xfId="2287" xr:uid="{00000000-0005-0000-0000-0000A4010000}"/>
    <cellStyle name="20% - Accent3 3 2 6 2" xfId="6595" xr:uid="{00000000-0005-0000-0000-0000A5010000}"/>
    <cellStyle name="20% - Accent3 3 2 6 2 2" xfId="15024" xr:uid="{0C66D5D0-453C-4CA6-828D-E5804455C633}"/>
    <cellStyle name="20% - Accent3 3 2 6 3" xfId="10806" xr:uid="{A88D22AF-3788-41BA-8FA4-61D4A0073CE9}"/>
    <cellStyle name="20% - Accent3 3 2 7" xfId="4529" xr:uid="{00000000-0005-0000-0000-0000A6010000}"/>
    <cellStyle name="20% - Accent3 3 2 7 2" xfId="12958" xr:uid="{A2C30894-CB2A-4179-8DD8-2086CC264158}"/>
    <cellStyle name="20% - Accent3 3 2 8" xfId="8740" xr:uid="{EBF47E75-8D3B-4297-8E3C-4682FA3102BC}"/>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EA85815B-8506-4FF0-AEEF-A94EB0A966DD}"/>
    <cellStyle name="20% - Accent3 3 3 2 3" xfId="11298" xr:uid="{B9934F31-ED5A-4CAC-83A4-24510E92A5EF}"/>
    <cellStyle name="20% - Accent3 3 3 3" xfId="4942" xr:uid="{00000000-0005-0000-0000-0000AA010000}"/>
    <cellStyle name="20% - Accent3 3 3 3 2" xfId="13371" xr:uid="{0CC62D53-EFEC-4087-B313-0972511D84AD}"/>
    <cellStyle name="20% - Accent3 3 3 4" xfId="9153" xr:uid="{6F6458A4-85CD-44B7-BF5C-F46D5546E6D2}"/>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BD0F474C-30DD-4244-86FE-44799BE0579A}"/>
    <cellStyle name="20% - Accent3 3 4 2 3" xfId="11711" xr:uid="{78C9DC21-665D-46C5-B1AC-A04A7D3D82CD}"/>
    <cellStyle name="20% - Accent3 3 4 3" xfId="5355" xr:uid="{00000000-0005-0000-0000-0000AE010000}"/>
    <cellStyle name="20% - Accent3 3 4 3 2" xfId="13784" xr:uid="{6D96228B-AE5D-4E65-8931-95AAA51AF087}"/>
    <cellStyle name="20% - Accent3 3 4 4" xfId="9566" xr:uid="{2E3435FD-BCCD-4BCD-A7DE-9F7720213EBE}"/>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3BD1A701-04D2-4012-908A-F20452F7768D}"/>
    <cellStyle name="20% - Accent3 3 5 2 3" xfId="12124" xr:uid="{3C66593A-8823-43A0-8F2B-ED1FFD0FDC70}"/>
    <cellStyle name="20% - Accent3 3 5 3" xfId="5768" xr:uid="{00000000-0005-0000-0000-0000B2010000}"/>
    <cellStyle name="20% - Accent3 3 5 3 2" xfId="14197" xr:uid="{AD002251-A86A-4764-A025-36BCC76662CF}"/>
    <cellStyle name="20% - Accent3 3 5 4" xfId="9979" xr:uid="{2EB836EE-1AF9-432A-9AC9-147E36AE9924}"/>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68CF3A6D-9FF8-49BA-BB8D-A38FFB306088}"/>
    <cellStyle name="20% - Accent3 3 6 2 3" xfId="12537" xr:uid="{266EF516-9DFC-4655-A6E5-D2BB04FDEB67}"/>
    <cellStyle name="20% - Accent3 3 6 3" xfId="6181" xr:uid="{00000000-0005-0000-0000-0000B6010000}"/>
    <cellStyle name="20% - Accent3 3 6 3 2" xfId="14610" xr:uid="{E160EE31-D8F0-4A9A-B527-03918464920B}"/>
    <cellStyle name="20% - Accent3 3 6 4" xfId="10392" xr:uid="{A82FE186-DF81-40F8-BFFD-C1BD93D88568}"/>
    <cellStyle name="20% - Accent3 3 7" xfId="2286" xr:uid="{00000000-0005-0000-0000-0000B7010000}"/>
    <cellStyle name="20% - Accent3 3 7 2" xfId="6594" xr:uid="{00000000-0005-0000-0000-0000B8010000}"/>
    <cellStyle name="20% - Accent3 3 7 2 2" xfId="15023" xr:uid="{95345AA7-EB51-424E-AF09-436EAFD436E8}"/>
    <cellStyle name="20% - Accent3 3 7 3" xfId="10805" xr:uid="{9FB07000-865E-4047-BCD2-0FFBE1F43027}"/>
    <cellStyle name="20% - Accent3 3 8" xfId="4528" xr:uid="{00000000-0005-0000-0000-0000B9010000}"/>
    <cellStyle name="20% - Accent3 3 8 2" xfId="12957" xr:uid="{DE08287C-DA10-46E8-AED1-9A7369EFF4B6}"/>
    <cellStyle name="20% - Accent3 3 9" xfId="8739" xr:uid="{09D09238-09E8-48CB-AC74-B9E83CD8CBC6}"/>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FBD0816E-A009-4738-888D-C2724BA809C8}"/>
    <cellStyle name="20% - Accent3 4 2 2 3" xfId="11300" xr:uid="{C088D668-28B6-4EB1-8038-C1725B733D23}"/>
    <cellStyle name="20% - Accent3 4 2 3" xfId="4944" xr:uid="{00000000-0005-0000-0000-0000BE010000}"/>
    <cellStyle name="20% - Accent3 4 2 3 2" xfId="13373" xr:uid="{0EBDD925-0AE0-49A3-B069-0DA7EA08E1AB}"/>
    <cellStyle name="20% - Accent3 4 2 4" xfId="9155" xr:uid="{A05A001F-57BD-4A16-BA6A-A32FE11011F4}"/>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10F4B843-6DC2-4EE9-B0F6-32D2CFC0C469}"/>
    <cellStyle name="20% - Accent3 4 3 2 3" xfId="11713" xr:uid="{0171A923-3D07-4CEF-8032-6FA758FECE35}"/>
    <cellStyle name="20% - Accent3 4 3 3" xfId="5357" xr:uid="{00000000-0005-0000-0000-0000C2010000}"/>
    <cellStyle name="20% - Accent3 4 3 3 2" xfId="13786" xr:uid="{DCFCE48F-AC69-4ACE-83DA-AAFB85178ADB}"/>
    <cellStyle name="20% - Accent3 4 3 4" xfId="9568" xr:uid="{6BA09B43-CFB0-4B2C-8BE4-A851FB18422A}"/>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76A77AE0-5E8C-4DDD-AC40-A762E49D4CC1}"/>
    <cellStyle name="20% - Accent3 4 4 2 3" xfId="12126" xr:uid="{9C53C5ED-3A5D-4BD5-8EBF-6CDF3061111C}"/>
    <cellStyle name="20% - Accent3 4 4 3" xfId="5770" xr:uid="{00000000-0005-0000-0000-0000C6010000}"/>
    <cellStyle name="20% - Accent3 4 4 3 2" xfId="14199" xr:uid="{EC563C40-342B-49A7-AFBC-545A6FFE448D}"/>
    <cellStyle name="20% - Accent3 4 4 4" xfId="9981" xr:uid="{2FBEAF58-275A-4520-9A02-B75516F38641}"/>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10EDF7B5-06D5-4554-923A-94DF39118A73}"/>
    <cellStyle name="20% - Accent3 4 5 2 3" xfId="12539" xr:uid="{A55C1054-16E0-45A0-87BF-5F411B24B6DB}"/>
    <cellStyle name="20% - Accent3 4 5 3" xfId="6183" xr:uid="{00000000-0005-0000-0000-0000CA010000}"/>
    <cellStyle name="20% - Accent3 4 5 3 2" xfId="14612" xr:uid="{3B891B16-5B40-4D33-87DD-46DD2A557CAC}"/>
    <cellStyle name="20% - Accent3 4 5 4" xfId="10394" xr:uid="{564CA53A-06C5-4512-8A17-826C437BF8BA}"/>
    <cellStyle name="20% - Accent3 4 6" xfId="2288" xr:uid="{00000000-0005-0000-0000-0000CB010000}"/>
    <cellStyle name="20% - Accent3 4 6 2" xfId="6596" xr:uid="{00000000-0005-0000-0000-0000CC010000}"/>
    <cellStyle name="20% - Accent3 4 6 2 2" xfId="15025" xr:uid="{7E84AE04-D233-40F7-A67F-90F03840D7B7}"/>
    <cellStyle name="20% - Accent3 4 6 3" xfId="10807" xr:uid="{582C18EF-257E-4A59-85C7-64A3A54A1C5D}"/>
    <cellStyle name="20% - Accent3 4 7" xfId="4530" xr:uid="{00000000-0005-0000-0000-0000CD010000}"/>
    <cellStyle name="20% - Accent3 4 7 2" xfId="12959" xr:uid="{C0A07A01-69A9-4571-8D1A-2428150810A5}"/>
    <cellStyle name="20% - Accent3 4 8" xfId="8741" xr:uid="{E8D0F288-9AAD-434D-99D8-73EA14C2208C}"/>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E26F62E8-1E21-48D3-A9AF-1A8C02B0720B}"/>
    <cellStyle name="20% - Accent3 5 2 3" xfId="11293" xr:uid="{81CDEAD7-E950-43CA-935F-FFC2CD9237D6}"/>
    <cellStyle name="20% - Accent3 5 3" xfId="4937" xr:uid="{00000000-0005-0000-0000-0000D1010000}"/>
    <cellStyle name="20% - Accent3 5 3 2" xfId="13366" xr:uid="{EE56FEA0-9AB9-4409-90A3-E8A723CFFEA0}"/>
    <cellStyle name="20% - Accent3 5 4" xfId="9148" xr:uid="{67E5DCC2-16B7-4079-B25D-D3A7E848B6DB}"/>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BF2B5021-B36E-47E5-ADD4-CB0833FA54F5}"/>
    <cellStyle name="20% - Accent3 6 2 3" xfId="11706" xr:uid="{742AE2E0-774B-4C21-8CE3-3464958E30AB}"/>
    <cellStyle name="20% - Accent3 6 3" xfId="5350" xr:uid="{00000000-0005-0000-0000-0000D5010000}"/>
    <cellStyle name="20% - Accent3 6 3 2" xfId="13779" xr:uid="{282691FA-5264-4391-9D45-3DE73EE21122}"/>
    <cellStyle name="20% - Accent3 6 4" xfId="9561" xr:uid="{0EFA7053-0DF0-48ED-945E-96F23B2B6512}"/>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21B965E0-806F-41E4-84B8-809E42D833DA}"/>
    <cellStyle name="20% - Accent3 7 2 3" xfId="12119" xr:uid="{6AB7D0B1-278D-47BA-B6E7-DFD191A35F6B}"/>
    <cellStyle name="20% - Accent3 7 3" xfId="5763" xr:uid="{00000000-0005-0000-0000-0000D9010000}"/>
    <cellStyle name="20% - Accent3 7 3 2" xfId="14192" xr:uid="{B75FDD95-7995-4548-8934-BF5C11DF98BA}"/>
    <cellStyle name="20% - Accent3 7 4" xfId="9974" xr:uid="{D7F4F3DF-4D79-4685-9DCB-B8FB20922FB5}"/>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6A5C586E-E220-4D84-89C7-7F91D5BFD6A7}"/>
    <cellStyle name="20% - Accent3 8 2 3" xfId="12532" xr:uid="{340088B1-7087-4EF6-A428-5487C5D868E4}"/>
    <cellStyle name="20% - Accent3 8 3" xfId="6176" xr:uid="{00000000-0005-0000-0000-0000DD010000}"/>
    <cellStyle name="20% - Accent3 8 3 2" xfId="14605" xr:uid="{FB1A0C91-70EA-47E3-993F-8EB22C893A89}"/>
    <cellStyle name="20% - Accent3 8 4" xfId="10387" xr:uid="{D9064691-1587-4FDC-9C34-8F169EE17806}"/>
    <cellStyle name="20% - Accent3 9" xfId="2281" xr:uid="{00000000-0005-0000-0000-0000DE010000}"/>
    <cellStyle name="20% - Accent3 9 2" xfId="6589" xr:uid="{00000000-0005-0000-0000-0000DF010000}"/>
    <cellStyle name="20% - Accent3 9 2 2" xfId="15018" xr:uid="{C53E7C64-8FAE-4380-9F8E-1A988131FA6B}"/>
    <cellStyle name="20% - Accent3 9 3" xfId="10800" xr:uid="{75A9864B-69A6-4368-9681-EC6CEEC23881}"/>
    <cellStyle name="20% - Accent4" xfId="25" builtinId="42" customBuiltin="1"/>
    <cellStyle name="20% - Accent4 10" xfId="4531" xr:uid="{00000000-0005-0000-0000-0000E1010000}"/>
    <cellStyle name="20% - Accent4 10 2" xfId="12960" xr:uid="{5FB9471F-3EF3-481C-82A8-8D5D63AC0FA4}"/>
    <cellStyle name="20% - Accent4 11" xfId="8742" xr:uid="{DE1DCA7D-5C06-4ABE-A08F-558EC1CEC63B}"/>
    <cellStyle name="20% - Accent4 2" xfId="26" xr:uid="{00000000-0005-0000-0000-0000E2010000}"/>
    <cellStyle name="20% - Accent4 2 10" xfId="8743" xr:uid="{400BAF77-F8BF-4250-AB1C-E7014D238DB9}"/>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B10B7720-9553-4D3E-ACD8-6C1872920160}"/>
    <cellStyle name="20% - Accent4 2 2 2 2 2 3" xfId="11304" xr:uid="{5A672C3A-AC2E-4B7D-8F49-140A52F0BDFF}"/>
    <cellStyle name="20% - Accent4 2 2 2 2 3" xfId="4948" xr:uid="{00000000-0005-0000-0000-0000E8010000}"/>
    <cellStyle name="20% - Accent4 2 2 2 2 3 2" xfId="13377" xr:uid="{1C41DAFA-111C-4B48-AE51-368DB40FD651}"/>
    <cellStyle name="20% - Accent4 2 2 2 2 4" xfId="9159" xr:uid="{5878A30F-BBFB-4350-8CA2-D9709C71717E}"/>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F54E9059-EBDE-4243-8523-D3A0ACAD1B85}"/>
    <cellStyle name="20% - Accent4 2 2 2 3 2 3" xfId="11717" xr:uid="{ACD22585-9B0C-46D2-A905-7B935F59C76E}"/>
    <cellStyle name="20% - Accent4 2 2 2 3 3" xfId="5361" xr:uid="{00000000-0005-0000-0000-0000EC010000}"/>
    <cellStyle name="20% - Accent4 2 2 2 3 3 2" xfId="13790" xr:uid="{29D9B02F-D713-4B2C-9938-8ABD57266072}"/>
    <cellStyle name="20% - Accent4 2 2 2 3 4" xfId="9572" xr:uid="{3F14FF51-0708-4D03-BC4B-A6BA8E4BB0A3}"/>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5390F805-81F8-4812-9394-C60D29000A88}"/>
    <cellStyle name="20% - Accent4 2 2 2 4 2 3" xfId="12130" xr:uid="{A90EDE8E-4571-4C0E-88FB-34BF3A73389F}"/>
    <cellStyle name="20% - Accent4 2 2 2 4 3" xfId="5774" xr:uid="{00000000-0005-0000-0000-0000F0010000}"/>
    <cellStyle name="20% - Accent4 2 2 2 4 3 2" xfId="14203" xr:uid="{D0C4BC19-395B-4CC0-B4BA-F8B6247A6E52}"/>
    <cellStyle name="20% - Accent4 2 2 2 4 4" xfId="9985" xr:uid="{54DB9D41-E415-47D2-A562-89201ACA3B9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43F61D80-731A-41A6-AEC2-9A52FFB07539}"/>
    <cellStyle name="20% - Accent4 2 2 2 5 2 3" xfId="12543" xr:uid="{CBD43E1B-1143-478A-A2A5-6BD26E2FAA9A}"/>
    <cellStyle name="20% - Accent4 2 2 2 5 3" xfId="6187" xr:uid="{00000000-0005-0000-0000-0000F4010000}"/>
    <cellStyle name="20% - Accent4 2 2 2 5 3 2" xfId="14616" xr:uid="{31796236-A722-401A-8942-BA7B2422E10C}"/>
    <cellStyle name="20% - Accent4 2 2 2 5 4" xfId="10398" xr:uid="{ED10555A-4ABE-44D3-B561-804DE8C774F6}"/>
    <cellStyle name="20% - Accent4 2 2 2 6" xfId="2292" xr:uid="{00000000-0005-0000-0000-0000F5010000}"/>
    <cellStyle name="20% - Accent4 2 2 2 6 2" xfId="6600" xr:uid="{00000000-0005-0000-0000-0000F6010000}"/>
    <cellStyle name="20% - Accent4 2 2 2 6 2 2" xfId="15029" xr:uid="{40C5957A-F719-42EA-96E1-564E51CB8BF2}"/>
    <cellStyle name="20% - Accent4 2 2 2 6 3" xfId="10811" xr:uid="{8D26E642-027F-43AE-A386-B8EEF9E5B889}"/>
    <cellStyle name="20% - Accent4 2 2 2 7" xfId="4534" xr:uid="{00000000-0005-0000-0000-0000F7010000}"/>
    <cellStyle name="20% - Accent4 2 2 2 7 2" xfId="12963" xr:uid="{CE7444B9-BDB4-4492-8385-546E0B246AA4}"/>
    <cellStyle name="20% - Accent4 2 2 2 8" xfId="8745" xr:uid="{F6F82208-B5B7-4C79-9519-0B30097E893D}"/>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5CA4B281-9963-4A2F-98D9-B152FA9B8355}"/>
    <cellStyle name="20% - Accent4 2 2 3 2 3" xfId="11303" xr:uid="{ABCA2049-B34E-482C-BAE7-46569CF8558E}"/>
    <cellStyle name="20% - Accent4 2 2 3 3" xfId="4947" xr:uid="{00000000-0005-0000-0000-0000FB010000}"/>
    <cellStyle name="20% - Accent4 2 2 3 3 2" xfId="13376" xr:uid="{19073C34-9E1D-4ACF-BB58-FE206DDF3286}"/>
    <cellStyle name="20% - Accent4 2 2 3 4" xfId="9158" xr:uid="{D7F18732-FEB9-48CB-9E99-9890BCFFED7A}"/>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4CA71DCB-F9FC-4189-ACFB-E6CEB035B4CD}"/>
    <cellStyle name="20% - Accent4 2 2 4 2 3" xfId="11716" xr:uid="{C5AE21EC-F173-47EE-8801-1E0D5F685E2E}"/>
    <cellStyle name="20% - Accent4 2 2 4 3" xfId="5360" xr:uid="{00000000-0005-0000-0000-0000FF010000}"/>
    <cellStyle name="20% - Accent4 2 2 4 3 2" xfId="13789" xr:uid="{1D61D0AB-DA2A-46EB-BF03-8AD1ECF851A8}"/>
    <cellStyle name="20% - Accent4 2 2 4 4" xfId="9571" xr:uid="{E55A18CF-4E66-409B-931E-CED53FEC44DF}"/>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4B1747AE-3F67-4309-9927-10CEBA5738B0}"/>
    <cellStyle name="20% - Accent4 2 2 5 2 3" xfId="12129" xr:uid="{BD203D46-CE8F-44E9-8467-2C53E6E4AB14}"/>
    <cellStyle name="20% - Accent4 2 2 5 3" xfId="5773" xr:uid="{00000000-0005-0000-0000-000003020000}"/>
    <cellStyle name="20% - Accent4 2 2 5 3 2" xfId="14202" xr:uid="{BD48675D-D175-47C6-BFCC-11B622158149}"/>
    <cellStyle name="20% - Accent4 2 2 5 4" xfId="9984" xr:uid="{EE8C8F7C-E67B-48ED-B38E-3ED4CA219774}"/>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3C433E9F-18F6-4C6D-9859-009F46C0A2D7}"/>
    <cellStyle name="20% - Accent4 2 2 6 2 3" xfId="12542" xr:uid="{AA962EFA-01A9-4FF0-8897-46C9695D17DE}"/>
    <cellStyle name="20% - Accent4 2 2 6 3" xfId="6186" xr:uid="{00000000-0005-0000-0000-000007020000}"/>
    <cellStyle name="20% - Accent4 2 2 6 3 2" xfId="14615" xr:uid="{A8D4BF8D-8E8D-4BC6-A846-7ED957069A00}"/>
    <cellStyle name="20% - Accent4 2 2 6 4" xfId="10397" xr:uid="{3F0780AA-4050-4311-8095-60173F79DB84}"/>
    <cellStyle name="20% - Accent4 2 2 7" xfId="2291" xr:uid="{00000000-0005-0000-0000-000008020000}"/>
    <cellStyle name="20% - Accent4 2 2 7 2" xfId="6599" xr:uid="{00000000-0005-0000-0000-000009020000}"/>
    <cellStyle name="20% - Accent4 2 2 7 2 2" xfId="15028" xr:uid="{CEB06AFB-79D5-4313-908C-719135EC1207}"/>
    <cellStyle name="20% - Accent4 2 2 7 3" xfId="10810" xr:uid="{7137A365-5AE3-487F-BF0C-95E1C8CAB272}"/>
    <cellStyle name="20% - Accent4 2 2 8" xfId="4533" xr:uid="{00000000-0005-0000-0000-00000A020000}"/>
    <cellStyle name="20% - Accent4 2 2 8 2" xfId="12962" xr:uid="{DBCE43C9-2D63-4B9B-B216-9C4DD344F7DE}"/>
    <cellStyle name="20% - Accent4 2 2 9" xfId="8744" xr:uid="{4DA74BFF-52A7-4A54-A112-D54130B1DD2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6EB8FB00-60FC-4F08-A5B7-3737907B0DE6}"/>
    <cellStyle name="20% - Accent4 2 3 2 2 3" xfId="11305" xr:uid="{B837ACA8-8493-4344-84F0-9E822D3616C3}"/>
    <cellStyle name="20% - Accent4 2 3 2 3" xfId="4949" xr:uid="{00000000-0005-0000-0000-00000F020000}"/>
    <cellStyle name="20% - Accent4 2 3 2 3 2" xfId="13378" xr:uid="{0D5C440D-C7B0-4D10-A6D3-14481442D5F5}"/>
    <cellStyle name="20% - Accent4 2 3 2 4" xfId="9160" xr:uid="{A2795903-86E3-4DB9-A0A7-3FA628BDBC81}"/>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3762131B-8666-48A9-8122-B7C21E8DBBDE}"/>
    <cellStyle name="20% - Accent4 2 3 3 2 3" xfId="11718" xr:uid="{0217CE60-45C1-47BC-A4FE-BC4A4D136E4D}"/>
    <cellStyle name="20% - Accent4 2 3 3 3" xfId="5362" xr:uid="{00000000-0005-0000-0000-000013020000}"/>
    <cellStyle name="20% - Accent4 2 3 3 3 2" xfId="13791" xr:uid="{7A583826-B1D3-4D38-8B4A-B367AA97FBBE}"/>
    <cellStyle name="20% - Accent4 2 3 3 4" xfId="9573" xr:uid="{BFA2103D-19EC-43B6-8D3D-F28179221FB2}"/>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668981FF-D43A-46BB-9514-7E31798051B9}"/>
    <cellStyle name="20% - Accent4 2 3 4 2 3" xfId="12131" xr:uid="{2194CF45-982B-443D-8291-D7662239D92E}"/>
    <cellStyle name="20% - Accent4 2 3 4 3" xfId="5775" xr:uid="{00000000-0005-0000-0000-000017020000}"/>
    <cellStyle name="20% - Accent4 2 3 4 3 2" xfId="14204" xr:uid="{A402511F-E784-47A3-A231-7C0BAC385E32}"/>
    <cellStyle name="20% - Accent4 2 3 4 4" xfId="9986" xr:uid="{63F51CF7-DC3A-44BA-8120-305B456865E4}"/>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64797D9A-4CEC-4CF7-9D3D-A48311AA4663}"/>
    <cellStyle name="20% - Accent4 2 3 5 2 3" xfId="12544" xr:uid="{479507D9-CE75-4511-8302-D4444BBC4E05}"/>
    <cellStyle name="20% - Accent4 2 3 5 3" xfId="6188" xr:uid="{00000000-0005-0000-0000-00001B020000}"/>
    <cellStyle name="20% - Accent4 2 3 5 3 2" xfId="14617" xr:uid="{677ED108-5330-4E66-AB55-6B694350D49E}"/>
    <cellStyle name="20% - Accent4 2 3 5 4" xfId="10399" xr:uid="{B1710412-3F7F-4A2B-88B2-55FF3F4ACFB4}"/>
    <cellStyle name="20% - Accent4 2 3 6" xfId="2293" xr:uid="{00000000-0005-0000-0000-00001C020000}"/>
    <cellStyle name="20% - Accent4 2 3 6 2" xfId="6601" xr:uid="{00000000-0005-0000-0000-00001D020000}"/>
    <cellStyle name="20% - Accent4 2 3 6 2 2" xfId="15030" xr:uid="{EE2D9694-3DB1-406C-8E2E-6F594155272B}"/>
    <cellStyle name="20% - Accent4 2 3 6 3" xfId="10812" xr:uid="{97FDAD29-476C-41FA-8F6D-85F3B03C96BD}"/>
    <cellStyle name="20% - Accent4 2 3 7" xfId="4535" xr:uid="{00000000-0005-0000-0000-00001E020000}"/>
    <cellStyle name="20% - Accent4 2 3 7 2" xfId="12964" xr:uid="{E3676E95-5E83-4FFF-9B94-66EFE41E2C70}"/>
    <cellStyle name="20% - Accent4 2 3 8" xfId="8746" xr:uid="{FB489A57-9271-411C-B34E-72C08456CE5C}"/>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C4E44FE2-E156-4F9E-AE9D-29F3B479E703}"/>
    <cellStyle name="20% - Accent4 2 4 2 3" xfId="11302" xr:uid="{86ADAA94-FB05-49F9-B611-A65CB9C3CA65}"/>
    <cellStyle name="20% - Accent4 2 4 3" xfId="4946" xr:uid="{00000000-0005-0000-0000-000022020000}"/>
    <cellStyle name="20% - Accent4 2 4 3 2" xfId="13375" xr:uid="{4FDFD8C2-F3FB-460A-9DBC-3AF18D994915}"/>
    <cellStyle name="20% - Accent4 2 4 4" xfId="9157" xr:uid="{5B6B091F-9DD3-4BB0-A56B-00EAE4862EEF}"/>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F9FB06E0-43B4-4448-AF00-ABACCB01C29D}"/>
    <cellStyle name="20% - Accent4 2 5 2 3" xfId="11715" xr:uid="{FD9C6319-C230-43DE-AD59-DF1C729297BC}"/>
    <cellStyle name="20% - Accent4 2 5 3" xfId="5359" xr:uid="{00000000-0005-0000-0000-000026020000}"/>
    <cellStyle name="20% - Accent4 2 5 3 2" xfId="13788" xr:uid="{929E41ED-21A0-4260-81F1-CEB7A8E39E5C}"/>
    <cellStyle name="20% - Accent4 2 5 4" xfId="9570" xr:uid="{7D0246CC-84DC-44A8-84F6-D874E54885ED}"/>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7B092792-1993-46FF-977F-3B11B7202A1F}"/>
    <cellStyle name="20% - Accent4 2 6 2 3" xfId="12128" xr:uid="{7B0F56C8-D7F2-49D7-9A56-143784772170}"/>
    <cellStyle name="20% - Accent4 2 6 3" xfId="5772" xr:uid="{00000000-0005-0000-0000-00002A020000}"/>
    <cellStyle name="20% - Accent4 2 6 3 2" xfId="14201" xr:uid="{AD207E5F-88AB-4522-BEBF-BC6DDB64DB4F}"/>
    <cellStyle name="20% - Accent4 2 6 4" xfId="9983" xr:uid="{1FCD3DBA-129D-4649-A9CD-DBF502A0F1DC}"/>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6C9F0FC3-6D06-4AD9-9D1B-CEB23D999DB2}"/>
    <cellStyle name="20% - Accent4 2 7 2 3" xfId="12541" xr:uid="{49A4531F-0B5B-461B-8EA8-0E1B6582C8A6}"/>
    <cellStyle name="20% - Accent4 2 7 3" xfId="6185" xr:uid="{00000000-0005-0000-0000-00002E020000}"/>
    <cellStyle name="20% - Accent4 2 7 3 2" xfId="14614" xr:uid="{902B8D65-FA62-42C8-A66F-871E3A090C16}"/>
    <cellStyle name="20% - Accent4 2 7 4" xfId="10396" xr:uid="{A8F75FDA-5EC1-44B0-8CB3-2410D19B4C37}"/>
    <cellStyle name="20% - Accent4 2 8" xfId="2290" xr:uid="{00000000-0005-0000-0000-00002F020000}"/>
    <cellStyle name="20% - Accent4 2 8 2" xfId="6598" xr:uid="{00000000-0005-0000-0000-000030020000}"/>
    <cellStyle name="20% - Accent4 2 8 2 2" xfId="15027" xr:uid="{7ECD5CF5-8118-4F72-91F4-121E7B3D242B}"/>
    <cellStyle name="20% - Accent4 2 8 3" xfId="10809" xr:uid="{B8A151F5-894B-497D-A816-658A7146CA3C}"/>
    <cellStyle name="20% - Accent4 2 9" xfId="4532" xr:uid="{00000000-0005-0000-0000-000031020000}"/>
    <cellStyle name="20% - Accent4 2 9 2" xfId="12961" xr:uid="{2396E70C-3F8D-4AAF-8C70-7872E70420F8}"/>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6D4B63EF-18A7-43E3-AC48-3D730A02381B}"/>
    <cellStyle name="20% - Accent4 3 2 2 2 3" xfId="11307" xr:uid="{7E61C30B-4D13-4E8C-975C-E9468B5A2312}"/>
    <cellStyle name="20% - Accent4 3 2 2 3" xfId="4951" xr:uid="{00000000-0005-0000-0000-000037020000}"/>
    <cellStyle name="20% - Accent4 3 2 2 3 2" xfId="13380" xr:uid="{727D031D-67B4-4228-B1E6-7ADA394492B9}"/>
    <cellStyle name="20% - Accent4 3 2 2 4" xfId="9162" xr:uid="{3CB0D132-8AA3-49EB-A3EE-28096B19EAD5}"/>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1EB760B0-31D3-455C-8D90-17A97D3C698D}"/>
    <cellStyle name="20% - Accent4 3 2 3 2 3" xfId="11720" xr:uid="{6D14588D-C250-42B2-A8CD-287BE2C6B40C}"/>
    <cellStyle name="20% - Accent4 3 2 3 3" xfId="5364" xr:uid="{00000000-0005-0000-0000-00003B020000}"/>
    <cellStyle name="20% - Accent4 3 2 3 3 2" xfId="13793" xr:uid="{FB17EFE6-AEEF-4FDA-9133-904DB9139B43}"/>
    <cellStyle name="20% - Accent4 3 2 3 4" xfId="9575" xr:uid="{C0C042B7-C532-4F4C-811F-C0433CD09137}"/>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5DB8072B-6E9A-4976-B389-369D4210A32A}"/>
    <cellStyle name="20% - Accent4 3 2 4 2 3" xfId="12133" xr:uid="{2E744F6C-5B3A-4FA8-9E35-374A7231E200}"/>
    <cellStyle name="20% - Accent4 3 2 4 3" xfId="5777" xr:uid="{00000000-0005-0000-0000-00003F020000}"/>
    <cellStyle name="20% - Accent4 3 2 4 3 2" xfId="14206" xr:uid="{A563A0A7-9A26-4398-B748-C6EEE9F08275}"/>
    <cellStyle name="20% - Accent4 3 2 4 4" xfId="9988" xr:uid="{DD2AEF98-8163-4ABB-9D46-6BC5FEE30B8E}"/>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CD48DB37-A583-4120-BE16-4E413B6FD2A7}"/>
    <cellStyle name="20% - Accent4 3 2 5 2 3" xfId="12546" xr:uid="{FF8B4F63-0E04-4A69-B040-2928E50EC037}"/>
    <cellStyle name="20% - Accent4 3 2 5 3" xfId="6190" xr:uid="{00000000-0005-0000-0000-000043020000}"/>
    <cellStyle name="20% - Accent4 3 2 5 3 2" xfId="14619" xr:uid="{8E936FE3-6932-47F3-A2F1-FBFDCD73D114}"/>
    <cellStyle name="20% - Accent4 3 2 5 4" xfId="10401" xr:uid="{872AC1A8-EED8-4647-91D6-67FFE3BF51F3}"/>
    <cellStyle name="20% - Accent4 3 2 6" xfId="2295" xr:uid="{00000000-0005-0000-0000-000044020000}"/>
    <cellStyle name="20% - Accent4 3 2 6 2" xfId="6603" xr:uid="{00000000-0005-0000-0000-000045020000}"/>
    <cellStyle name="20% - Accent4 3 2 6 2 2" xfId="15032" xr:uid="{126A349E-9F47-40B3-AB1F-761E657CBFB9}"/>
    <cellStyle name="20% - Accent4 3 2 6 3" xfId="10814" xr:uid="{BE66ADE6-F55E-411E-8D0D-38042BF4FFB7}"/>
    <cellStyle name="20% - Accent4 3 2 7" xfId="4537" xr:uid="{00000000-0005-0000-0000-000046020000}"/>
    <cellStyle name="20% - Accent4 3 2 7 2" xfId="12966" xr:uid="{5F1839CF-D1FE-4FE5-A523-2B85295D97B0}"/>
    <cellStyle name="20% - Accent4 3 2 8" xfId="8748" xr:uid="{6505CE10-65A8-4BBD-867B-2E3242C10C10}"/>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D24EF9E1-1C26-46A3-BE71-3346B8933AC6}"/>
    <cellStyle name="20% - Accent4 3 3 2 3" xfId="11306" xr:uid="{F20E1364-7689-4441-B215-87B126219276}"/>
    <cellStyle name="20% - Accent4 3 3 3" xfId="4950" xr:uid="{00000000-0005-0000-0000-00004A020000}"/>
    <cellStyle name="20% - Accent4 3 3 3 2" xfId="13379" xr:uid="{999988C0-DF72-433F-ABC6-07D2A3EE461A}"/>
    <cellStyle name="20% - Accent4 3 3 4" xfId="9161" xr:uid="{93DBB464-1C7C-4DEC-8BC6-57234F418E3E}"/>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83FAB7F0-2823-4EFA-A9DE-5A27B6B6502E}"/>
    <cellStyle name="20% - Accent4 3 4 2 3" xfId="11719" xr:uid="{17A4F6D8-F18F-40B4-BC22-E323D29F8FDD}"/>
    <cellStyle name="20% - Accent4 3 4 3" xfId="5363" xr:uid="{00000000-0005-0000-0000-00004E020000}"/>
    <cellStyle name="20% - Accent4 3 4 3 2" xfId="13792" xr:uid="{535768FF-215A-4CFE-A5F3-9A89CE69BA49}"/>
    <cellStyle name="20% - Accent4 3 4 4" xfId="9574" xr:uid="{C59A8490-22EF-4D88-9DB1-64A8F73D5244}"/>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CDE91215-0118-4E5F-8A28-F63FA2D4AD9C}"/>
    <cellStyle name="20% - Accent4 3 5 2 3" xfId="12132" xr:uid="{12EA3D64-E442-46ED-A302-A9E4C74277E0}"/>
    <cellStyle name="20% - Accent4 3 5 3" xfId="5776" xr:uid="{00000000-0005-0000-0000-000052020000}"/>
    <cellStyle name="20% - Accent4 3 5 3 2" xfId="14205" xr:uid="{C6BDB55D-59EC-414C-8122-E72228F79F77}"/>
    <cellStyle name="20% - Accent4 3 5 4" xfId="9987" xr:uid="{E2644873-CE99-4407-8FFA-FDE581468D35}"/>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36D9F54E-617F-4828-BFD0-C87033BE7010}"/>
    <cellStyle name="20% - Accent4 3 6 2 3" xfId="12545" xr:uid="{C02A50A4-04F7-436A-B989-3AC03D79763B}"/>
    <cellStyle name="20% - Accent4 3 6 3" xfId="6189" xr:uid="{00000000-0005-0000-0000-000056020000}"/>
    <cellStyle name="20% - Accent4 3 6 3 2" xfId="14618" xr:uid="{D014A165-FF65-4A80-BDA2-C56860FD671D}"/>
    <cellStyle name="20% - Accent4 3 6 4" xfId="10400" xr:uid="{F4CBED45-A7D4-4C5B-9A12-2A942C3EA266}"/>
    <cellStyle name="20% - Accent4 3 7" xfId="2294" xr:uid="{00000000-0005-0000-0000-000057020000}"/>
    <cellStyle name="20% - Accent4 3 7 2" xfId="6602" xr:uid="{00000000-0005-0000-0000-000058020000}"/>
    <cellStyle name="20% - Accent4 3 7 2 2" xfId="15031" xr:uid="{9674280A-CC8F-4ADD-9C2B-29073F49A422}"/>
    <cellStyle name="20% - Accent4 3 7 3" xfId="10813" xr:uid="{0746A121-5347-42DC-BBBE-596B972B3B5A}"/>
    <cellStyle name="20% - Accent4 3 8" xfId="4536" xr:uid="{00000000-0005-0000-0000-000059020000}"/>
    <cellStyle name="20% - Accent4 3 8 2" xfId="12965" xr:uid="{04E119D2-4290-4004-B723-3839DD1389AC}"/>
    <cellStyle name="20% - Accent4 3 9" xfId="8747" xr:uid="{016DD161-856D-4B30-8E5A-AD97DD6B71E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5C0BAE47-112F-42FC-9C40-C44EC0693269}"/>
    <cellStyle name="20% - Accent4 4 2 2 3" xfId="11308" xr:uid="{AE7423C6-7F97-4308-BE4B-EE50F60B0B21}"/>
    <cellStyle name="20% - Accent4 4 2 3" xfId="4952" xr:uid="{00000000-0005-0000-0000-00005E020000}"/>
    <cellStyle name="20% - Accent4 4 2 3 2" xfId="13381" xr:uid="{1334D7FC-12C7-4520-9A58-695A20BAEEE1}"/>
    <cellStyle name="20% - Accent4 4 2 4" xfId="9163" xr:uid="{479709A9-7B2E-4701-9BAD-D520AB735564}"/>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D2A7346C-55C0-409A-9ED3-78F6BE979C39}"/>
    <cellStyle name="20% - Accent4 4 3 2 3" xfId="11721" xr:uid="{2A4D8D9A-128F-403A-979A-52E8E06700B7}"/>
    <cellStyle name="20% - Accent4 4 3 3" xfId="5365" xr:uid="{00000000-0005-0000-0000-000062020000}"/>
    <cellStyle name="20% - Accent4 4 3 3 2" xfId="13794" xr:uid="{B2440D9F-861B-4249-9359-EE171A4B71A8}"/>
    <cellStyle name="20% - Accent4 4 3 4" xfId="9576" xr:uid="{24F317A9-F648-403F-B49A-29603E33A01C}"/>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C5904462-8F81-486A-A0E1-C35B01079717}"/>
    <cellStyle name="20% - Accent4 4 4 2 3" xfId="12134" xr:uid="{34662088-8D84-4DFA-BA69-951D9A3FE866}"/>
    <cellStyle name="20% - Accent4 4 4 3" xfId="5778" xr:uid="{00000000-0005-0000-0000-000066020000}"/>
    <cellStyle name="20% - Accent4 4 4 3 2" xfId="14207" xr:uid="{585A6BAE-EA79-4D43-98A0-17679358875C}"/>
    <cellStyle name="20% - Accent4 4 4 4" xfId="9989" xr:uid="{34C6F36E-9240-417F-819F-7807F4C51FF6}"/>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987C0B2E-D5ED-4D97-BFE7-B007D608862B}"/>
    <cellStyle name="20% - Accent4 4 5 2 3" xfId="12547" xr:uid="{27E305F0-7BCE-451D-88C5-38B3ED600B54}"/>
    <cellStyle name="20% - Accent4 4 5 3" xfId="6191" xr:uid="{00000000-0005-0000-0000-00006A020000}"/>
    <cellStyle name="20% - Accent4 4 5 3 2" xfId="14620" xr:uid="{463B680B-3A38-412B-8D84-529F6FBAF916}"/>
    <cellStyle name="20% - Accent4 4 5 4" xfId="10402" xr:uid="{08F4A56F-9368-40FF-AB2D-F47EECA2B677}"/>
    <cellStyle name="20% - Accent4 4 6" xfId="2296" xr:uid="{00000000-0005-0000-0000-00006B020000}"/>
    <cellStyle name="20% - Accent4 4 6 2" xfId="6604" xr:uid="{00000000-0005-0000-0000-00006C020000}"/>
    <cellStyle name="20% - Accent4 4 6 2 2" xfId="15033" xr:uid="{D390E59B-CB97-4C94-B2FD-509D59732F0C}"/>
    <cellStyle name="20% - Accent4 4 6 3" xfId="10815" xr:uid="{5103696B-2B71-4897-8A90-BCBEF53AE2BF}"/>
    <cellStyle name="20% - Accent4 4 7" xfId="4538" xr:uid="{00000000-0005-0000-0000-00006D020000}"/>
    <cellStyle name="20% - Accent4 4 7 2" xfId="12967" xr:uid="{FCF15FC5-2905-4867-BF46-6990847DD181}"/>
    <cellStyle name="20% - Accent4 4 8" xfId="8749" xr:uid="{BBA33EFD-7B53-4213-B5DB-5173EA41624D}"/>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2BD70EE2-9D42-4B15-94DA-D41069C0176E}"/>
    <cellStyle name="20% - Accent4 5 2 3" xfId="11301" xr:uid="{BC6A2AC1-C813-46FD-A499-23D7262F58BC}"/>
    <cellStyle name="20% - Accent4 5 3" xfId="4945" xr:uid="{00000000-0005-0000-0000-000071020000}"/>
    <cellStyle name="20% - Accent4 5 3 2" xfId="13374" xr:uid="{5BA2C47B-51BF-421F-8724-D16359B6576D}"/>
    <cellStyle name="20% - Accent4 5 4" xfId="9156" xr:uid="{C1802EFF-CD3A-4254-BFA6-0A6C12133587}"/>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F9121397-D627-444D-B282-DC2FBED755BA}"/>
    <cellStyle name="20% - Accent4 6 2 3" xfId="11714" xr:uid="{ADB1C1B6-67E9-400C-B886-A1A324C2B5CD}"/>
    <cellStyle name="20% - Accent4 6 3" xfId="5358" xr:uid="{00000000-0005-0000-0000-000075020000}"/>
    <cellStyle name="20% - Accent4 6 3 2" xfId="13787" xr:uid="{3A7410F6-80AD-42DA-82A7-ADB092D9E912}"/>
    <cellStyle name="20% - Accent4 6 4" xfId="9569" xr:uid="{8225CC7F-4011-46BD-B5EA-8EFD4EA738F7}"/>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59313B10-6994-4498-8713-1394C9F795A6}"/>
    <cellStyle name="20% - Accent4 7 2 3" xfId="12127" xr:uid="{7C8DB8C4-8F8C-45FE-8CA1-0493A2A40D12}"/>
    <cellStyle name="20% - Accent4 7 3" xfId="5771" xr:uid="{00000000-0005-0000-0000-000079020000}"/>
    <cellStyle name="20% - Accent4 7 3 2" xfId="14200" xr:uid="{035C24BC-DC90-4EA2-BEB4-AAD8E64D5BBB}"/>
    <cellStyle name="20% - Accent4 7 4" xfId="9982" xr:uid="{EF54F485-6343-4F4C-9793-C5225373672D}"/>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DBB8B30A-D62E-4F3E-B756-02A16546BA0C}"/>
    <cellStyle name="20% - Accent4 8 2 3" xfId="12540" xr:uid="{32AE40E1-B17F-4F43-A934-A3C06C44BFF4}"/>
    <cellStyle name="20% - Accent4 8 3" xfId="6184" xr:uid="{00000000-0005-0000-0000-00007D020000}"/>
    <cellStyle name="20% - Accent4 8 3 2" xfId="14613" xr:uid="{39058EDF-CAA7-42AC-B3D2-CDE3F3A0F407}"/>
    <cellStyle name="20% - Accent4 8 4" xfId="10395" xr:uid="{B54ACEE9-5BFC-4912-B4E5-3D995F773F5B}"/>
    <cellStyle name="20% - Accent4 9" xfId="2289" xr:uid="{00000000-0005-0000-0000-00007E020000}"/>
    <cellStyle name="20% - Accent4 9 2" xfId="6597" xr:uid="{00000000-0005-0000-0000-00007F020000}"/>
    <cellStyle name="20% - Accent4 9 2 2" xfId="15026" xr:uid="{9874C086-BD0A-42F7-BABF-8FEB4942607E}"/>
    <cellStyle name="20% - Accent4 9 3" xfId="10808" xr:uid="{9738CCAF-FAE3-4683-9509-99CDC5255344}"/>
    <cellStyle name="20% - Accent5" xfId="33" builtinId="46" customBuiltin="1"/>
    <cellStyle name="20% - Accent5 10" xfId="4539" xr:uid="{00000000-0005-0000-0000-000081020000}"/>
    <cellStyle name="20% - Accent5 10 2" xfId="12968" xr:uid="{8A09D1AF-E9A6-444F-BED0-6E834AF628D9}"/>
    <cellStyle name="20% - Accent5 11" xfId="8750" xr:uid="{83E17995-6B46-42BE-8E30-7EA3EDDA4E7D}"/>
    <cellStyle name="20% - Accent5 2" xfId="34" xr:uid="{00000000-0005-0000-0000-000082020000}"/>
    <cellStyle name="20% - Accent5 2 10" xfId="8751" xr:uid="{1055DDB6-2BD4-4678-AAE7-501958ADBBE3}"/>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3915B661-2592-43AE-85F3-8813354C813B}"/>
    <cellStyle name="20% - Accent5 2 2 2 2 2 3" xfId="11312" xr:uid="{FF11CB4B-4273-46CC-9143-E689EB0D1DB0}"/>
    <cellStyle name="20% - Accent5 2 2 2 2 3" xfId="4956" xr:uid="{00000000-0005-0000-0000-000088020000}"/>
    <cellStyle name="20% - Accent5 2 2 2 2 3 2" xfId="13385" xr:uid="{75C8D040-1C8F-431F-839F-CD64FD379B04}"/>
    <cellStyle name="20% - Accent5 2 2 2 2 4" xfId="9167" xr:uid="{6FB640D9-0AE5-492B-AEBA-4F2421BD093A}"/>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57464BB3-0256-4834-A59D-7DBB2D9CCA7F}"/>
    <cellStyle name="20% - Accent5 2 2 2 3 2 3" xfId="11725" xr:uid="{3CA39450-3A0A-470B-835D-E73C7F80E60F}"/>
    <cellStyle name="20% - Accent5 2 2 2 3 3" xfId="5369" xr:uid="{00000000-0005-0000-0000-00008C020000}"/>
    <cellStyle name="20% - Accent5 2 2 2 3 3 2" xfId="13798" xr:uid="{B1043F23-F673-45EC-8203-DBDCF2B91589}"/>
    <cellStyle name="20% - Accent5 2 2 2 3 4" xfId="9580" xr:uid="{3E66779D-5023-442B-B561-9A939A36C9D2}"/>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2ED4FF00-F9EC-410F-B6FC-9F0D4F9517F2}"/>
    <cellStyle name="20% - Accent5 2 2 2 4 2 3" xfId="12138" xr:uid="{4FB18542-953A-470A-8DEA-277FFA5E988F}"/>
    <cellStyle name="20% - Accent5 2 2 2 4 3" xfId="5782" xr:uid="{00000000-0005-0000-0000-000090020000}"/>
    <cellStyle name="20% - Accent5 2 2 2 4 3 2" xfId="14211" xr:uid="{91A8D4B4-AEC5-4A01-AE6C-C149B2FBF4B2}"/>
    <cellStyle name="20% - Accent5 2 2 2 4 4" xfId="9993" xr:uid="{D36587F2-A737-404E-A06F-903CC5DF1042}"/>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4C959C8D-E679-466D-B025-3A8A405A2BBE}"/>
    <cellStyle name="20% - Accent5 2 2 2 5 2 3" xfId="12551" xr:uid="{C6F2773F-EAD6-43F3-8FAB-6FCF150E43C7}"/>
    <cellStyle name="20% - Accent5 2 2 2 5 3" xfId="6195" xr:uid="{00000000-0005-0000-0000-000094020000}"/>
    <cellStyle name="20% - Accent5 2 2 2 5 3 2" xfId="14624" xr:uid="{5A02FED8-D848-4CA5-8695-079F788CD09E}"/>
    <cellStyle name="20% - Accent5 2 2 2 5 4" xfId="10406" xr:uid="{2AFD7D22-F67C-4E5C-BD74-94BEDC8D0214}"/>
    <cellStyle name="20% - Accent5 2 2 2 6" xfId="2300" xr:uid="{00000000-0005-0000-0000-000095020000}"/>
    <cellStyle name="20% - Accent5 2 2 2 6 2" xfId="6608" xr:uid="{00000000-0005-0000-0000-000096020000}"/>
    <cellStyle name="20% - Accent5 2 2 2 6 2 2" xfId="15037" xr:uid="{F2B1547E-319D-4091-AC3C-CE4AAE1EB70E}"/>
    <cellStyle name="20% - Accent5 2 2 2 6 3" xfId="10819" xr:uid="{9DC34E33-92DF-41A0-A425-B6C572260530}"/>
    <cellStyle name="20% - Accent5 2 2 2 7" xfId="4542" xr:uid="{00000000-0005-0000-0000-000097020000}"/>
    <cellStyle name="20% - Accent5 2 2 2 7 2" xfId="12971" xr:uid="{EBC2A5CC-7DE6-41F8-A35E-BD2861024808}"/>
    <cellStyle name="20% - Accent5 2 2 2 8" xfId="8753" xr:uid="{848A3E57-D73D-4550-AAAD-01EE413F5C79}"/>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312EF8D9-E20D-42AC-B03F-D3AFA6569E45}"/>
    <cellStyle name="20% - Accent5 2 2 3 2 3" xfId="11311" xr:uid="{A22F1B73-4BAF-459D-AF13-BF9F8ACA2C0A}"/>
    <cellStyle name="20% - Accent5 2 2 3 3" xfId="4955" xr:uid="{00000000-0005-0000-0000-00009B020000}"/>
    <cellStyle name="20% - Accent5 2 2 3 3 2" xfId="13384" xr:uid="{8F53B014-DACA-4E5A-9E99-D734C6939D25}"/>
    <cellStyle name="20% - Accent5 2 2 3 4" xfId="9166" xr:uid="{2EA0DB6F-046B-47EA-8A1D-537AB6D7E468}"/>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2D3F2683-83D2-4C9D-A77C-75E2A68D7FC4}"/>
    <cellStyle name="20% - Accent5 2 2 4 2 3" xfId="11724" xr:uid="{40441280-05B2-40AA-905E-1E44502A9DB5}"/>
    <cellStyle name="20% - Accent5 2 2 4 3" xfId="5368" xr:uid="{00000000-0005-0000-0000-00009F020000}"/>
    <cellStyle name="20% - Accent5 2 2 4 3 2" xfId="13797" xr:uid="{4378DB67-136D-461E-BE19-8114D1AC006F}"/>
    <cellStyle name="20% - Accent5 2 2 4 4" xfId="9579" xr:uid="{52287702-82AB-4290-98D0-3B203D33392B}"/>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08AE4960-D4C0-488C-B321-F292084AF3CA}"/>
    <cellStyle name="20% - Accent5 2 2 5 2 3" xfId="12137" xr:uid="{E9128089-B1B0-4253-9534-A72050435210}"/>
    <cellStyle name="20% - Accent5 2 2 5 3" xfId="5781" xr:uid="{00000000-0005-0000-0000-0000A3020000}"/>
    <cellStyle name="20% - Accent5 2 2 5 3 2" xfId="14210" xr:uid="{AA2DA189-13AE-4055-94D3-207B7C7ED44D}"/>
    <cellStyle name="20% - Accent5 2 2 5 4" xfId="9992" xr:uid="{413BA6D6-7B43-41DC-AF2E-B36C4DDF3ABA}"/>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02AEA7B5-D197-44B1-A740-8FCE7E057C79}"/>
    <cellStyle name="20% - Accent5 2 2 6 2 3" xfId="12550" xr:uid="{EF6BFDA6-6EEA-44BA-9635-15A9B3CE42B9}"/>
    <cellStyle name="20% - Accent5 2 2 6 3" xfId="6194" xr:uid="{00000000-0005-0000-0000-0000A7020000}"/>
    <cellStyle name="20% - Accent5 2 2 6 3 2" xfId="14623" xr:uid="{564C3010-8EC8-408F-98AC-BB7CB4A68338}"/>
    <cellStyle name="20% - Accent5 2 2 6 4" xfId="10405" xr:uid="{9C3F546B-DA1D-47F5-AFCB-2D509694EEA5}"/>
    <cellStyle name="20% - Accent5 2 2 7" xfId="2299" xr:uid="{00000000-0005-0000-0000-0000A8020000}"/>
    <cellStyle name="20% - Accent5 2 2 7 2" xfId="6607" xr:uid="{00000000-0005-0000-0000-0000A9020000}"/>
    <cellStyle name="20% - Accent5 2 2 7 2 2" xfId="15036" xr:uid="{723FFE30-CEE3-4087-8EA0-69E25E077741}"/>
    <cellStyle name="20% - Accent5 2 2 7 3" xfId="10818" xr:uid="{87BEEAFE-2DE3-4CE7-AB2A-F0CB3E963710}"/>
    <cellStyle name="20% - Accent5 2 2 8" xfId="4541" xr:uid="{00000000-0005-0000-0000-0000AA020000}"/>
    <cellStyle name="20% - Accent5 2 2 8 2" xfId="12970" xr:uid="{3542A894-84E4-486A-AD58-43E3FD14624F}"/>
    <cellStyle name="20% - Accent5 2 2 9" xfId="8752" xr:uid="{4223727C-C915-4129-AA6C-BF3651C36BBD}"/>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65D87DBC-DE1C-4E3D-ACFA-2D4C1A9856D2}"/>
    <cellStyle name="20% - Accent5 2 3 2 2 3" xfId="11313" xr:uid="{8FCDC1E2-047F-438B-B80C-0C32E08574BA}"/>
    <cellStyle name="20% - Accent5 2 3 2 3" xfId="4957" xr:uid="{00000000-0005-0000-0000-0000AF020000}"/>
    <cellStyle name="20% - Accent5 2 3 2 3 2" xfId="13386" xr:uid="{013E108B-0196-44CB-B901-ABA21F981301}"/>
    <cellStyle name="20% - Accent5 2 3 2 4" xfId="9168" xr:uid="{2763C9B8-3B0A-4809-835C-E63DA569B613}"/>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B7695E4A-1AAC-4BA6-BDA9-E0AE1652EEDE}"/>
    <cellStyle name="20% - Accent5 2 3 3 2 3" xfId="11726" xr:uid="{E2E1FC95-3849-44EE-AAC6-65AC483D4A15}"/>
    <cellStyle name="20% - Accent5 2 3 3 3" xfId="5370" xr:uid="{00000000-0005-0000-0000-0000B3020000}"/>
    <cellStyle name="20% - Accent5 2 3 3 3 2" xfId="13799" xr:uid="{4FBA1D5D-2060-46F2-906A-95BEC8E2FA41}"/>
    <cellStyle name="20% - Accent5 2 3 3 4" xfId="9581" xr:uid="{F94A9014-449A-4F16-9885-54FC9B8CA2D4}"/>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39B38B2D-4280-4B15-B9F3-A00489FD0FCA}"/>
    <cellStyle name="20% - Accent5 2 3 4 2 3" xfId="12139" xr:uid="{4F4E4511-014A-4EB9-963A-867DBFB218FD}"/>
    <cellStyle name="20% - Accent5 2 3 4 3" xfId="5783" xr:uid="{00000000-0005-0000-0000-0000B7020000}"/>
    <cellStyle name="20% - Accent5 2 3 4 3 2" xfId="14212" xr:uid="{59CFEA40-265B-4CB0-8185-0A4DE314CC5A}"/>
    <cellStyle name="20% - Accent5 2 3 4 4" xfId="9994" xr:uid="{36787F7F-4204-4EDB-B8E9-D22AA33F0B9A}"/>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AEBCF5EB-D007-435C-8626-E1C3E5D5A9FA}"/>
    <cellStyle name="20% - Accent5 2 3 5 2 3" xfId="12552" xr:uid="{DDA9D862-2FEC-408F-8CDD-422C5B39EF2F}"/>
    <cellStyle name="20% - Accent5 2 3 5 3" xfId="6196" xr:uid="{00000000-0005-0000-0000-0000BB020000}"/>
    <cellStyle name="20% - Accent5 2 3 5 3 2" xfId="14625" xr:uid="{E9B7B107-9588-4B4F-BC1C-AC3D0D0ABD00}"/>
    <cellStyle name="20% - Accent5 2 3 5 4" xfId="10407" xr:uid="{7CD43C72-C5D1-4166-83E4-A2B1E332A40F}"/>
    <cellStyle name="20% - Accent5 2 3 6" xfId="2301" xr:uid="{00000000-0005-0000-0000-0000BC020000}"/>
    <cellStyle name="20% - Accent5 2 3 6 2" xfId="6609" xr:uid="{00000000-0005-0000-0000-0000BD020000}"/>
    <cellStyle name="20% - Accent5 2 3 6 2 2" xfId="15038" xr:uid="{998DA4D1-FC03-476E-9EA8-A9CFC977BE46}"/>
    <cellStyle name="20% - Accent5 2 3 6 3" xfId="10820" xr:uid="{67DF3A16-EFA6-46C7-BB65-A74B50ABDEEF}"/>
    <cellStyle name="20% - Accent5 2 3 7" xfId="4543" xr:uid="{00000000-0005-0000-0000-0000BE020000}"/>
    <cellStyle name="20% - Accent5 2 3 7 2" xfId="12972" xr:uid="{4B414F45-3D48-4B87-AE95-9FECE88B17C0}"/>
    <cellStyle name="20% - Accent5 2 3 8" xfId="8754" xr:uid="{4DDBCCD8-49ED-4883-A497-631788A78D97}"/>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8C03B4AF-3B0C-4DF0-B055-8532DFF35E0E}"/>
    <cellStyle name="20% - Accent5 2 4 2 3" xfId="11310" xr:uid="{DEA9D156-1C7F-4562-A155-7ED7B7219567}"/>
    <cellStyle name="20% - Accent5 2 4 3" xfId="4954" xr:uid="{00000000-0005-0000-0000-0000C2020000}"/>
    <cellStyle name="20% - Accent5 2 4 3 2" xfId="13383" xr:uid="{BC6A0808-950E-49B6-9751-A64CFF0C328D}"/>
    <cellStyle name="20% - Accent5 2 4 4" xfId="9165" xr:uid="{7EF0FEE8-6C19-4928-8311-12B74A6F056B}"/>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47A2C3C0-1EAC-4379-890B-D60559B12862}"/>
    <cellStyle name="20% - Accent5 2 5 2 3" xfId="11723" xr:uid="{70F931FA-BF52-418A-800A-FB092E7DC12D}"/>
    <cellStyle name="20% - Accent5 2 5 3" xfId="5367" xr:uid="{00000000-0005-0000-0000-0000C6020000}"/>
    <cellStyle name="20% - Accent5 2 5 3 2" xfId="13796" xr:uid="{208FFD5A-CF01-47C6-A8F7-7E7731D5360A}"/>
    <cellStyle name="20% - Accent5 2 5 4" xfId="9578" xr:uid="{423F84FB-C011-420D-9184-DA9280E448C2}"/>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AC63DEA8-A15F-40FE-8DC5-DD2661EDB2B1}"/>
    <cellStyle name="20% - Accent5 2 6 2 3" xfId="12136" xr:uid="{4729700C-93D6-474E-B2EB-6A8DEE785227}"/>
    <cellStyle name="20% - Accent5 2 6 3" xfId="5780" xr:uid="{00000000-0005-0000-0000-0000CA020000}"/>
    <cellStyle name="20% - Accent5 2 6 3 2" xfId="14209" xr:uid="{E5217241-0F93-4C33-9012-B3AFD7B4EB90}"/>
    <cellStyle name="20% - Accent5 2 6 4" xfId="9991" xr:uid="{3B7E4056-ECC1-4114-BC19-D90201D64D39}"/>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1376380F-08BB-4F0C-B651-93AEE9AAAD34}"/>
    <cellStyle name="20% - Accent5 2 7 2 3" xfId="12549" xr:uid="{E717D192-7E78-4B81-94A2-5D3D5FC04E13}"/>
    <cellStyle name="20% - Accent5 2 7 3" xfId="6193" xr:uid="{00000000-0005-0000-0000-0000CE020000}"/>
    <cellStyle name="20% - Accent5 2 7 3 2" xfId="14622" xr:uid="{DBCFA751-E230-4158-A294-557BCE0CA828}"/>
    <cellStyle name="20% - Accent5 2 7 4" xfId="10404" xr:uid="{4FBDA932-269C-4AE0-ABCD-7322AA15AFD1}"/>
    <cellStyle name="20% - Accent5 2 8" xfId="2298" xr:uid="{00000000-0005-0000-0000-0000CF020000}"/>
    <cellStyle name="20% - Accent5 2 8 2" xfId="6606" xr:uid="{00000000-0005-0000-0000-0000D0020000}"/>
    <cellStyle name="20% - Accent5 2 8 2 2" xfId="15035" xr:uid="{6CE03708-34DB-470C-A11E-90B41A96258C}"/>
    <cellStyle name="20% - Accent5 2 8 3" xfId="10817" xr:uid="{5488E935-8FAB-4229-AB9F-B713FE425F07}"/>
    <cellStyle name="20% - Accent5 2 9" xfId="4540" xr:uid="{00000000-0005-0000-0000-0000D1020000}"/>
    <cellStyle name="20% - Accent5 2 9 2" xfId="12969" xr:uid="{EAF298D3-4ECF-4555-A69F-2001B6C9DC1C}"/>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CB9068BB-DA6A-4B61-8D88-B23CFB38E6BB}"/>
    <cellStyle name="20% - Accent5 3 2 2 2 3" xfId="11315" xr:uid="{4F38570B-3E8E-4D03-92EB-C18DEB9684F9}"/>
    <cellStyle name="20% - Accent5 3 2 2 3" xfId="4959" xr:uid="{00000000-0005-0000-0000-0000D7020000}"/>
    <cellStyle name="20% - Accent5 3 2 2 3 2" xfId="13388" xr:uid="{0B76E34F-C7E1-4FDC-8EAC-734912645488}"/>
    <cellStyle name="20% - Accent5 3 2 2 4" xfId="9170" xr:uid="{F1E711BC-86DB-4F06-B69E-2F6293FB8804}"/>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710CA47C-C670-4D5E-96C9-DCD297D7E3C6}"/>
    <cellStyle name="20% - Accent5 3 2 3 2 3" xfId="11728" xr:uid="{7A47521F-533E-4881-B3DA-5EAAF0EDFF72}"/>
    <cellStyle name="20% - Accent5 3 2 3 3" xfId="5372" xr:uid="{00000000-0005-0000-0000-0000DB020000}"/>
    <cellStyle name="20% - Accent5 3 2 3 3 2" xfId="13801" xr:uid="{C877AD9C-B8D9-4512-AC51-DD336B1534B5}"/>
    <cellStyle name="20% - Accent5 3 2 3 4" xfId="9583" xr:uid="{5C070DB5-7A75-4D85-9FAB-1CF5470D220F}"/>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F8571F0E-9161-4563-89D8-0337A0C7B69F}"/>
    <cellStyle name="20% - Accent5 3 2 4 2 3" xfId="12141" xr:uid="{D243FBBC-51EB-4FE8-BDC0-42075D7854C4}"/>
    <cellStyle name="20% - Accent5 3 2 4 3" xfId="5785" xr:uid="{00000000-0005-0000-0000-0000DF020000}"/>
    <cellStyle name="20% - Accent5 3 2 4 3 2" xfId="14214" xr:uid="{69028099-AB6C-463C-A72E-601A7070AF9F}"/>
    <cellStyle name="20% - Accent5 3 2 4 4" xfId="9996" xr:uid="{4758E067-2A94-4F1C-8814-8FD2B256617E}"/>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11634BEA-8DF6-4AF5-96FD-842F1B71541C}"/>
    <cellStyle name="20% - Accent5 3 2 5 2 3" xfId="12554" xr:uid="{FEB7F01A-05DB-4666-B6E0-85F2AFD520BB}"/>
    <cellStyle name="20% - Accent5 3 2 5 3" xfId="6198" xr:uid="{00000000-0005-0000-0000-0000E3020000}"/>
    <cellStyle name="20% - Accent5 3 2 5 3 2" xfId="14627" xr:uid="{32FB90B0-C13A-45E7-AE56-577858FD74D3}"/>
    <cellStyle name="20% - Accent5 3 2 5 4" xfId="10409" xr:uid="{E04FDBC0-A97E-4A49-BDC9-723BC987045B}"/>
    <cellStyle name="20% - Accent5 3 2 6" xfId="2303" xr:uid="{00000000-0005-0000-0000-0000E4020000}"/>
    <cellStyle name="20% - Accent5 3 2 6 2" xfId="6611" xr:uid="{00000000-0005-0000-0000-0000E5020000}"/>
    <cellStyle name="20% - Accent5 3 2 6 2 2" xfId="15040" xr:uid="{2B0B2DE3-F342-4E8C-A164-FE95098DD972}"/>
    <cellStyle name="20% - Accent5 3 2 6 3" xfId="10822" xr:uid="{ACDBB340-6233-4DFF-9A0D-0805E908788C}"/>
    <cellStyle name="20% - Accent5 3 2 7" xfId="4545" xr:uid="{00000000-0005-0000-0000-0000E6020000}"/>
    <cellStyle name="20% - Accent5 3 2 7 2" xfId="12974" xr:uid="{1FABAC64-F27F-4FE4-A78C-BF615C770ED1}"/>
    <cellStyle name="20% - Accent5 3 2 8" xfId="8756" xr:uid="{1CB8AEF2-8D08-47E9-94A9-7DB554F5CE98}"/>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BC5F8EAD-2515-4723-B8AE-2E3AF727AA7D}"/>
    <cellStyle name="20% - Accent5 3 3 2 3" xfId="11314" xr:uid="{C6A048F1-A1EC-4ADB-8099-018A4DF00EBD}"/>
    <cellStyle name="20% - Accent5 3 3 3" xfId="4958" xr:uid="{00000000-0005-0000-0000-0000EA020000}"/>
    <cellStyle name="20% - Accent5 3 3 3 2" xfId="13387" xr:uid="{56204E0D-ADD8-4509-97CA-F44B660E8D5B}"/>
    <cellStyle name="20% - Accent5 3 3 4" xfId="9169" xr:uid="{20B2543D-A138-4D6A-893D-BD71CA31D86A}"/>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8094A318-4CE9-428F-9143-10AF4DFCE0A7}"/>
    <cellStyle name="20% - Accent5 3 4 2 3" xfId="11727" xr:uid="{C329BFB5-DA43-4440-A260-51EA50B68CB8}"/>
    <cellStyle name="20% - Accent5 3 4 3" xfId="5371" xr:uid="{00000000-0005-0000-0000-0000EE020000}"/>
    <cellStyle name="20% - Accent5 3 4 3 2" xfId="13800" xr:uid="{C201C067-2700-43C9-B1C1-6071585AFC80}"/>
    <cellStyle name="20% - Accent5 3 4 4" xfId="9582" xr:uid="{216C5A2F-7666-4FE7-ACDC-E48B0CBEF1A4}"/>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DA2847A7-7A87-4956-8E7E-D35730650A80}"/>
    <cellStyle name="20% - Accent5 3 5 2 3" xfId="12140" xr:uid="{F46F43E3-EB13-492F-BB85-8074E2DE939B}"/>
    <cellStyle name="20% - Accent5 3 5 3" xfId="5784" xr:uid="{00000000-0005-0000-0000-0000F2020000}"/>
    <cellStyle name="20% - Accent5 3 5 3 2" xfId="14213" xr:uid="{98B7B2C0-D645-4F7E-9D88-AF241CAE70D8}"/>
    <cellStyle name="20% - Accent5 3 5 4" xfId="9995" xr:uid="{FE7C9E64-B891-43C0-89D9-08D150B39FDE}"/>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6A4F2CB2-182F-47B0-A1C9-F09469F99515}"/>
    <cellStyle name="20% - Accent5 3 6 2 3" xfId="12553" xr:uid="{B93E80BD-1C67-4350-8279-BE6AE6F23459}"/>
    <cellStyle name="20% - Accent5 3 6 3" xfId="6197" xr:uid="{00000000-0005-0000-0000-0000F6020000}"/>
    <cellStyle name="20% - Accent5 3 6 3 2" xfId="14626" xr:uid="{9F24B65F-9B10-4758-9C21-42A68774EC7A}"/>
    <cellStyle name="20% - Accent5 3 6 4" xfId="10408" xr:uid="{6CAC0EF7-336D-49D4-92B4-90304DFFE69C}"/>
    <cellStyle name="20% - Accent5 3 7" xfId="2302" xr:uid="{00000000-0005-0000-0000-0000F7020000}"/>
    <cellStyle name="20% - Accent5 3 7 2" xfId="6610" xr:uid="{00000000-0005-0000-0000-0000F8020000}"/>
    <cellStyle name="20% - Accent5 3 7 2 2" xfId="15039" xr:uid="{A669E875-A95A-4A1C-9AF0-F3CE7D27EBDA}"/>
    <cellStyle name="20% - Accent5 3 7 3" xfId="10821" xr:uid="{BC5A3590-C477-414D-8256-96EADA576E9C}"/>
    <cellStyle name="20% - Accent5 3 8" xfId="4544" xr:uid="{00000000-0005-0000-0000-0000F9020000}"/>
    <cellStyle name="20% - Accent5 3 8 2" xfId="12973" xr:uid="{BCCDA986-683F-4801-B7F1-5D51B0D49E30}"/>
    <cellStyle name="20% - Accent5 3 9" xfId="8755" xr:uid="{6407057E-26F8-436D-86D8-AC82565030BB}"/>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51A364CC-2159-4437-BA54-66356127C7E2}"/>
    <cellStyle name="20% - Accent5 4 2 2 3" xfId="11316" xr:uid="{0F3B0F39-F279-4D67-8A08-D26BA3CE7D6C}"/>
    <cellStyle name="20% - Accent5 4 2 3" xfId="4960" xr:uid="{00000000-0005-0000-0000-0000FE020000}"/>
    <cellStyle name="20% - Accent5 4 2 3 2" xfId="13389" xr:uid="{8C53BD90-4307-4762-8069-AE3D3636C0A3}"/>
    <cellStyle name="20% - Accent5 4 2 4" xfId="9171" xr:uid="{4EA74350-9822-47AB-8D0C-DAD980AC6F07}"/>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C2A12CC1-CC59-4AC6-9015-EFDA30FF7873}"/>
    <cellStyle name="20% - Accent5 4 3 2 3" xfId="11729" xr:uid="{E53B72AC-6B90-4A3A-99EB-54137DD0F109}"/>
    <cellStyle name="20% - Accent5 4 3 3" xfId="5373" xr:uid="{00000000-0005-0000-0000-000002030000}"/>
    <cellStyle name="20% - Accent5 4 3 3 2" xfId="13802" xr:uid="{96F3F7A2-BFD8-4200-B01B-EAE2578055BD}"/>
    <cellStyle name="20% - Accent5 4 3 4" xfId="9584" xr:uid="{4E3AD1A8-6BDE-4B70-9470-72CF27BCEC2E}"/>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6C68AAD3-8739-4F85-AB77-EEA146443565}"/>
    <cellStyle name="20% - Accent5 4 4 2 3" xfId="12142" xr:uid="{7726FD74-1EA3-4601-B768-916C9C46A0E1}"/>
    <cellStyle name="20% - Accent5 4 4 3" xfId="5786" xr:uid="{00000000-0005-0000-0000-000006030000}"/>
    <cellStyle name="20% - Accent5 4 4 3 2" xfId="14215" xr:uid="{9DF4BF5B-5D6D-4699-8A72-71FEFD14831C}"/>
    <cellStyle name="20% - Accent5 4 4 4" xfId="9997" xr:uid="{3BB3FD90-4AB8-4C1C-B2C6-32728DA31A78}"/>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9794E13E-9B6D-4B7F-94D2-D1EE88D6186A}"/>
    <cellStyle name="20% - Accent5 4 5 2 3" xfId="12555" xr:uid="{26A75D78-4413-4FA7-B05F-D8CEA4E772DF}"/>
    <cellStyle name="20% - Accent5 4 5 3" xfId="6199" xr:uid="{00000000-0005-0000-0000-00000A030000}"/>
    <cellStyle name="20% - Accent5 4 5 3 2" xfId="14628" xr:uid="{1BF1489B-95CF-4F65-8257-CFF4517F5801}"/>
    <cellStyle name="20% - Accent5 4 5 4" xfId="10410" xr:uid="{0B504564-7115-44DE-9E97-7528B06B5BC7}"/>
    <cellStyle name="20% - Accent5 4 6" xfId="2304" xr:uid="{00000000-0005-0000-0000-00000B030000}"/>
    <cellStyle name="20% - Accent5 4 6 2" xfId="6612" xr:uid="{00000000-0005-0000-0000-00000C030000}"/>
    <cellStyle name="20% - Accent5 4 6 2 2" xfId="15041" xr:uid="{3579777A-BE0A-41E7-9DFE-6427A3E0D321}"/>
    <cellStyle name="20% - Accent5 4 6 3" xfId="10823" xr:uid="{C862A314-A595-4751-B577-AC915546AFD8}"/>
    <cellStyle name="20% - Accent5 4 7" xfId="4546" xr:uid="{00000000-0005-0000-0000-00000D030000}"/>
    <cellStyle name="20% - Accent5 4 7 2" xfId="12975" xr:uid="{7E808E5E-5FDA-4477-B7CF-E9E22AA152D4}"/>
    <cellStyle name="20% - Accent5 4 8" xfId="8757" xr:uid="{BDDA0079-C9CA-491C-88A3-93A96F659694}"/>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EF4CBB93-708E-43CF-A30E-0D4C0B5A878C}"/>
    <cellStyle name="20% - Accent5 5 2 3" xfId="11309" xr:uid="{DF1C4DDF-FE23-4CFA-9B50-E1A73B64DE9D}"/>
    <cellStyle name="20% - Accent5 5 3" xfId="4953" xr:uid="{00000000-0005-0000-0000-000011030000}"/>
    <cellStyle name="20% - Accent5 5 3 2" xfId="13382" xr:uid="{CDF0EBAA-E080-4306-A8D2-ED3630FA6F12}"/>
    <cellStyle name="20% - Accent5 5 4" xfId="9164" xr:uid="{3176618B-93D9-49C4-B01A-6D65B8CF6D03}"/>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4151145A-0B53-4463-BC5E-4C2DD6E51738}"/>
    <cellStyle name="20% - Accent5 6 2 3" xfId="11722" xr:uid="{C998E2DE-66A0-4A4F-A5FC-C697D5DFF35B}"/>
    <cellStyle name="20% - Accent5 6 3" xfId="5366" xr:uid="{00000000-0005-0000-0000-000015030000}"/>
    <cellStyle name="20% - Accent5 6 3 2" xfId="13795" xr:uid="{C338F2C4-CF8A-4DAD-8C79-8803F09F2214}"/>
    <cellStyle name="20% - Accent5 6 4" xfId="9577" xr:uid="{52941B9A-95BB-4E2F-960F-0628D8F24C8B}"/>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2C783873-2361-45E4-BC6C-DE5023501C13}"/>
    <cellStyle name="20% - Accent5 7 2 3" xfId="12135" xr:uid="{4EFEE0F7-63CD-4A75-A3BE-1CE7A4D9FFBD}"/>
    <cellStyle name="20% - Accent5 7 3" xfId="5779" xr:uid="{00000000-0005-0000-0000-000019030000}"/>
    <cellStyle name="20% - Accent5 7 3 2" xfId="14208" xr:uid="{B59FC9FE-C04E-4C97-9197-4BD9760A3EFD}"/>
    <cellStyle name="20% - Accent5 7 4" xfId="9990" xr:uid="{B96FAD29-165B-42E4-BA49-81B3DC9FBCBE}"/>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777CE782-A384-4984-B2C7-E09BDADACDBE}"/>
    <cellStyle name="20% - Accent5 8 2 3" xfId="12548" xr:uid="{A05792D9-5A77-418F-A5C9-AFA22896E842}"/>
    <cellStyle name="20% - Accent5 8 3" xfId="6192" xr:uid="{00000000-0005-0000-0000-00001D030000}"/>
    <cellStyle name="20% - Accent5 8 3 2" xfId="14621" xr:uid="{AB38BC1C-306B-4227-A743-C06442ED337E}"/>
    <cellStyle name="20% - Accent5 8 4" xfId="10403" xr:uid="{5C6260B0-853C-4F6A-9D56-AA1311C4A6FE}"/>
    <cellStyle name="20% - Accent5 9" xfId="2297" xr:uid="{00000000-0005-0000-0000-00001E030000}"/>
    <cellStyle name="20% - Accent5 9 2" xfId="6605" xr:uid="{00000000-0005-0000-0000-00001F030000}"/>
    <cellStyle name="20% - Accent5 9 2 2" xfId="15034" xr:uid="{76CAEBCD-021F-46A6-939F-9A79213F08AE}"/>
    <cellStyle name="20% - Accent5 9 3" xfId="10816" xr:uid="{FBCC435D-65BF-49D8-B8E4-823E9BA38DD6}"/>
    <cellStyle name="20% - Accent6" xfId="41" builtinId="50" customBuiltin="1"/>
    <cellStyle name="20% - Accent6 10" xfId="4547" xr:uid="{00000000-0005-0000-0000-000021030000}"/>
    <cellStyle name="20% - Accent6 10 2" xfId="12976" xr:uid="{C67C94D3-A339-4632-BC53-73DC70EB56AF}"/>
    <cellStyle name="20% - Accent6 11" xfId="8758" xr:uid="{1FD6D5D1-5CA8-412B-A766-CB441D9AEC6C}"/>
    <cellStyle name="20% - Accent6 2" xfId="42" xr:uid="{00000000-0005-0000-0000-000022030000}"/>
    <cellStyle name="20% - Accent6 2 10" xfId="8759" xr:uid="{82D9A28C-3763-4C64-B72F-948C306916D5}"/>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1D50CA54-AE68-4D52-A51C-CB74122CCDF3}"/>
    <cellStyle name="20% - Accent6 2 2 2 2 2 3" xfId="11320" xr:uid="{A215BD6B-51A4-4B88-B5FE-E2DB9924DD73}"/>
    <cellStyle name="20% - Accent6 2 2 2 2 3" xfId="4964" xr:uid="{00000000-0005-0000-0000-000028030000}"/>
    <cellStyle name="20% - Accent6 2 2 2 2 3 2" xfId="13393" xr:uid="{A9B7B739-E2A7-41D7-8B52-923579C7E1DE}"/>
    <cellStyle name="20% - Accent6 2 2 2 2 4" xfId="9175" xr:uid="{6D7A420F-D556-4880-A65A-5BD4BCF382F2}"/>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03627623-481F-466E-AEA4-BCD1AE785B37}"/>
    <cellStyle name="20% - Accent6 2 2 2 3 2 3" xfId="11733" xr:uid="{B7C6986D-BCAE-4354-8CF8-C4F71D798C7B}"/>
    <cellStyle name="20% - Accent6 2 2 2 3 3" xfId="5377" xr:uid="{00000000-0005-0000-0000-00002C030000}"/>
    <cellStyle name="20% - Accent6 2 2 2 3 3 2" xfId="13806" xr:uid="{9BE09A57-4C84-4080-80C2-F1B91272DABA}"/>
    <cellStyle name="20% - Accent6 2 2 2 3 4" xfId="9588" xr:uid="{547864E0-61FB-4FB3-9556-0CB899BB2A34}"/>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88A92F38-A686-4FDB-B217-3FAF0765D631}"/>
    <cellStyle name="20% - Accent6 2 2 2 4 2 3" xfId="12146" xr:uid="{8E94CD57-E47A-41C7-9552-AADD22405A3F}"/>
    <cellStyle name="20% - Accent6 2 2 2 4 3" xfId="5790" xr:uid="{00000000-0005-0000-0000-000030030000}"/>
    <cellStyle name="20% - Accent6 2 2 2 4 3 2" xfId="14219" xr:uid="{AFADED56-A5FC-4590-87FD-2FA6AA19B4C2}"/>
    <cellStyle name="20% - Accent6 2 2 2 4 4" xfId="10001" xr:uid="{EB52F456-8553-4848-ACAB-734D3E58CDD9}"/>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8D76A7EB-8797-4A29-AF2F-A075E3225938}"/>
    <cellStyle name="20% - Accent6 2 2 2 5 2 3" xfId="12559" xr:uid="{4D497083-546B-4D51-A607-60CD2818D24B}"/>
    <cellStyle name="20% - Accent6 2 2 2 5 3" xfId="6203" xr:uid="{00000000-0005-0000-0000-000034030000}"/>
    <cellStyle name="20% - Accent6 2 2 2 5 3 2" xfId="14632" xr:uid="{56BF06F5-F7BA-495A-9497-8BF4E2D92CFE}"/>
    <cellStyle name="20% - Accent6 2 2 2 5 4" xfId="10414" xr:uid="{67F438E6-048D-469C-9D59-7B2108C2A616}"/>
    <cellStyle name="20% - Accent6 2 2 2 6" xfId="2308" xr:uid="{00000000-0005-0000-0000-000035030000}"/>
    <cellStyle name="20% - Accent6 2 2 2 6 2" xfId="6616" xr:uid="{00000000-0005-0000-0000-000036030000}"/>
    <cellStyle name="20% - Accent6 2 2 2 6 2 2" xfId="15045" xr:uid="{240A8DAF-4061-404B-997F-A0A237534730}"/>
    <cellStyle name="20% - Accent6 2 2 2 6 3" xfId="10827" xr:uid="{910003BC-E4EC-499D-8C96-4B0F58579632}"/>
    <cellStyle name="20% - Accent6 2 2 2 7" xfId="4550" xr:uid="{00000000-0005-0000-0000-000037030000}"/>
    <cellStyle name="20% - Accent6 2 2 2 7 2" xfId="12979" xr:uid="{178323D0-4217-4937-A1F9-6099CBC48704}"/>
    <cellStyle name="20% - Accent6 2 2 2 8" xfId="8761" xr:uid="{646BBA81-7285-49B3-86B4-703101700A31}"/>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D0CD85C2-D810-4CB9-8CE4-6CC264DF0AD6}"/>
    <cellStyle name="20% - Accent6 2 2 3 2 3" xfId="11319" xr:uid="{427840B0-1AF5-4A10-9B76-2B33E0433F4D}"/>
    <cellStyle name="20% - Accent6 2 2 3 3" xfId="4963" xr:uid="{00000000-0005-0000-0000-00003B030000}"/>
    <cellStyle name="20% - Accent6 2 2 3 3 2" xfId="13392" xr:uid="{CD856AF6-51E1-4044-B990-A958E168F94C}"/>
    <cellStyle name="20% - Accent6 2 2 3 4" xfId="9174" xr:uid="{4A7D876B-AA45-4F06-9922-0FA0777FD8C1}"/>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111A235E-D79C-455B-BBFA-C868442B20D5}"/>
    <cellStyle name="20% - Accent6 2 2 4 2 3" xfId="11732" xr:uid="{DA8A6DC2-D227-408E-9A7B-CD0694EBFF4F}"/>
    <cellStyle name="20% - Accent6 2 2 4 3" xfId="5376" xr:uid="{00000000-0005-0000-0000-00003F030000}"/>
    <cellStyle name="20% - Accent6 2 2 4 3 2" xfId="13805" xr:uid="{5CF5789B-A3BB-415A-9282-523597BAB98E}"/>
    <cellStyle name="20% - Accent6 2 2 4 4" xfId="9587" xr:uid="{3ED9E794-6830-44B1-8442-068405598B5D}"/>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313E640D-DB26-42AB-8D9D-76C68360C04F}"/>
    <cellStyle name="20% - Accent6 2 2 5 2 3" xfId="12145" xr:uid="{075A89F7-AA61-44DA-8D4F-EF90C3DF0B3A}"/>
    <cellStyle name="20% - Accent6 2 2 5 3" xfId="5789" xr:uid="{00000000-0005-0000-0000-000043030000}"/>
    <cellStyle name="20% - Accent6 2 2 5 3 2" xfId="14218" xr:uid="{B179D0CD-B009-462D-B6DF-302E5B72A47E}"/>
    <cellStyle name="20% - Accent6 2 2 5 4" xfId="10000" xr:uid="{B2E1C191-97E5-4DC3-BC25-5A8D96D27225}"/>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9BA314FE-459E-40B4-A84D-18030104DF18}"/>
    <cellStyle name="20% - Accent6 2 2 6 2 3" xfId="12558" xr:uid="{88BCF5D4-CC8E-45BF-89B9-B78132C470BC}"/>
    <cellStyle name="20% - Accent6 2 2 6 3" xfId="6202" xr:uid="{00000000-0005-0000-0000-000047030000}"/>
    <cellStyle name="20% - Accent6 2 2 6 3 2" xfId="14631" xr:uid="{1B380E9B-24C0-4BFA-8798-447B63F544D1}"/>
    <cellStyle name="20% - Accent6 2 2 6 4" xfId="10413" xr:uid="{34AAF2B0-1DFD-43E4-996B-9EAEDE006717}"/>
    <cellStyle name="20% - Accent6 2 2 7" xfId="2307" xr:uid="{00000000-0005-0000-0000-000048030000}"/>
    <cellStyle name="20% - Accent6 2 2 7 2" xfId="6615" xr:uid="{00000000-0005-0000-0000-000049030000}"/>
    <cellStyle name="20% - Accent6 2 2 7 2 2" xfId="15044" xr:uid="{82C22B1F-59B1-4394-9830-CDAB2732CB36}"/>
    <cellStyle name="20% - Accent6 2 2 7 3" xfId="10826" xr:uid="{F00E9B32-2CF1-4A55-B736-68B19CC08E2D}"/>
    <cellStyle name="20% - Accent6 2 2 8" xfId="4549" xr:uid="{00000000-0005-0000-0000-00004A030000}"/>
    <cellStyle name="20% - Accent6 2 2 8 2" xfId="12978" xr:uid="{BB5D6CAC-60F7-4C5E-8845-3333979D1077}"/>
    <cellStyle name="20% - Accent6 2 2 9" xfId="8760" xr:uid="{935D1AC7-71EF-4F45-8E86-3E6AC7514961}"/>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692C6FA5-E003-4FF3-BF56-A80AA58AC0B0}"/>
    <cellStyle name="20% - Accent6 2 3 2 2 3" xfId="11321" xr:uid="{ACEDDEA9-D9A4-4F40-BB05-3FE3B2055FB2}"/>
    <cellStyle name="20% - Accent6 2 3 2 3" xfId="4965" xr:uid="{00000000-0005-0000-0000-00004F030000}"/>
    <cellStyle name="20% - Accent6 2 3 2 3 2" xfId="13394" xr:uid="{616C846F-9C4A-4E6A-B775-930CD4A28CC6}"/>
    <cellStyle name="20% - Accent6 2 3 2 4" xfId="9176" xr:uid="{FFA0A0F0-2B3F-4266-B310-72AB21B3E2D2}"/>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A4703E06-FAA2-4D30-8E85-7E650DA3D73B}"/>
    <cellStyle name="20% - Accent6 2 3 3 2 3" xfId="11734" xr:uid="{E102005F-41CC-4025-8C69-CC405EC493FD}"/>
    <cellStyle name="20% - Accent6 2 3 3 3" xfId="5378" xr:uid="{00000000-0005-0000-0000-000053030000}"/>
    <cellStyle name="20% - Accent6 2 3 3 3 2" xfId="13807" xr:uid="{636804DA-87B0-42FE-B3E6-7F86494E1E16}"/>
    <cellStyle name="20% - Accent6 2 3 3 4" xfId="9589" xr:uid="{3F652247-FDE4-4224-9E4F-8D7CAEAB3BCE}"/>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0096237D-F77A-4D85-A30E-6E8CE6FA2D66}"/>
    <cellStyle name="20% - Accent6 2 3 4 2 3" xfId="12147" xr:uid="{BCB96150-50E5-48D5-BEB9-C54DCE0CA522}"/>
    <cellStyle name="20% - Accent6 2 3 4 3" xfId="5791" xr:uid="{00000000-0005-0000-0000-000057030000}"/>
    <cellStyle name="20% - Accent6 2 3 4 3 2" xfId="14220" xr:uid="{D9760E92-E611-4AB7-B260-AF4B08A3AB6B}"/>
    <cellStyle name="20% - Accent6 2 3 4 4" xfId="10002" xr:uid="{56EC4690-E684-431D-AC7D-75596E848239}"/>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00C6D0F5-A9E9-451A-8AA6-70F34CCA38AC}"/>
    <cellStyle name="20% - Accent6 2 3 5 2 3" xfId="12560" xr:uid="{11B163DE-A641-49A1-9536-9DA249A0D3D6}"/>
    <cellStyle name="20% - Accent6 2 3 5 3" xfId="6204" xr:uid="{00000000-0005-0000-0000-00005B030000}"/>
    <cellStyle name="20% - Accent6 2 3 5 3 2" xfId="14633" xr:uid="{45A7D500-2680-4506-B494-453AD6A550BF}"/>
    <cellStyle name="20% - Accent6 2 3 5 4" xfId="10415" xr:uid="{C9AF8672-3306-48F1-8254-355A0DBA3B09}"/>
    <cellStyle name="20% - Accent6 2 3 6" xfId="2309" xr:uid="{00000000-0005-0000-0000-00005C030000}"/>
    <cellStyle name="20% - Accent6 2 3 6 2" xfId="6617" xr:uid="{00000000-0005-0000-0000-00005D030000}"/>
    <cellStyle name="20% - Accent6 2 3 6 2 2" xfId="15046" xr:uid="{42906541-7EE4-4270-88A2-5A72D88754C1}"/>
    <cellStyle name="20% - Accent6 2 3 6 3" xfId="10828" xr:uid="{9682DC70-3AB0-4BF8-941A-B3061AE29CB0}"/>
    <cellStyle name="20% - Accent6 2 3 7" xfId="4551" xr:uid="{00000000-0005-0000-0000-00005E030000}"/>
    <cellStyle name="20% - Accent6 2 3 7 2" xfId="12980" xr:uid="{98F77B75-77E3-4319-A62B-ABAF36305265}"/>
    <cellStyle name="20% - Accent6 2 3 8" xfId="8762" xr:uid="{301707A5-C5F7-4952-AE76-DB28D280D172}"/>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BCB41281-9565-47FD-91A7-25ECF1793626}"/>
    <cellStyle name="20% - Accent6 2 4 2 3" xfId="11318" xr:uid="{E4617513-2AA7-4383-A1C1-E5EF103F3BF5}"/>
    <cellStyle name="20% - Accent6 2 4 3" xfId="4962" xr:uid="{00000000-0005-0000-0000-000062030000}"/>
    <cellStyle name="20% - Accent6 2 4 3 2" xfId="13391" xr:uid="{DC995683-8FBD-48FE-B2FF-554F885A44FF}"/>
    <cellStyle name="20% - Accent6 2 4 4" xfId="9173" xr:uid="{3B6DC910-322B-4F44-BEC8-1C5AA11C2A9C}"/>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BAD4B84A-C226-4626-9026-B7F520CA1547}"/>
    <cellStyle name="20% - Accent6 2 5 2 3" xfId="11731" xr:uid="{8060FB8D-9B6B-4918-9C24-05E5535575C4}"/>
    <cellStyle name="20% - Accent6 2 5 3" xfId="5375" xr:uid="{00000000-0005-0000-0000-000066030000}"/>
    <cellStyle name="20% - Accent6 2 5 3 2" xfId="13804" xr:uid="{6DA905E4-13CA-493F-BD18-C2586EE70AAA}"/>
    <cellStyle name="20% - Accent6 2 5 4" xfId="9586" xr:uid="{7548E1F6-7B04-4057-AE20-CC5A6DDFF522}"/>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6EC4FE46-EF14-400F-899C-905B48EFD9D4}"/>
    <cellStyle name="20% - Accent6 2 6 2 3" xfId="12144" xr:uid="{77317574-8E7F-42BC-B2E3-B6CA1E476267}"/>
    <cellStyle name="20% - Accent6 2 6 3" xfId="5788" xr:uid="{00000000-0005-0000-0000-00006A030000}"/>
    <cellStyle name="20% - Accent6 2 6 3 2" xfId="14217" xr:uid="{1F245830-4009-49E4-9D97-5C6EC03D3E6F}"/>
    <cellStyle name="20% - Accent6 2 6 4" xfId="9999" xr:uid="{1F926ADF-D572-4944-A4C6-A90B84A038FD}"/>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96CD128E-F0DF-4640-8213-B84D8B803016}"/>
    <cellStyle name="20% - Accent6 2 7 2 3" xfId="12557" xr:uid="{BBA7834B-9043-4E72-8C1B-1B938A63CA42}"/>
    <cellStyle name="20% - Accent6 2 7 3" xfId="6201" xr:uid="{00000000-0005-0000-0000-00006E030000}"/>
    <cellStyle name="20% - Accent6 2 7 3 2" xfId="14630" xr:uid="{421222A6-B5B8-4388-80DC-B6BA79FEE2AC}"/>
    <cellStyle name="20% - Accent6 2 7 4" xfId="10412" xr:uid="{C8592156-5F25-476D-8EC8-0BC8C9F5ACA5}"/>
    <cellStyle name="20% - Accent6 2 8" xfId="2306" xr:uid="{00000000-0005-0000-0000-00006F030000}"/>
    <cellStyle name="20% - Accent6 2 8 2" xfId="6614" xr:uid="{00000000-0005-0000-0000-000070030000}"/>
    <cellStyle name="20% - Accent6 2 8 2 2" xfId="15043" xr:uid="{D2E23D1D-E65D-463B-95E9-FAEBC64E6F17}"/>
    <cellStyle name="20% - Accent6 2 8 3" xfId="10825" xr:uid="{746AD9D2-94FA-4768-8F97-BDA0ED44C688}"/>
    <cellStyle name="20% - Accent6 2 9" xfId="4548" xr:uid="{00000000-0005-0000-0000-000071030000}"/>
    <cellStyle name="20% - Accent6 2 9 2" xfId="12977" xr:uid="{2DDBBCD9-AC77-4B71-A71C-506C20204AC3}"/>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32DCC511-F618-47F5-8664-2CF04893BC8D}"/>
    <cellStyle name="20% - Accent6 3 2 2 2 3" xfId="11323" xr:uid="{E69278C5-90A4-4695-878D-9439BE8DF89F}"/>
    <cellStyle name="20% - Accent6 3 2 2 3" xfId="4967" xr:uid="{00000000-0005-0000-0000-000077030000}"/>
    <cellStyle name="20% - Accent6 3 2 2 3 2" xfId="13396" xr:uid="{81147D0C-5B0E-4881-BBAA-4343943D600F}"/>
    <cellStyle name="20% - Accent6 3 2 2 4" xfId="9178" xr:uid="{8B25AA15-BAAD-48BB-BCAF-82263179050C}"/>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944588DD-3FFE-4543-B058-46983EF5D7E8}"/>
    <cellStyle name="20% - Accent6 3 2 3 2 3" xfId="11736" xr:uid="{CAE669AD-2654-416E-8821-BCE733838FE0}"/>
    <cellStyle name="20% - Accent6 3 2 3 3" xfId="5380" xr:uid="{00000000-0005-0000-0000-00007B030000}"/>
    <cellStyle name="20% - Accent6 3 2 3 3 2" xfId="13809" xr:uid="{3289AECF-4F5B-44CB-AA10-027B995D0C6B}"/>
    <cellStyle name="20% - Accent6 3 2 3 4" xfId="9591" xr:uid="{71FDCA0A-4E2B-470E-825E-6B71C04AAB09}"/>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7B095AF5-E382-450B-8A3E-00A646D3C247}"/>
    <cellStyle name="20% - Accent6 3 2 4 2 3" xfId="12149" xr:uid="{71276E3C-8A0A-443E-9F84-475C5FC4CE12}"/>
    <cellStyle name="20% - Accent6 3 2 4 3" xfId="5793" xr:uid="{00000000-0005-0000-0000-00007F030000}"/>
    <cellStyle name="20% - Accent6 3 2 4 3 2" xfId="14222" xr:uid="{24E53174-D1B4-413C-AF4E-A3CE5C227954}"/>
    <cellStyle name="20% - Accent6 3 2 4 4" xfId="10004" xr:uid="{DBD2489B-19D8-48F6-870C-8BEFDFBC6811}"/>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C72B181-3A75-42C3-9921-18DFB75BDB2A}"/>
    <cellStyle name="20% - Accent6 3 2 5 2 3" xfId="12562" xr:uid="{100F7E5E-D5D0-4E01-870C-E6DE74E6FADF}"/>
    <cellStyle name="20% - Accent6 3 2 5 3" xfId="6206" xr:uid="{00000000-0005-0000-0000-000083030000}"/>
    <cellStyle name="20% - Accent6 3 2 5 3 2" xfId="14635" xr:uid="{78FCCD91-FE35-4E39-A8AE-CCF976E7AD10}"/>
    <cellStyle name="20% - Accent6 3 2 5 4" xfId="10417" xr:uid="{A86B08F7-4826-49EE-8DA0-F7C2A276D9AD}"/>
    <cellStyle name="20% - Accent6 3 2 6" xfId="2311" xr:uid="{00000000-0005-0000-0000-000084030000}"/>
    <cellStyle name="20% - Accent6 3 2 6 2" xfId="6619" xr:uid="{00000000-0005-0000-0000-000085030000}"/>
    <cellStyle name="20% - Accent6 3 2 6 2 2" xfId="15048" xr:uid="{1A265E49-1022-4D2A-ACA6-FBBCE12C8A7D}"/>
    <cellStyle name="20% - Accent6 3 2 6 3" xfId="10830" xr:uid="{A3655391-6FBE-4A41-BF0E-A2C0068711CB}"/>
    <cellStyle name="20% - Accent6 3 2 7" xfId="4553" xr:uid="{00000000-0005-0000-0000-000086030000}"/>
    <cellStyle name="20% - Accent6 3 2 7 2" xfId="12982" xr:uid="{7AB0DEE4-41E2-4A61-8A5C-64F0FA1F36BA}"/>
    <cellStyle name="20% - Accent6 3 2 8" xfId="8764" xr:uid="{F55DBCF3-94F5-47B1-85A5-0F7C64470D5D}"/>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663DD9F6-1310-4D37-87B4-D14425FF6C4A}"/>
    <cellStyle name="20% - Accent6 3 3 2 3" xfId="11322" xr:uid="{F6CB345C-E584-490D-A4A9-23D389CB14EB}"/>
    <cellStyle name="20% - Accent6 3 3 3" xfId="4966" xr:uid="{00000000-0005-0000-0000-00008A030000}"/>
    <cellStyle name="20% - Accent6 3 3 3 2" xfId="13395" xr:uid="{010C00C3-4D1F-46D8-B004-49AD964D64D0}"/>
    <cellStyle name="20% - Accent6 3 3 4" xfId="9177" xr:uid="{D0BE346A-0A1E-4A3A-860F-7250D4EFB03F}"/>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415F5F7E-ED7D-4D95-BF60-A13DD6FD06F0}"/>
    <cellStyle name="20% - Accent6 3 4 2 3" xfId="11735" xr:uid="{01EE5CE5-B3B2-4D65-96A0-90083CDC74CD}"/>
    <cellStyle name="20% - Accent6 3 4 3" xfId="5379" xr:uid="{00000000-0005-0000-0000-00008E030000}"/>
    <cellStyle name="20% - Accent6 3 4 3 2" xfId="13808" xr:uid="{4C03A0D8-7AAA-45B5-9C9D-F29CBFAD0C9C}"/>
    <cellStyle name="20% - Accent6 3 4 4" xfId="9590" xr:uid="{82701EA6-2FF1-4402-A226-63F471B26C55}"/>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3BBB23F2-0777-4190-A7AA-BBCDA944A4A5}"/>
    <cellStyle name="20% - Accent6 3 5 2 3" xfId="12148" xr:uid="{E8F1AF7F-BD66-44E8-9E31-CD2A6EE8E95E}"/>
    <cellStyle name="20% - Accent6 3 5 3" xfId="5792" xr:uid="{00000000-0005-0000-0000-000092030000}"/>
    <cellStyle name="20% - Accent6 3 5 3 2" xfId="14221" xr:uid="{555F2950-3B3D-4D1C-853F-583D0B949F4E}"/>
    <cellStyle name="20% - Accent6 3 5 4" xfId="10003" xr:uid="{0C1BA15E-373C-45ED-818B-2A0215F48F78}"/>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56A42D21-F3BD-4FE7-A582-272B1B7ACAC5}"/>
    <cellStyle name="20% - Accent6 3 6 2 3" xfId="12561" xr:uid="{5A077465-A944-4133-B032-978F29C51106}"/>
    <cellStyle name="20% - Accent6 3 6 3" xfId="6205" xr:uid="{00000000-0005-0000-0000-000096030000}"/>
    <cellStyle name="20% - Accent6 3 6 3 2" xfId="14634" xr:uid="{41306337-8752-4C91-A470-EDD9FCA7860B}"/>
    <cellStyle name="20% - Accent6 3 6 4" xfId="10416" xr:uid="{6902CF39-3C46-4D98-9B2D-A46D9BF4D0EF}"/>
    <cellStyle name="20% - Accent6 3 7" xfId="2310" xr:uid="{00000000-0005-0000-0000-000097030000}"/>
    <cellStyle name="20% - Accent6 3 7 2" xfId="6618" xr:uid="{00000000-0005-0000-0000-000098030000}"/>
    <cellStyle name="20% - Accent6 3 7 2 2" xfId="15047" xr:uid="{F1956D13-56D6-41FF-AFEC-D3DA614EA2CD}"/>
    <cellStyle name="20% - Accent6 3 7 3" xfId="10829" xr:uid="{94D084C1-6561-4296-AADC-16018763215E}"/>
    <cellStyle name="20% - Accent6 3 8" xfId="4552" xr:uid="{00000000-0005-0000-0000-000099030000}"/>
    <cellStyle name="20% - Accent6 3 8 2" xfId="12981" xr:uid="{B069DBF5-1B51-41BF-AC24-1C8BD374DC51}"/>
    <cellStyle name="20% - Accent6 3 9" xfId="8763" xr:uid="{C0995220-E746-48AE-8D58-495073D25AFD}"/>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CACB6995-4850-4703-907D-B90322ED21D7}"/>
    <cellStyle name="20% - Accent6 4 2 2 3" xfId="11324" xr:uid="{B8BF0A0A-ACC0-4FCB-A933-EB19E7DF66EE}"/>
    <cellStyle name="20% - Accent6 4 2 3" xfId="4968" xr:uid="{00000000-0005-0000-0000-00009E030000}"/>
    <cellStyle name="20% - Accent6 4 2 3 2" xfId="13397" xr:uid="{6F809D57-02A6-4683-BC33-2DB8C7E6F908}"/>
    <cellStyle name="20% - Accent6 4 2 4" xfId="9179" xr:uid="{65B0850D-0B5A-45B1-A1AA-1CF2CE7F7C6E}"/>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C939FFA3-FC3A-4902-A0E7-C09F28A9978A}"/>
    <cellStyle name="20% - Accent6 4 3 2 3" xfId="11737" xr:uid="{27BE3BB7-DCC7-4D61-A571-593787053EB0}"/>
    <cellStyle name="20% - Accent6 4 3 3" xfId="5381" xr:uid="{00000000-0005-0000-0000-0000A2030000}"/>
    <cellStyle name="20% - Accent6 4 3 3 2" xfId="13810" xr:uid="{119DFF37-CD35-4985-AE2E-D210C1145CD9}"/>
    <cellStyle name="20% - Accent6 4 3 4" xfId="9592" xr:uid="{AAB06A4E-F51A-436B-8E84-776058968D1E}"/>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6E72F5B9-7483-43BD-A970-438792B0EE50}"/>
    <cellStyle name="20% - Accent6 4 4 2 3" xfId="12150" xr:uid="{7ADDA698-4A99-485D-BF82-7A7856864EA4}"/>
    <cellStyle name="20% - Accent6 4 4 3" xfId="5794" xr:uid="{00000000-0005-0000-0000-0000A6030000}"/>
    <cellStyle name="20% - Accent6 4 4 3 2" xfId="14223" xr:uid="{F155B5D7-00E0-489B-8A92-15D0C39DE751}"/>
    <cellStyle name="20% - Accent6 4 4 4" xfId="10005" xr:uid="{69FBAF44-0396-4168-AE84-2A8F4D81C33E}"/>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C44B9454-79B6-4292-A052-06FC3A723323}"/>
    <cellStyle name="20% - Accent6 4 5 2 3" xfId="12563" xr:uid="{91BC44CC-FF9D-48A2-BD90-C31CC052B7E2}"/>
    <cellStyle name="20% - Accent6 4 5 3" xfId="6207" xr:uid="{00000000-0005-0000-0000-0000AA030000}"/>
    <cellStyle name="20% - Accent6 4 5 3 2" xfId="14636" xr:uid="{1FF87FB4-B61B-447C-BAA9-65C2D266F4F0}"/>
    <cellStyle name="20% - Accent6 4 5 4" xfId="10418" xr:uid="{C9C2DE22-209C-48BF-9D71-6F7C34D4E5B5}"/>
    <cellStyle name="20% - Accent6 4 6" xfId="2312" xr:uid="{00000000-0005-0000-0000-0000AB030000}"/>
    <cellStyle name="20% - Accent6 4 6 2" xfId="6620" xr:uid="{00000000-0005-0000-0000-0000AC030000}"/>
    <cellStyle name="20% - Accent6 4 6 2 2" xfId="15049" xr:uid="{A4CC7A1A-5001-47D8-A5BD-A39700119F2D}"/>
    <cellStyle name="20% - Accent6 4 6 3" xfId="10831" xr:uid="{C73A6A36-CDDA-4E70-8C84-813EEE110A82}"/>
    <cellStyle name="20% - Accent6 4 7" xfId="4554" xr:uid="{00000000-0005-0000-0000-0000AD030000}"/>
    <cellStyle name="20% - Accent6 4 7 2" xfId="12983" xr:uid="{970821E0-1B31-4537-99CB-7094390D238C}"/>
    <cellStyle name="20% - Accent6 4 8" xfId="8765" xr:uid="{EBF39826-4CD4-4121-89B1-3FA5FEFE76FB}"/>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64D55FEB-CF5E-4902-8FD8-50D0A73DCEDD}"/>
    <cellStyle name="20% - Accent6 5 2 3" xfId="11317" xr:uid="{AF08E52F-1512-4445-A5D1-B03F3A4BA3BC}"/>
    <cellStyle name="20% - Accent6 5 3" xfId="4961" xr:uid="{00000000-0005-0000-0000-0000B1030000}"/>
    <cellStyle name="20% - Accent6 5 3 2" xfId="13390" xr:uid="{7D55675A-951C-46C0-B482-D5C0951AAEDC}"/>
    <cellStyle name="20% - Accent6 5 4" xfId="9172" xr:uid="{23DE0667-AA0C-48D1-9A2E-5283B9726160}"/>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32F0AAA3-C652-4407-A978-C473D8831C64}"/>
    <cellStyle name="20% - Accent6 6 2 3" xfId="11730" xr:uid="{2B5D9717-F309-45F3-A9A8-4658D258E10E}"/>
    <cellStyle name="20% - Accent6 6 3" xfId="5374" xr:uid="{00000000-0005-0000-0000-0000B5030000}"/>
    <cellStyle name="20% - Accent6 6 3 2" xfId="13803" xr:uid="{4763A31D-4457-49B6-9C2E-C97F9E83D50B}"/>
    <cellStyle name="20% - Accent6 6 4" xfId="9585" xr:uid="{87769420-736B-43AA-85EF-69DD5D8263E5}"/>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D2EB6717-9736-434C-991D-CFAB240614D4}"/>
    <cellStyle name="20% - Accent6 7 2 3" xfId="12143" xr:uid="{2D75AF85-2C59-4B24-A900-6181672C35DF}"/>
    <cellStyle name="20% - Accent6 7 3" xfId="5787" xr:uid="{00000000-0005-0000-0000-0000B9030000}"/>
    <cellStyle name="20% - Accent6 7 3 2" xfId="14216" xr:uid="{8CB1B257-38EC-4CC8-8AED-857E815E9A81}"/>
    <cellStyle name="20% - Accent6 7 4" xfId="9998" xr:uid="{929BB992-EDA2-49B8-AE94-3048873A9002}"/>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F606D803-4A36-4D06-8701-A6CCD0F46CB4}"/>
    <cellStyle name="20% - Accent6 8 2 3" xfId="12556" xr:uid="{EA11749D-CE30-468E-A21E-C0B0FE486519}"/>
    <cellStyle name="20% - Accent6 8 3" xfId="6200" xr:uid="{00000000-0005-0000-0000-0000BD030000}"/>
    <cellStyle name="20% - Accent6 8 3 2" xfId="14629" xr:uid="{F5110152-EE02-48CE-978C-AF630014AA86}"/>
    <cellStyle name="20% - Accent6 8 4" xfId="10411" xr:uid="{3BB2059F-91F9-4EF4-89F0-D80A15505EE2}"/>
    <cellStyle name="20% - Accent6 9" xfId="2305" xr:uid="{00000000-0005-0000-0000-0000BE030000}"/>
    <cellStyle name="20% - Accent6 9 2" xfId="6613" xr:uid="{00000000-0005-0000-0000-0000BF030000}"/>
    <cellStyle name="20% - Accent6 9 2 2" xfId="15042" xr:uid="{86089209-F499-4C82-B687-2AB25545F3B6}"/>
    <cellStyle name="20% - Accent6 9 3" xfId="10824" xr:uid="{C4C377B0-3E91-498F-868E-1755A8BAD1F4}"/>
    <cellStyle name="40% - Accent1" xfId="49" builtinId="31" customBuiltin="1"/>
    <cellStyle name="40% - Accent1 10" xfId="4555" xr:uid="{00000000-0005-0000-0000-0000C1030000}"/>
    <cellStyle name="40% - Accent1 10 2" xfId="12984" xr:uid="{D943D5D0-56BC-4395-8461-0320A8CB1C44}"/>
    <cellStyle name="40% - Accent1 11" xfId="8766" xr:uid="{3876A848-406A-438A-9F43-4DA6B3963726}"/>
    <cellStyle name="40% - Accent1 2" xfId="50" xr:uid="{00000000-0005-0000-0000-0000C2030000}"/>
    <cellStyle name="40% - Accent1 2 10" xfId="8767" xr:uid="{1865DA8A-A8F0-41E0-AD75-C52017965026}"/>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D8CAA3D5-80E8-4A01-84A4-52EE3CE17400}"/>
    <cellStyle name="40% - Accent1 2 2 2 2 2 3" xfId="11328" xr:uid="{1A2FB2CA-F15D-4913-9ACD-CC268717A773}"/>
    <cellStyle name="40% - Accent1 2 2 2 2 3" xfId="4972" xr:uid="{00000000-0005-0000-0000-0000C8030000}"/>
    <cellStyle name="40% - Accent1 2 2 2 2 3 2" xfId="13401" xr:uid="{356996B7-90E5-4954-9F06-2EDBAACF256F}"/>
    <cellStyle name="40% - Accent1 2 2 2 2 4" xfId="9183" xr:uid="{9080B619-F9A8-4195-A34D-D0B6F401854B}"/>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1F9F37F6-8B3D-4BD2-A72A-BBB7E2C2369A}"/>
    <cellStyle name="40% - Accent1 2 2 2 3 2 3" xfId="11741" xr:uid="{F557AB09-FC77-49CE-B849-F2281CF58A38}"/>
    <cellStyle name="40% - Accent1 2 2 2 3 3" xfId="5385" xr:uid="{00000000-0005-0000-0000-0000CC030000}"/>
    <cellStyle name="40% - Accent1 2 2 2 3 3 2" xfId="13814" xr:uid="{AE654685-AF45-4403-AED3-DDBEA5C0C1AD}"/>
    <cellStyle name="40% - Accent1 2 2 2 3 4" xfId="9596" xr:uid="{D89262CD-5E36-4A68-BF16-4D8CBB18AE4A}"/>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659FF689-FB46-463C-A476-59FE91BBF994}"/>
    <cellStyle name="40% - Accent1 2 2 2 4 2 3" xfId="12154" xr:uid="{5B566D1E-E376-4618-A100-1AAAFC51BF28}"/>
    <cellStyle name="40% - Accent1 2 2 2 4 3" xfId="5798" xr:uid="{00000000-0005-0000-0000-0000D0030000}"/>
    <cellStyle name="40% - Accent1 2 2 2 4 3 2" xfId="14227" xr:uid="{12C4311D-1D0F-4E74-B348-D7D7D57310C3}"/>
    <cellStyle name="40% - Accent1 2 2 2 4 4" xfId="10009" xr:uid="{3A1CC7C5-616C-4217-86D5-9243D7686A46}"/>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3310B803-6A2D-4644-A6A0-9E8A3B5A4479}"/>
    <cellStyle name="40% - Accent1 2 2 2 5 2 3" xfId="12567" xr:uid="{8DD12A7E-F946-4A87-AB79-0FFCA0CE9506}"/>
    <cellStyle name="40% - Accent1 2 2 2 5 3" xfId="6211" xr:uid="{00000000-0005-0000-0000-0000D4030000}"/>
    <cellStyle name="40% - Accent1 2 2 2 5 3 2" xfId="14640" xr:uid="{8AA14061-AD0B-46F6-8CFB-104FAC173BFF}"/>
    <cellStyle name="40% - Accent1 2 2 2 5 4" xfId="10422" xr:uid="{A833EB98-1FCF-4632-BCB0-B99685787A67}"/>
    <cellStyle name="40% - Accent1 2 2 2 6" xfId="2316" xr:uid="{00000000-0005-0000-0000-0000D5030000}"/>
    <cellStyle name="40% - Accent1 2 2 2 6 2" xfId="6624" xr:uid="{00000000-0005-0000-0000-0000D6030000}"/>
    <cellStyle name="40% - Accent1 2 2 2 6 2 2" xfId="15053" xr:uid="{71BEA377-7F9D-48A4-8DDC-FDE5D08D1A56}"/>
    <cellStyle name="40% - Accent1 2 2 2 6 3" xfId="10835" xr:uid="{03BE23C1-9E91-40EB-88A7-68ACB9149055}"/>
    <cellStyle name="40% - Accent1 2 2 2 7" xfId="4558" xr:uid="{00000000-0005-0000-0000-0000D7030000}"/>
    <cellStyle name="40% - Accent1 2 2 2 7 2" xfId="12987" xr:uid="{5C1FC7C3-C651-4DE7-9BA0-32620E2355BD}"/>
    <cellStyle name="40% - Accent1 2 2 2 8" xfId="8769" xr:uid="{41CC93B5-6B15-466B-93B5-D4D7B591B6C3}"/>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10F89EED-F0DD-457E-9A25-C4641E5682BC}"/>
    <cellStyle name="40% - Accent1 2 2 3 2 3" xfId="11327" xr:uid="{590EC881-128B-42DA-A265-AE318F1340D1}"/>
    <cellStyle name="40% - Accent1 2 2 3 3" xfId="4971" xr:uid="{00000000-0005-0000-0000-0000DB030000}"/>
    <cellStyle name="40% - Accent1 2 2 3 3 2" xfId="13400" xr:uid="{CEF23399-FA03-43EF-B920-0F155F0095D9}"/>
    <cellStyle name="40% - Accent1 2 2 3 4" xfId="9182" xr:uid="{E1EAD031-6B61-4DFC-9DE4-8798DCAAE15A}"/>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A9663943-303D-4CF9-90BE-5E2DC719E980}"/>
    <cellStyle name="40% - Accent1 2 2 4 2 3" xfId="11740" xr:uid="{5F021301-6FA8-4303-A2CA-F348E301A379}"/>
    <cellStyle name="40% - Accent1 2 2 4 3" xfId="5384" xr:uid="{00000000-0005-0000-0000-0000DF030000}"/>
    <cellStyle name="40% - Accent1 2 2 4 3 2" xfId="13813" xr:uid="{B0751352-D89D-4CFC-9E83-F878E016D6CB}"/>
    <cellStyle name="40% - Accent1 2 2 4 4" xfId="9595" xr:uid="{AE4F8A63-DC12-43EC-8808-7717988DF4D7}"/>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2BC951FB-48BD-462A-8E29-94553184FB78}"/>
    <cellStyle name="40% - Accent1 2 2 5 2 3" xfId="12153" xr:uid="{8B009A14-8978-4889-91E4-85B1C46E614F}"/>
    <cellStyle name="40% - Accent1 2 2 5 3" xfId="5797" xr:uid="{00000000-0005-0000-0000-0000E3030000}"/>
    <cellStyle name="40% - Accent1 2 2 5 3 2" xfId="14226" xr:uid="{C43D3CFA-D14C-44E1-A620-9E816AEAEC8B}"/>
    <cellStyle name="40% - Accent1 2 2 5 4" xfId="10008" xr:uid="{05434B9B-C1E0-4DAE-8348-3A443947CFE7}"/>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0D3623AA-51C2-4212-9D6D-1598638BF5EC}"/>
    <cellStyle name="40% - Accent1 2 2 6 2 3" xfId="12566" xr:uid="{6E3F6488-BCB0-4898-A7F2-A813F0AE88C0}"/>
    <cellStyle name="40% - Accent1 2 2 6 3" xfId="6210" xr:uid="{00000000-0005-0000-0000-0000E7030000}"/>
    <cellStyle name="40% - Accent1 2 2 6 3 2" xfId="14639" xr:uid="{F78870A2-CE7D-4D6D-97E7-1A8D191426E7}"/>
    <cellStyle name="40% - Accent1 2 2 6 4" xfId="10421" xr:uid="{AA411429-E394-429E-9E72-2A009BA238AB}"/>
    <cellStyle name="40% - Accent1 2 2 7" xfId="2315" xr:uid="{00000000-0005-0000-0000-0000E8030000}"/>
    <cellStyle name="40% - Accent1 2 2 7 2" xfId="6623" xr:uid="{00000000-0005-0000-0000-0000E9030000}"/>
    <cellStyle name="40% - Accent1 2 2 7 2 2" xfId="15052" xr:uid="{B1B3E33A-6FF6-4976-8041-3F35E737EFDE}"/>
    <cellStyle name="40% - Accent1 2 2 7 3" xfId="10834" xr:uid="{8F2399E8-13F7-4EA7-B253-D3E230768806}"/>
    <cellStyle name="40% - Accent1 2 2 8" xfId="4557" xr:uid="{00000000-0005-0000-0000-0000EA030000}"/>
    <cellStyle name="40% - Accent1 2 2 8 2" xfId="12986" xr:uid="{D4094F7C-2D68-4BD4-A8EB-F58D76C50DDC}"/>
    <cellStyle name="40% - Accent1 2 2 9" xfId="8768" xr:uid="{92A82F4D-FD74-4B04-BAF8-46C1AD9E911A}"/>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CD3E5C6E-A931-4B06-801E-0B2652919A5A}"/>
    <cellStyle name="40% - Accent1 2 3 2 2 3" xfId="11329" xr:uid="{000B48D3-88D3-4382-BAD8-9DD5445E6311}"/>
    <cellStyle name="40% - Accent1 2 3 2 3" xfId="4973" xr:uid="{00000000-0005-0000-0000-0000EF030000}"/>
    <cellStyle name="40% - Accent1 2 3 2 3 2" xfId="13402" xr:uid="{B41D1470-8838-4431-9EF4-5F8C954D9AFD}"/>
    <cellStyle name="40% - Accent1 2 3 2 4" xfId="9184" xr:uid="{A09E5514-08D2-468A-AF28-AAC6FBED885A}"/>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74B6C53A-5306-4EFC-8ACD-60396645ED46}"/>
    <cellStyle name="40% - Accent1 2 3 3 2 3" xfId="11742" xr:uid="{B97EA2E0-2824-4D3B-BAEE-9E9608243EA2}"/>
    <cellStyle name="40% - Accent1 2 3 3 3" xfId="5386" xr:uid="{00000000-0005-0000-0000-0000F3030000}"/>
    <cellStyle name="40% - Accent1 2 3 3 3 2" xfId="13815" xr:uid="{05BA700D-B7FA-4C32-918E-02397D5315D5}"/>
    <cellStyle name="40% - Accent1 2 3 3 4" xfId="9597" xr:uid="{9A7E871A-F12D-4FC8-AE06-0757C57E70E0}"/>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88E0475E-5691-4EC9-84D5-EC7F33C923BB}"/>
    <cellStyle name="40% - Accent1 2 3 4 2 3" xfId="12155" xr:uid="{60507470-0B32-4433-8A19-A96D6EE410BD}"/>
    <cellStyle name="40% - Accent1 2 3 4 3" xfId="5799" xr:uid="{00000000-0005-0000-0000-0000F7030000}"/>
    <cellStyle name="40% - Accent1 2 3 4 3 2" xfId="14228" xr:uid="{938C9296-9B10-4224-BC8B-76619680B0FC}"/>
    <cellStyle name="40% - Accent1 2 3 4 4" xfId="10010" xr:uid="{A07DC961-D32A-4393-A062-7B3B9912F632}"/>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F21DBB43-373B-4ED6-9F21-BE1915F420C4}"/>
    <cellStyle name="40% - Accent1 2 3 5 2 3" xfId="12568" xr:uid="{E89E168A-F614-49D5-B6C9-D09A15D65474}"/>
    <cellStyle name="40% - Accent1 2 3 5 3" xfId="6212" xr:uid="{00000000-0005-0000-0000-0000FB030000}"/>
    <cellStyle name="40% - Accent1 2 3 5 3 2" xfId="14641" xr:uid="{9B98355A-1160-4E1B-9C40-898FD3684878}"/>
    <cellStyle name="40% - Accent1 2 3 5 4" xfId="10423" xr:uid="{5B0C2E82-0BEA-4917-9E78-78D8EF6639BE}"/>
    <cellStyle name="40% - Accent1 2 3 6" xfId="2317" xr:uid="{00000000-0005-0000-0000-0000FC030000}"/>
    <cellStyle name="40% - Accent1 2 3 6 2" xfId="6625" xr:uid="{00000000-0005-0000-0000-0000FD030000}"/>
    <cellStyle name="40% - Accent1 2 3 6 2 2" xfId="15054" xr:uid="{A9053E51-75AC-4FBA-A155-41D9A70051A8}"/>
    <cellStyle name="40% - Accent1 2 3 6 3" xfId="10836" xr:uid="{B691B2E7-63B3-40A5-BFC0-066A6435B960}"/>
    <cellStyle name="40% - Accent1 2 3 7" xfId="4559" xr:uid="{00000000-0005-0000-0000-0000FE030000}"/>
    <cellStyle name="40% - Accent1 2 3 7 2" xfId="12988" xr:uid="{BBE9A1FF-C255-4AB3-95F6-2136178FBDAC}"/>
    <cellStyle name="40% - Accent1 2 3 8" xfId="8770" xr:uid="{2C955910-5D84-4751-9FF3-BE9DD0F29B63}"/>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B7FBD915-8CA7-45F6-A4C0-6E83F51470D1}"/>
    <cellStyle name="40% - Accent1 2 4 2 3" xfId="11326" xr:uid="{02B933F8-7D30-43E3-921F-07C5E8299296}"/>
    <cellStyle name="40% - Accent1 2 4 3" xfId="4970" xr:uid="{00000000-0005-0000-0000-000002040000}"/>
    <cellStyle name="40% - Accent1 2 4 3 2" xfId="13399" xr:uid="{CC36E459-AB5A-4AD9-BA1E-024D4C6B6066}"/>
    <cellStyle name="40% - Accent1 2 4 4" xfId="9181" xr:uid="{ACE7EF8A-B25E-420E-B3B8-1D70BFE6980E}"/>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2DB5F707-2DE9-4815-8449-C98CAB34266A}"/>
    <cellStyle name="40% - Accent1 2 5 2 3" xfId="11739" xr:uid="{9D495E0C-7F16-43EC-9117-E5A9D5A40419}"/>
    <cellStyle name="40% - Accent1 2 5 3" xfId="5383" xr:uid="{00000000-0005-0000-0000-000006040000}"/>
    <cellStyle name="40% - Accent1 2 5 3 2" xfId="13812" xr:uid="{87DB2FA6-97FA-4BAC-87EE-50019DD003E1}"/>
    <cellStyle name="40% - Accent1 2 5 4" xfId="9594" xr:uid="{B239830F-CE3B-4ADF-8CEE-28F0AA30ACB0}"/>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74820811-1ED9-41AA-9642-B8179330F995}"/>
    <cellStyle name="40% - Accent1 2 6 2 3" xfId="12152" xr:uid="{1D9FEA7E-6F11-46D8-A16E-93656BF6DBBE}"/>
    <cellStyle name="40% - Accent1 2 6 3" xfId="5796" xr:uid="{00000000-0005-0000-0000-00000A040000}"/>
    <cellStyle name="40% - Accent1 2 6 3 2" xfId="14225" xr:uid="{0A440989-F278-431D-8731-99AD7DAC3474}"/>
    <cellStyle name="40% - Accent1 2 6 4" xfId="10007" xr:uid="{A638DAB1-4228-47B4-A012-3F41F4277717}"/>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7EDDCFF4-20DA-4F58-AF86-764A09E09CFE}"/>
    <cellStyle name="40% - Accent1 2 7 2 3" xfId="12565" xr:uid="{8F2401C4-599C-4B5D-AC7C-4AA066599160}"/>
    <cellStyle name="40% - Accent1 2 7 3" xfId="6209" xr:uid="{00000000-0005-0000-0000-00000E040000}"/>
    <cellStyle name="40% - Accent1 2 7 3 2" xfId="14638" xr:uid="{AEF401F0-0F69-4B7F-B4AE-DB1CE2F953F4}"/>
    <cellStyle name="40% - Accent1 2 7 4" xfId="10420" xr:uid="{39A00142-6734-4BB6-A391-CA4567725CFF}"/>
    <cellStyle name="40% - Accent1 2 8" xfId="2314" xr:uid="{00000000-0005-0000-0000-00000F040000}"/>
    <cellStyle name="40% - Accent1 2 8 2" xfId="6622" xr:uid="{00000000-0005-0000-0000-000010040000}"/>
    <cellStyle name="40% - Accent1 2 8 2 2" xfId="15051" xr:uid="{FC39E7BD-DA66-4F02-8068-1092C077DF85}"/>
    <cellStyle name="40% - Accent1 2 8 3" xfId="10833" xr:uid="{D16E057B-5930-42E0-A33F-CE6F0A7781EA}"/>
    <cellStyle name="40% - Accent1 2 9" xfId="4556" xr:uid="{00000000-0005-0000-0000-000011040000}"/>
    <cellStyle name="40% - Accent1 2 9 2" xfId="12985" xr:uid="{80173E4B-9F38-4092-82EB-8929197B109C}"/>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E148447C-F083-46F4-8401-F83FBE7616F5}"/>
    <cellStyle name="40% - Accent1 3 2 2 2 3" xfId="11331" xr:uid="{A08FC145-4063-4392-9E72-1E9BB3EAE66F}"/>
    <cellStyle name="40% - Accent1 3 2 2 3" xfId="4975" xr:uid="{00000000-0005-0000-0000-000017040000}"/>
    <cellStyle name="40% - Accent1 3 2 2 3 2" xfId="13404" xr:uid="{338C2D77-8FE5-47A3-93C5-169E99262F72}"/>
    <cellStyle name="40% - Accent1 3 2 2 4" xfId="9186" xr:uid="{133B3329-47CD-4040-9189-E1E1CD9CC8F7}"/>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EC6B976C-FB50-47FD-9E3E-A8D0FDD7E98C}"/>
    <cellStyle name="40% - Accent1 3 2 3 2 3" xfId="11744" xr:uid="{78406D17-B35B-4E35-97A8-CA9FFAD74A61}"/>
    <cellStyle name="40% - Accent1 3 2 3 3" xfId="5388" xr:uid="{00000000-0005-0000-0000-00001B040000}"/>
    <cellStyle name="40% - Accent1 3 2 3 3 2" xfId="13817" xr:uid="{0AE7EB1A-FA7C-40D9-AF0F-169C73DBFBCB}"/>
    <cellStyle name="40% - Accent1 3 2 3 4" xfId="9599" xr:uid="{54164066-2979-425A-9BA9-9AF2508E2308}"/>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B441C0B5-80BF-4EC8-BE3A-08C8846FE45F}"/>
    <cellStyle name="40% - Accent1 3 2 4 2 3" xfId="12157" xr:uid="{870290E2-55B0-4354-8110-BC40CC7A5221}"/>
    <cellStyle name="40% - Accent1 3 2 4 3" xfId="5801" xr:uid="{00000000-0005-0000-0000-00001F040000}"/>
    <cellStyle name="40% - Accent1 3 2 4 3 2" xfId="14230" xr:uid="{9CD6BCBD-C2C8-4791-9473-0C6CB1E61CFB}"/>
    <cellStyle name="40% - Accent1 3 2 4 4" xfId="10012" xr:uid="{C002E7CF-DA03-4597-AF97-F8E8EA1FE43F}"/>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6FAD1250-1011-42D7-A27B-C584ADE836FD}"/>
    <cellStyle name="40% - Accent1 3 2 5 2 3" xfId="12570" xr:uid="{212EDD1F-CE81-4430-9F20-FA0F7E3546E6}"/>
    <cellStyle name="40% - Accent1 3 2 5 3" xfId="6214" xr:uid="{00000000-0005-0000-0000-000023040000}"/>
    <cellStyle name="40% - Accent1 3 2 5 3 2" xfId="14643" xr:uid="{9A6142A3-2D72-4F9C-94E7-5DAF010622E8}"/>
    <cellStyle name="40% - Accent1 3 2 5 4" xfId="10425" xr:uid="{8DA5B57A-A45A-4719-A0EC-386E4C181D32}"/>
    <cellStyle name="40% - Accent1 3 2 6" xfId="2319" xr:uid="{00000000-0005-0000-0000-000024040000}"/>
    <cellStyle name="40% - Accent1 3 2 6 2" xfId="6627" xr:uid="{00000000-0005-0000-0000-000025040000}"/>
    <cellStyle name="40% - Accent1 3 2 6 2 2" xfId="15056" xr:uid="{BAF1D2A9-F43C-4AC5-8B08-40CAA82E0865}"/>
    <cellStyle name="40% - Accent1 3 2 6 3" xfId="10838" xr:uid="{81C9BA46-1FA0-4B17-B91C-C98C11391317}"/>
    <cellStyle name="40% - Accent1 3 2 7" xfId="4561" xr:uid="{00000000-0005-0000-0000-000026040000}"/>
    <cellStyle name="40% - Accent1 3 2 7 2" xfId="12990" xr:uid="{13C65DCD-1D9F-43D2-9226-C33CCC81AEB2}"/>
    <cellStyle name="40% - Accent1 3 2 8" xfId="8772" xr:uid="{B976E728-DBD7-4FF0-908F-FADF918B3F10}"/>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E38ECB38-AD2F-403A-85EA-1E331BEA65C9}"/>
    <cellStyle name="40% - Accent1 3 3 2 3" xfId="11330" xr:uid="{AA1B331E-5372-4D3C-9BC8-F49CA75065C7}"/>
    <cellStyle name="40% - Accent1 3 3 3" xfId="4974" xr:uid="{00000000-0005-0000-0000-00002A040000}"/>
    <cellStyle name="40% - Accent1 3 3 3 2" xfId="13403" xr:uid="{2FD7E32C-9463-4785-AF8B-5AB93BDD7886}"/>
    <cellStyle name="40% - Accent1 3 3 4" xfId="9185" xr:uid="{3495A288-B9C9-4D52-B300-8BC0062F8C6F}"/>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2959E416-83CC-4438-A1BC-AF335A2BBD51}"/>
    <cellStyle name="40% - Accent1 3 4 2 3" xfId="11743" xr:uid="{AB64C869-0430-4ADC-86BA-91082131DAB0}"/>
    <cellStyle name="40% - Accent1 3 4 3" xfId="5387" xr:uid="{00000000-0005-0000-0000-00002E040000}"/>
    <cellStyle name="40% - Accent1 3 4 3 2" xfId="13816" xr:uid="{1E1C1E38-D10B-4C31-9E99-144561CF6E76}"/>
    <cellStyle name="40% - Accent1 3 4 4" xfId="9598" xr:uid="{B932FB55-B416-4648-A72C-B410821CB212}"/>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569BFFDB-E006-4F98-B694-604EC48DAB92}"/>
    <cellStyle name="40% - Accent1 3 5 2 3" xfId="12156" xr:uid="{102A0CE3-9EBB-4BF2-B4D8-27603AFE7F72}"/>
    <cellStyle name="40% - Accent1 3 5 3" xfId="5800" xr:uid="{00000000-0005-0000-0000-000032040000}"/>
    <cellStyle name="40% - Accent1 3 5 3 2" xfId="14229" xr:uid="{BE1B8204-5E81-418D-AA73-BCCF04ED15FF}"/>
    <cellStyle name="40% - Accent1 3 5 4" xfId="10011" xr:uid="{904A0C0F-DC3C-473D-A21D-1361A7DDC98E}"/>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D019A6A7-C274-48A8-BBEE-CF4FE4D8121D}"/>
    <cellStyle name="40% - Accent1 3 6 2 3" xfId="12569" xr:uid="{703269B1-25C7-4DDA-BB7F-A29FB1895F24}"/>
    <cellStyle name="40% - Accent1 3 6 3" xfId="6213" xr:uid="{00000000-0005-0000-0000-000036040000}"/>
    <cellStyle name="40% - Accent1 3 6 3 2" xfId="14642" xr:uid="{348849C0-7322-4A07-BC36-A6E4F84CF614}"/>
    <cellStyle name="40% - Accent1 3 6 4" xfId="10424" xr:uid="{AFF9827D-73CA-4E00-A2A7-7385FC28DFCF}"/>
    <cellStyle name="40% - Accent1 3 7" xfId="2318" xr:uid="{00000000-0005-0000-0000-000037040000}"/>
    <cellStyle name="40% - Accent1 3 7 2" xfId="6626" xr:uid="{00000000-0005-0000-0000-000038040000}"/>
    <cellStyle name="40% - Accent1 3 7 2 2" xfId="15055" xr:uid="{C42A7776-8A15-4C75-B3F4-1CE19D5AE001}"/>
    <cellStyle name="40% - Accent1 3 7 3" xfId="10837" xr:uid="{725BB224-F1F7-45DA-B8E7-5CBFB657C657}"/>
    <cellStyle name="40% - Accent1 3 8" xfId="4560" xr:uid="{00000000-0005-0000-0000-000039040000}"/>
    <cellStyle name="40% - Accent1 3 8 2" xfId="12989" xr:uid="{673557D3-C9BA-4579-B5C0-811EFCEE1C98}"/>
    <cellStyle name="40% - Accent1 3 9" xfId="8771" xr:uid="{87CEF7A4-53A3-42B2-9502-A913A5862328}"/>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49B92A72-BA2F-47DC-AC66-4C741211D7D3}"/>
    <cellStyle name="40% - Accent1 4 2 2 3" xfId="11332" xr:uid="{561CB263-C83C-4D16-AA6E-DF2D94B92F6F}"/>
    <cellStyle name="40% - Accent1 4 2 3" xfId="4976" xr:uid="{00000000-0005-0000-0000-00003E040000}"/>
    <cellStyle name="40% - Accent1 4 2 3 2" xfId="13405" xr:uid="{C6BCF676-8042-4071-B9F3-2735D8A92C46}"/>
    <cellStyle name="40% - Accent1 4 2 4" xfId="9187" xr:uid="{96619712-C902-42F5-8F31-DC8033B38710}"/>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1A815540-E9AD-4FF9-A7C4-B887AE9808A8}"/>
    <cellStyle name="40% - Accent1 4 3 2 3" xfId="11745" xr:uid="{D345B77E-FBCD-4AA9-B334-F3F20462D260}"/>
    <cellStyle name="40% - Accent1 4 3 3" xfId="5389" xr:uid="{00000000-0005-0000-0000-000042040000}"/>
    <cellStyle name="40% - Accent1 4 3 3 2" xfId="13818" xr:uid="{E72E2C91-C6B5-41DD-B927-CB34B748986F}"/>
    <cellStyle name="40% - Accent1 4 3 4" xfId="9600" xr:uid="{905A6B3F-4068-4ECE-BDE7-CFB6C9911546}"/>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7B649093-9377-47B8-BB45-D05DBB7A198B}"/>
    <cellStyle name="40% - Accent1 4 4 2 3" xfId="12158" xr:uid="{DB7DC831-0F9A-4537-BA81-3D98C99E704C}"/>
    <cellStyle name="40% - Accent1 4 4 3" xfId="5802" xr:uid="{00000000-0005-0000-0000-000046040000}"/>
    <cellStyle name="40% - Accent1 4 4 3 2" xfId="14231" xr:uid="{806741C0-3B68-4E6C-AE37-BD66FB30AA28}"/>
    <cellStyle name="40% - Accent1 4 4 4" xfId="10013" xr:uid="{34E77CF4-BE5A-439F-A574-F839B7DBE2A5}"/>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ADE2C6F9-A6C9-4FEE-9533-8BD0A818A767}"/>
    <cellStyle name="40% - Accent1 4 5 2 3" xfId="12571" xr:uid="{31ACD69A-B20A-404A-9908-3379A77CB86B}"/>
    <cellStyle name="40% - Accent1 4 5 3" xfId="6215" xr:uid="{00000000-0005-0000-0000-00004A040000}"/>
    <cellStyle name="40% - Accent1 4 5 3 2" xfId="14644" xr:uid="{76977E89-E84B-48A8-8B7A-F5E636A83E54}"/>
    <cellStyle name="40% - Accent1 4 5 4" xfId="10426" xr:uid="{D1768748-5ADF-4DBB-BF7B-ED17423C3A33}"/>
    <cellStyle name="40% - Accent1 4 6" xfId="2320" xr:uid="{00000000-0005-0000-0000-00004B040000}"/>
    <cellStyle name="40% - Accent1 4 6 2" xfId="6628" xr:uid="{00000000-0005-0000-0000-00004C040000}"/>
    <cellStyle name="40% - Accent1 4 6 2 2" xfId="15057" xr:uid="{E2A5FC97-9591-4F5B-BCD0-696B06FB1A67}"/>
    <cellStyle name="40% - Accent1 4 6 3" xfId="10839" xr:uid="{6B37F9CD-5A33-4C33-B255-7580AEC40D35}"/>
    <cellStyle name="40% - Accent1 4 7" xfId="4562" xr:uid="{00000000-0005-0000-0000-00004D040000}"/>
    <cellStyle name="40% - Accent1 4 7 2" xfId="12991" xr:uid="{A240A4E5-5A02-4808-B1EF-0444DED72B7E}"/>
    <cellStyle name="40% - Accent1 4 8" xfId="8773" xr:uid="{F069B2E2-9392-4E17-B0F9-74DF93694F16}"/>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91F4F317-4EBF-4C96-B53E-D08E729D75DB}"/>
    <cellStyle name="40% - Accent1 5 2 3" xfId="11325" xr:uid="{49036614-D7C9-4619-8425-0E2472270FF5}"/>
    <cellStyle name="40% - Accent1 5 3" xfId="4969" xr:uid="{00000000-0005-0000-0000-000051040000}"/>
    <cellStyle name="40% - Accent1 5 3 2" xfId="13398" xr:uid="{E466AAB6-9644-4E4C-878C-C51E8E9758D2}"/>
    <cellStyle name="40% - Accent1 5 4" xfId="9180" xr:uid="{66674B0B-0A2E-4598-9A74-E7EE9EE99172}"/>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156C09AB-51A8-4A02-BBB6-1F6E34259F52}"/>
    <cellStyle name="40% - Accent1 6 2 3" xfId="11738" xr:uid="{3469804B-D7BE-4EEF-BB89-33BDB5589E25}"/>
    <cellStyle name="40% - Accent1 6 3" xfId="5382" xr:uid="{00000000-0005-0000-0000-000055040000}"/>
    <cellStyle name="40% - Accent1 6 3 2" xfId="13811" xr:uid="{641F60F9-3098-41D3-80FD-A01E2E3EF0DB}"/>
    <cellStyle name="40% - Accent1 6 4" xfId="9593" xr:uid="{721CBFC2-2C43-4C34-9BAF-A62E220E8027}"/>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80B4677C-9487-49AC-9A76-C9D888E725AA}"/>
    <cellStyle name="40% - Accent1 7 2 3" xfId="12151" xr:uid="{83C33480-CCDE-49B2-8BDC-E82C24E3E4BE}"/>
    <cellStyle name="40% - Accent1 7 3" xfId="5795" xr:uid="{00000000-0005-0000-0000-000059040000}"/>
    <cellStyle name="40% - Accent1 7 3 2" xfId="14224" xr:uid="{5625921E-5002-4C96-B9D8-A7CAB9A52E06}"/>
    <cellStyle name="40% - Accent1 7 4" xfId="10006" xr:uid="{23E2F8B5-AE9F-4B1A-8DC8-6AE1159E13C8}"/>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741E8435-4D7A-43D8-A9A9-6C5195A16761}"/>
    <cellStyle name="40% - Accent1 8 2 3" xfId="12564" xr:uid="{23F1C4F4-A9E4-45F0-AA1E-4EDA9228BE08}"/>
    <cellStyle name="40% - Accent1 8 3" xfId="6208" xr:uid="{00000000-0005-0000-0000-00005D040000}"/>
    <cellStyle name="40% - Accent1 8 3 2" xfId="14637" xr:uid="{EA6B01B5-8949-4C1B-AB87-82A43E1CBFD5}"/>
    <cellStyle name="40% - Accent1 8 4" xfId="10419" xr:uid="{B0413743-A87D-45BA-8073-02575D6D667E}"/>
    <cellStyle name="40% - Accent1 9" xfId="2313" xr:uid="{00000000-0005-0000-0000-00005E040000}"/>
    <cellStyle name="40% - Accent1 9 2" xfId="6621" xr:uid="{00000000-0005-0000-0000-00005F040000}"/>
    <cellStyle name="40% - Accent1 9 2 2" xfId="15050" xr:uid="{47AA4AEF-19A4-4B43-B08B-928E21EE5107}"/>
    <cellStyle name="40% - Accent1 9 3" xfId="10832" xr:uid="{8D73EF9E-D8ED-4B7B-9687-C0DC7B0A6489}"/>
    <cellStyle name="40% - Accent2" xfId="57" builtinId="35" customBuiltin="1"/>
    <cellStyle name="40% - Accent2 10" xfId="4563" xr:uid="{00000000-0005-0000-0000-000061040000}"/>
    <cellStyle name="40% - Accent2 10 2" xfId="12992" xr:uid="{EA296E24-DC8A-4843-B63D-D636B22223FE}"/>
    <cellStyle name="40% - Accent2 11" xfId="8774" xr:uid="{BEE4B9DD-4E08-4F74-8D35-CB525F74D8E8}"/>
    <cellStyle name="40% - Accent2 2" xfId="58" xr:uid="{00000000-0005-0000-0000-000062040000}"/>
    <cellStyle name="40% - Accent2 2 10" xfId="8775" xr:uid="{1CF9AA9A-D7C3-4579-9B12-14B3EE6B9CDB}"/>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52708E5F-60AF-444E-B46A-3D362F289C55}"/>
    <cellStyle name="40% - Accent2 2 2 2 2 2 3" xfId="11336" xr:uid="{32430970-42F8-43D5-932A-2F03F23DF777}"/>
    <cellStyle name="40% - Accent2 2 2 2 2 3" xfId="4980" xr:uid="{00000000-0005-0000-0000-000068040000}"/>
    <cellStyle name="40% - Accent2 2 2 2 2 3 2" xfId="13409" xr:uid="{9AB89CED-7DA9-4043-B27C-2EC78CACF390}"/>
    <cellStyle name="40% - Accent2 2 2 2 2 4" xfId="9191" xr:uid="{E840F93E-57B5-4161-9B2F-38270FDF63A5}"/>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ADA6BECE-6361-4D22-8AB6-48FADCA1DBA9}"/>
    <cellStyle name="40% - Accent2 2 2 2 3 2 3" xfId="11749" xr:uid="{1BD8DA65-BF72-4788-8501-F300FF28A51F}"/>
    <cellStyle name="40% - Accent2 2 2 2 3 3" xfId="5393" xr:uid="{00000000-0005-0000-0000-00006C040000}"/>
    <cellStyle name="40% - Accent2 2 2 2 3 3 2" xfId="13822" xr:uid="{05ACB59F-557B-4608-9F8E-37FA4759C951}"/>
    <cellStyle name="40% - Accent2 2 2 2 3 4" xfId="9604" xr:uid="{2B178BD7-E27D-48F9-B647-6586584F2356}"/>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5CF6F52B-A66E-4513-B133-044141433E08}"/>
    <cellStyle name="40% - Accent2 2 2 2 4 2 3" xfId="12162" xr:uid="{22FE7AEF-3FE8-4DE0-ACA0-C143E41892B4}"/>
    <cellStyle name="40% - Accent2 2 2 2 4 3" xfId="5806" xr:uid="{00000000-0005-0000-0000-000070040000}"/>
    <cellStyle name="40% - Accent2 2 2 2 4 3 2" xfId="14235" xr:uid="{5A3BC906-2E7C-4651-99ED-03E187214A17}"/>
    <cellStyle name="40% - Accent2 2 2 2 4 4" xfId="10017" xr:uid="{0CF7E8DF-9C78-45AF-927D-F5C2B6CF40F1}"/>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DC2975A2-B262-4620-8D8B-FF5C8D3ECE70}"/>
    <cellStyle name="40% - Accent2 2 2 2 5 2 3" xfId="12575" xr:uid="{92AF8409-7C34-4FAA-BF8D-366EC959AE94}"/>
    <cellStyle name="40% - Accent2 2 2 2 5 3" xfId="6219" xr:uid="{00000000-0005-0000-0000-000074040000}"/>
    <cellStyle name="40% - Accent2 2 2 2 5 3 2" xfId="14648" xr:uid="{35D178AE-2853-4B1A-A6A1-77A21817B4E0}"/>
    <cellStyle name="40% - Accent2 2 2 2 5 4" xfId="10430" xr:uid="{7091AB3D-3C5D-4D3D-A8A2-34B6A54FE7C0}"/>
    <cellStyle name="40% - Accent2 2 2 2 6" xfId="2324" xr:uid="{00000000-0005-0000-0000-000075040000}"/>
    <cellStyle name="40% - Accent2 2 2 2 6 2" xfId="6632" xr:uid="{00000000-0005-0000-0000-000076040000}"/>
    <cellStyle name="40% - Accent2 2 2 2 6 2 2" xfId="15061" xr:uid="{64012E16-0145-4899-8941-A5D1F47AA7B8}"/>
    <cellStyle name="40% - Accent2 2 2 2 6 3" xfId="10843" xr:uid="{C06DA9BF-40B4-4509-BFB9-631C04BF8216}"/>
    <cellStyle name="40% - Accent2 2 2 2 7" xfId="4566" xr:uid="{00000000-0005-0000-0000-000077040000}"/>
    <cellStyle name="40% - Accent2 2 2 2 7 2" xfId="12995" xr:uid="{CEABABFB-4FE3-43BE-8C28-5A3D3D3F7005}"/>
    <cellStyle name="40% - Accent2 2 2 2 8" xfId="8777" xr:uid="{5F1EA448-4876-4D70-B972-72789D5C0661}"/>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F3689379-54FF-4FF4-8DD1-963146F9E477}"/>
    <cellStyle name="40% - Accent2 2 2 3 2 3" xfId="11335" xr:uid="{5F243B83-A3E8-4548-86F6-413ED24C014E}"/>
    <cellStyle name="40% - Accent2 2 2 3 3" xfId="4979" xr:uid="{00000000-0005-0000-0000-00007B040000}"/>
    <cellStyle name="40% - Accent2 2 2 3 3 2" xfId="13408" xr:uid="{B7748D8B-DA53-43A4-9192-3958A1A5CC8F}"/>
    <cellStyle name="40% - Accent2 2 2 3 4" xfId="9190" xr:uid="{C1633CAF-5BF8-447D-BF53-DF871412CA3D}"/>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D23D7040-89CA-40F8-BEA4-BBECA87420BA}"/>
    <cellStyle name="40% - Accent2 2 2 4 2 3" xfId="11748" xr:uid="{34EFBCEF-219B-45E1-BA1B-7ADE997F5ADD}"/>
    <cellStyle name="40% - Accent2 2 2 4 3" xfId="5392" xr:uid="{00000000-0005-0000-0000-00007F040000}"/>
    <cellStyle name="40% - Accent2 2 2 4 3 2" xfId="13821" xr:uid="{36D09142-E74B-4554-8D01-DE94E5492024}"/>
    <cellStyle name="40% - Accent2 2 2 4 4" xfId="9603" xr:uid="{D3F7BEC4-23E2-4735-8DE0-136A4B06F929}"/>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A63B9CB1-F27C-4C48-8763-9FCC08889624}"/>
    <cellStyle name="40% - Accent2 2 2 5 2 3" xfId="12161" xr:uid="{9C9CC4C6-5DA1-48EF-A9E1-B5B65A6DC1CE}"/>
    <cellStyle name="40% - Accent2 2 2 5 3" xfId="5805" xr:uid="{00000000-0005-0000-0000-000083040000}"/>
    <cellStyle name="40% - Accent2 2 2 5 3 2" xfId="14234" xr:uid="{15F57446-6206-4D34-8F74-0BDE3F7590E5}"/>
    <cellStyle name="40% - Accent2 2 2 5 4" xfId="10016" xr:uid="{132BAF57-9DAF-4BD6-B1E0-3B863580CE1F}"/>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EA379D99-DEF7-49E0-9611-BCE2743CE33C}"/>
    <cellStyle name="40% - Accent2 2 2 6 2 3" xfId="12574" xr:uid="{30B02E7B-12B7-4E89-9A62-35A445074197}"/>
    <cellStyle name="40% - Accent2 2 2 6 3" xfId="6218" xr:uid="{00000000-0005-0000-0000-000087040000}"/>
    <cellStyle name="40% - Accent2 2 2 6 3 2" xfId="14647" xr:uid="{409CCB1E-535C-42A8-B1C0-3D33B9491DD4}"/>
    <cellStyle name="40% - Accent2 2 2 6 4" xfId="10429" xr:uid="{A68D7523-4470-437D-AC60-D1AC9CE4543D}"/>
    <cellStyle name="40% - Accent2 2 2 7" xfId="2323" xr:uid="{00000000-0005-0000-0000-000088040000}"/>
    <cellStyle name="40% - Accent2 2 2 7 2" xfId="6631" xr:uid="{00000000-0005-0000-0000-000089040000}"/>
    <cellStyle name="40% - Accent2 2 2 7 2 2" xfId="15060" xr:uid="{BE987055-59CA-43DF-9282-9114E258EF68}"/>
    <cellStyle name="40% - Accent2 2 2 7 3" xfId="10842" xr:uid="{3181E84C-369E-4E63-AC03-956BC1F5F3B3}"/>
    <cellStyle name="40% - Accent2 2 2 8" xfId="4565" xr:uid="{00000000-0005-0000-0000-00008A040000}"/>
    <cellStyle name="40% - Accent2 2 2 8 2" xfId="12994" xr:uid="{F35D823E-6058-48DA-8C24-6A09475E27AF}"/>
    <cellStyle name="40% - Accent2 2 2 9" xfId="8776" xr:uid="{13622370-475A-4589-92EE-DFBAFAD884AD}"/>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F83F8E18-1718-4CCC-AB9A-18E2EE2446B2}"/>
    <cellStyle name="40% - Accent2 2 3 2 2 3" xfId="11337" xr:uid="{7F1A1C5A-299A-4CC9-918B-E4EB68FFFDA1}"/>
    <cellStyle name="40% - Accent2 2 3 2 3" xfId="4981" xr:uid="{00000000-0005-0000-0000-00008F040000}"/>
    <cellStyle name="40% - Accent2 2 3 2 3 2" xfId="13410" xr:uid="{47CEB5F7-8339-447A-87E1-3FF31E6FCD0D}"/>
    <cellStyle name="40% - Accent2 2 3 2 4" xfId="9192" xr:uid="{F5E3F13B-92C4-4773-987A-F8CE65B2AB2E}"/>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3C0C8B1F-A9D1-4698-B9C6-5DAC8E16471A}"/>
    <cellStyle name="40% - Accent2 2 3 3 2 3" xfId="11750" xr:uid="{4465ACE7-BD36-4F46-A3FC-39A4B6BA3F71}"/>
    <cellStyle name="40% - Accent2 2 3 3 3" xfId="5394" xr:uid="{00000000-0005-0000-0000-000093040000}"/>
    <cellStyle name="40% - Accent2 2 3 3 3 2" xfId="13823" xr:uid="{846D59D4-2D25-4309-A077-D1E6DEAD3019}"/>
    <cellStyle name="40% - Accent2 2 3 3 4" xfId="9605" xr:uid="{1B3B988C-48B1-4BC5-937D-054A1D9FBB95}"/>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D63FD293-C12F-4C83-B8E7-3719BF756938}"/>
    <cellStyle name="40% - Accent2 2 3 4 2 3" xfId="12163" xr:uid="{DA466E10-8F8D-4C2A-B11E-EEAF483A0CD5}"/>
    <cellStyle name="40% - Accent2 2 3 4 3" xfId="5807" xr:uid="{00000000-0005-0000-0000-000097040000}"/>
    <cellStyle name="40% - Accent2 2 3 4 3 2" xfId="14236" xr:uid="{5FEA9398-85F4-4A01-A18C-25AA6453E3E4}"/>
    <cellStyle name="40% - Accent2 2 3 4 4" xfId="10018" xr:uid="{02861C43-2DC0-49E1-8234-2E6FA8209340}"/>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AF190079-9666-4BC5-8E7F-2034574C2CB6}"/>
    <cellStyle name="40% - Accent2 2 3 5 2 3" xfId="12576" xr:uid="{9B15532A-C5E0-4F9D-A5B0-5DC200E0FE28}"/>
    <cellStyle name="40% - Accent2 2 3 5 3" xfId="6220" xr:uid="{00000000-0005-0000-0000-00009B040000}"/>
    <cellStyle name="40% - Accent2 2 3 5 3 2" xfId="14649" xr:uid="{03CDD2D0-892C-4413-B763-B1416D79AA3C}"/>
    <cellStyle name="40% - Accent2 2 3 5 4" xfId="10431" xr:uid="{324DACAC-AD71-415D-9BB1-FA3A167A76BA}"/>
    <cellStyle name="40% - Accent2 2 3 6" xfId="2325" xr:uid="{00000000-0005-0000-0000-00009C040000}"/>
    <cellStyle name="40% - Accent2 2 3 6 2" xfId="6633" xr:uid="{00000000-0005-0000-0000-00009D040000}"/>
    <cellStyle name="40% - Accent2 2 3 6 2 2" xfId="15062" xr:uid="{8025D998-A1E4-4EE9-80B1-4E48991A9E84}"/>
    <cellStyle name="40% - Accent2 2 3 6 3" xfId="10844" xr:uid="{D4F82CB1-6EDD-4211-A765-B93DFD418456}"/>
    <cellStyle name="40% - Accent2 2 3 7" xfId="4567" xr:uid="{00000000-0005-0000-0000-00009E040000}"/>
    <cellStyle name="40% - Accent2 2 3 7 2" xfId="12996" xr:uid="{F9C8BD72-37E7-42B0-9AA9-862083A08902}"/>
    <cellStyle name="40% - Accent2 2 3 8" xfId="8778" xr:uid="{883481D6-FD13-4AE7-B05F-7E06365BBBA2}"/>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4C3BF1A6-C452-4BFE-B731-01FF0FE40275}"/>
    <cellStyle name="40% - Accent2 2 4 2 3" xfId="11334" xr:uid="{8A68293B-7A46-4CF4-B9CB-EB8D484A5CB4}"/>
    <cellStyle name="40% - Accent2 2 4 3" xfId="4978" xr:uid="{00000000-0005-0000-0000-0000A2040000}"/>
    <cellStyle name="40% - Accent2 2 4 3 2" xfId="13407" xr:uid="{D202C923-ECC0-4BDF-AF29-7E991B295AF8}"/>
    <cellStyle name="40% - Accent2 2 4 4" xfId="9189" xr:uid="{32D83C8A-DA5A-40F9-A80B-ECD4B207F7DD}"/>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3B2888B1-8463-40C2-910F-BBA0E74491A1}"/>
    <cellStyle name="40% - Accent2 2 5 2 3" xfId="11747" xr:uid="{FA32C154-E4C9-4B60-B0CD-68EB6952A412}"/>
    <cellStyle name="40% - Accent2 2 5 3" xfId="5391" xr:uid="{00000000-0005-0000-0000-0000A6040000}"/>
    <cellStyle name="40% - Accent2 2 5 3 2" xfId="13820" xr:uid="{BA6DD3CC-F8C7-45A5-A19A-D65CBF1875CA}"/>
    <cellStyle name="40% - Accent2 2 5 4" xfId="9602" xr:uid="{E729D10C-F882-43E3-BE8D-3D46982B8AD5}"/>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61C366E9-9435-4647-8AAA-00F5F45B4FC7}"/>
    <cellStyle name="40% - Accent2 2 6 2 3" xfId="12160" xr:uid="{8654FD32-DD8D-44ED-93FF-E445F8006C00}"/>
    <cellStyle name="40% - Accent2 2 6 3" xfId="5804" xr:uid="{00000000-0005-0000-0000-0000AA040000}"/>
    <cellStyle name="40% - Accent2 2 6 3 2" xfId="14233" xr:uid="{10EF56EC-69E7-4ED0-9F08-509F04DD1387}"/>
    <cellStyle name="40% - Accent2 2 6 4" xfId="10015" xr:uid="{33055556-79F3-4202-B1DF-DD0305D3CB9E}"/>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60CB388E-3F6F-48F3-844A-236DEC7C5BC5}"/>
    <cellStyle name="40% - Accent2 2 7 2 3" xfId="12573" xr:uid="{3720F02D-3234-4CCC-A3E1-386E55400264}"/>
    <cellStyle name="40% - Accent2 2 7 3" xfId="6217" xr:uid="{00000000-0005-0000-0000-0000AE040000}"/>
    <cellStyle name="40% - Accent2 2 7 3 2" xfId="14646" xr:uid="{EABA7F84-1BD3-4397-BF6F-9B0555BFE090}"/>
    <cellStyle name="40% - Accent2 2 7 4" xfId="10428" xr:uid="{1244384B-7538-4512-A5E6-543B9B2AD054}"/>
    <cellStyle name="40% - Accent2 2 8" xfId="2322" xr:uid="{00000000-0005-0000-0000-0000AF040000}"/>
    <cellStyle name="40% - Accent2 2 8 2" xfId="6630" xr:uid="{00000000-0005-0000-0000-0000B0040000}"/>
    <cellStyle name="40% - Accent2 2 8 2 2" xfId="15059" xr:uid="{0658E04B-B016-4526-AB37-0C4FD5DFB42C}"/>
    <cellStyle name="40% - Accent2 2 8 3" xfId="10841" xr:uid="{8E7A4948-6EC4-4B96-A85E-B33A6457460C}"/>
    <cellStyle name="40% - Accent2 2 9" xfId="4564" xr:uid="{00000000-0005-0000-0000-0000B1040000}"/>
    <cellStyle name="40% - Accent2 2 9 2" xfId="12993" xr:uid="{A202EFFD-D04C-41B7-AA59-0B33E48CE4F2}"/>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6E35EC20-9D92-4F79-A63F-FDB6ED7B3F42}"/>
    <cellStyle name="40% - Accent2 3 2 2 2 3" xfId="11339" xr:uid="{18ACD8C9-1570-4316-84A6-C6FDAA2C996C}"/>
    <cellStyle name="40% - Accent2 3 2 2 3" xfId="4983" xr:uid="{00000000-0005-0000-0000-0000B7040000}"/>
    <cellStyle name="40% - Accent2 3 2 2 3 2" xfId="13412" xr:uid="{F47C4436-5C67-4EB9-BBD6-FF5E60190FB5}"/>
    <cellStyle name="40% - Accent2 3 2 2 4" xfId="9194" xr:uid="{EF1C147A-A3CF-40A1-9B31-C7CAD0132C6E}"/>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72AD4F6B-2798-4939-BACE-9E09E7A5283E}"/>
    <cellStyle name="40% - Accent2 3 2 3 2 3" xfId="11752" xr:uid="{FA4FE284-25E4-42DF-B8FD-4A9832EC4E67}"/>
    <cellStyle name="40% - Accent2 3 2 3 3" xfId="5396" xr:uid="{00000000-0005-0000-0000-0000BB040000}"/>
    <cellStyle name="40% - Accent2 3 2 3 3 2" xfId="13825" xr:uid="{2C19B014-6EA4-4ACA-B6C3-97A3179A0797}"/>
    <cellStyle name="40% - Accent2 3 2 3 4" xfId="9607" xr:uid="{7E880357-E31C-429B-BCDC-B37297930578}"/>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A69064D8-D997-4895-AFC4-B9B93EFFF6A0}"/>
    <cellStyle name="40% - Accent2 3 2 4 2 3" xfId="12165" xr:uid="{B7D11D94-CB6F-4EC1-A84E-90D0787ABDF8}"/>
    <cellStyle name="40% - Accent2 3 2 4 3" xfId="5809" xr:uid="{00000000-0005-0000-0000-0000BF040000}"/>
    <cellStyle name="40% - Accent2 3 2 4 3 2" xfId="14238" xr:uid="{56577E4F-8002-47D1-A41A-9A3ADDFF8281}"/>
    <cellStyle name="40% - Accent2 3 2 4 4" xfId="10020" xr:uid="{CC1DD894-E07C-4BA8-B43F-29180A5D6C67}"/>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05B07B04-E560-4567-B07C-8329D834265F}"/>
    <cellStyle name="40% - Accent2 3 2 5 2 3" xfId="12578" xr:uid="{045829C0-90DC-497F-B466-3B16A4A60181}"/>
    <cellStyle name="40% - Accent2 3 2 5 3" xfId="6222" xr:uid="{00000000-0005-0000-0000-0000C3040000}"/>
    <cellStyle name="40% - Accent2 3 2 5 3 2" xfId="14651" xr:uid="{0A3B5601-B0D0-4B9B-A59E-0E0F9B847D45}"/>
    <cellStyle name="40% - Accent2 3 2 5 4" xfId="10433" xr:uid="{8A2A05C9-3A7F-48E3-8CAA-EBE07A3FF9C5}"/>
    <cellStyle name="40% - Accent2 3 2 6" xfId="2327" xr:uid="{00000000-0005-0000-0000-0000C4040000}"/>
    <cellStyle name="40% - Accent2 3 2 6 2" xfId="6635" xr:uid="{00000000-0005-0000-0000-0000C5040000}"/>
    <cellStyle name="40% - Accent2 3 2 6 2 2" xfId="15064" xr:uid="{89C5AF27-C3C7-4491-A288-CDCDEE12B673}"/>
    <cellStyle name="40% - Accent2 3 2 6 3" xfId="10846" xr:uid="{AA993217-BB9D-496B-8C26-FFC2E131E5EA}"/>
    <cellStyle name="40% - Accent2 3 2 7" xfId="4569" xr:uid="{00000000-0005-0000-0000-0000C6040000}"/>
    <cellStyle name="40% - Accent2 3 2 7 2" xfId="12998" xr:uid="{8677C73E-4DDE-4E00-ADC3-F032938009C0}"/>
    <cellStyle name="40% - Accent2 3 2 8" xfId="8780" xr:uid="{60BAD1B9-7A75-4F0E-821D-77373E36D42D}"/>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68D1C6D4-A47B-4AEB-BF8D-50A62E7356F7}"/>
    <cellStyle name="40% - Accent2 3 3 2 3" xfId="11338" xr:uid="{460B43E6-B434-4F6D-A8A7-59FA710B02AC}"/>
    <cellStyle name="40% - Accent2 3 3 3" xfId="4982" xr:uid="{00000000-0005-0000-0000-0000CA040000}"/>
    <cellStyle name="40% - Accent2 3 3 3 2" xfId="13411" xr:uid="{E1D0D47E-DFEE-4A2C-BDBB-3A29A9A114EB}"/>
    <cellStyle name="40% - Accent2 3 3 4" xfId="9193" xr:uid="{E65796C5-DBD9-4A74-8749-D509D551B953}"/>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76C942D5-7495-4A4E-8FA0-29B9CAC7246E}"/>
    <cellStyle name="40% - Accent2 3 4 2 3" xfId="11751" xr:uid="{5B93E750-E602-4978-BDD2-A3A66FAA6544}"/>
    <cellStyle name="40% - Accent2 3 4 3" xfId="5395" xr:uid="{00000000-0005-0000-0000-0000CE040000}"/>
    <cellStyle name="40% - Accent2 3 4 3 2" xfId="13824" xr:uid="{C270CFC1-E65E-4D37-8541-C032E677D025}"/>
    <cellStyle name="40% - Accent2 3 4 4" xfId="9606" xr:uid="{95CA8DA3-4452-48F7-AE94-92116D7D2EBD}"/>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5E90D83A-7DAB-4038-82B2-59A92EDAE9B1}"/>
    <cellStyle name="40% - Accent2 3 5 2 3" xfId="12164" xr:uid="{B8D0BF1A-6F80-42EF-8C4D-E5BECF42F456}"/>
    <cellStyle name="40% - Accent2 3 5 3" xfId="5808" xr:uid="{00000000-0005-0000-0000-0000D2040000}"/>
    <cellStyle name="40% - Accent2 3 5 3 2" xfId="14237" xr:uid="{BCDB31CF-D1DC-4137-84D3-39F3C5DB106E}"/>
    <cellStyle name="40% - Accent2 3 5 4" xfId="10019" xr:uid="{23086418-EF99-4C93-A9A6-977017210FCC}"/>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5139B889-8AC0-4476-8041-BDF7B2A1012A}"/>
    <cellStyle name="40% - Accent2 3 6 2 3" xfId="12577" xr:uid="{B989B606-347B-46A6-9879-2E6AB288C34D}"/>
    <cellStyle name="40% - Accent2 3 6 3" xfId="6221" xr:uid="{00000000-0005-0000-0000-0000D6040000}"/>
    <cellStyle name="40% - Accent2 3 6 3 2" xfId="14650" xr:uid="{3D8424CF-7D06-4F60-B62C-5801E5D1C96C}"/>
    <cellStyle name="40% - Accent2 3 6 4" xfId="10432" xr:uid="{C5DE0B76-BA4D-477B-889B-C20865271C92}"/>
    <cellStyle name="40% - Accent2 3 7" xfId="2326" xr:uid="{00000000-0005-0000-0000-0000D7040000}"/>
    <cellStyle name="40% - Accent2 3 7 2" xfId="6634" xr:uid="{00000000-0005-0000-0000-0000D8040000}"/>
    <cellStyle name="40% - Accent2 3 7 2 2" xfId="15063" xr:uid="{AA650213-FF77-472D-BBE7-855268E853B1}"/>
    <cellStyle name="40% - Accent2 3 7 3" xfId="10845" xr:uid="{56604514-C9F6-46B3-AFC3-955748BDAE7A}"/>
    <cellStyle name="40% - Accent2 3 8" xfId="4568" xr:uid="{00000000-0005-0000-0000-0000D9040000}"/>
    <cellStyle name="40% - Accent2 3 8 2" xfId="12997" xr:uid="{22F77F8B-813F-4054-A1B2-F37529AF68D0}"/>
    <cellStyle name="40% - Accent2 3 9" xfId="8779" xr:uid="{D007D2DC-E370-4EB0-874D-18A8FDDAAB3E}"/>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35E0767D-CFB2-4974-BB95-53691CD94571}"/>
    <cellStyle name="40% - Accent2 4 2 2 3" xfId="11340" xr:uid="{6DB4DF48-C023-4BB8-9E4D-DDE6617FF0EE}"/>
    <cellStyle name="40% - Accent2 4 2 3" xfId="4984" xr:uid="{00000000-0005-0000-0000-0000DE040000}"/>
    <cellStyle name="40% - Accent2 4 2 3 2" xfId="13413" xr:uid="{0AC251C7-893C-4CC1-B98A-9D36E5963F58}"/>
    <cellStyle name="40% - Accent2 4 2 4" xfId="9195" xr:uid="{A19908A1-05C7-4A72-B2A2-6F13B9330E5B}"/>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85137B4C-7574-4DFE-B95C-C351FA13AF1C}"/>
    <cellStyle name="40% - Accent2 4 3 2 3" xfId="11753" xr:uid="{9D53AC34-F3C0-4AB6-917C-CC4BB181CBCE}"/>
    <cellStyle name="40% - Accent2 4 3 3" xfId="5397" xr:uid="{00000000-0005-0000-0000-0000E2040000}"/>
    <cellStyle name="40% - Accent2 4 3 3 2" xfId="13826" xr:uid="{B74B85D3-13F4-46B4-A3FD-9D9F1E92EAB3}"/>
    <cellStyle name="40% - Accent2 4 3 4" xfId="9608" xr:uid="{6373DD73-1115-41EE-8C94-61F46D40C72E}"/>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1DE043EF-4366-4D98-ADC2-5A16149CDD89}"/>
    <cellStyle name="40% - Accent2 4 4 2 3" xfId="12166" xr:uid="{1C4B8A6C-4B65-47D3-B533-1DACEDC039F8}"/>
    <cellStyle name="40% - Accent2 4 4 3" xfId="5810" xr:uid="{00000000-0005-0000-0000-0000E6040000}"/>
    <cellStyle name="40% - Accent2 4 4 3 2" xfId="14239" xr:uid="{9B7427DD-CC7F-430A-B9C4-578C987ACD5D}"/>
    <cellStyle name="40% - Accent2 4 4 4" xfId="10021" xr:uid="{8FEB7DEC-E6AE-44D5-9DB9-F16A131ACA37}"/>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03D0D515-EF7F-4DE7-A551-3092CC8CADB7}"/>
    <cellStyle name="40% - Accent2 4 5 2 3" xfId="12579" xr:uid="{5BB08F9E-E990-46DE-BF19-9C1DBCF9D4FD}"/>
    <cellStyle name="40% - Accent2 4 5 3" xfId="6223" xr:uid="{00000000-0005-0000-0000-0000EA040000}"/>
    <cellStyle name="40% - Accent2 4 5 3 2" xfId="14652" xr:uid="{D9104A56-13E9-47DF-BF21-D418A8B3B84E}"/>
    <cellStyle name="40% - Accent2 4 5 4" xfId="10434" xr:uid="{4531791A-9EA4-4F32-A087-D4129F49FB50}"/>
    <cellStyle name="40% - Accent2 4 6" xfId="2328" xr:uid="{00000000-0005-0000-0000-0000EB040000}"/>
    <cellStyle name="40% - Accent2 4 6 2" xfId="6636" xr:uid="{00000000-0005-0000-0000-0000EC040000}"/>
    <cellStyle name="40% - Accent2 4 6 2 2" xfId="15065" xr:uid="{074798BC-3540-4DF8-B452-2DF186453CA6}"/>
    <cellStyle name="40% - Accent2 4 6 3" xfId="10847" xr:uid="{34A30D53-0320-41B6-A739-8256C68C7EE2}"/>
    <cellStyle name="40% - Accent2 4 7" xfId="4570" xr:uid="{00000000-0005-0000-0000-0000ED040000}"/>
    <cellStyle name="40% - Accent2 4 7 2" xfId="12999" xr:uid="{2A3A8666-99EE-4D56-8743-6095A81F4A65}"/>
    <cellStyle name="40% - Accent2 4 8" xfId="8781" xr:uid="{40C82D13-1CD2-4150-BD81-79F06CCFD897}"/>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D5CAF579-DBDD-4010-B34E-D781FCFB3E43}"/>
    <cellStyle name="40% - Accent2 5 2 3" xfId="11333" xr:uid="{0A95D8FD-45FF-45D6-BB77-F49CCE877DC1}"/>
    <cellStyle name="40% - Accent2 5 3" xfId="4977" xr:uid="{00000000-0005-0000-0000-0000F1040000}"/>
    <cellStyle name="40% - Accent2 5 3 2" xfId="13406" xr:uid="{DCFA527F-4549-4F42-A39E-E8D964495B01}"/>
    <cellStyle name="40% - Accent2 5 4" xfId="9188" xr:uid="{EF86D278-8E3E-47A5-96B2-F3014556BB69}"/>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FFDF88E2-B8B6-4FFA-97B8-79BB53C6F5AA}"/>
    <cellStyle name="40% - Accent2 6 2 3" xfId="11746" xr:uid="{B9D3A4C7-0341-4DE2-9937-72826B13777C}"/>
    <cellStyle name="40% - Accent2 6 3" xfId="5390" xr:uid="{00000000-0005-0000-0000-0000F5040000}"/>
    <cellStyle name="40% - Accent2 6 3 2" xfId="13819" xr:uid="{14C3E61E-A232-4CA7-B9A9-E6E3BE2C04C9}"/>
    <cellStyle name="40% - Accent2 6 4" xfId="9601" xr:uid="{0D2566A4-F1CE-4E85-8E56-68B7C337CBC6}"/>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ED21F088-B62F-479D-908B-4ACE25C940D7}"/>
    <cellStyle name="40% - Accent2 7 2 3" xfId="12159" xr:uid="{6D27C035-5640-45D4-AF46-F594321DC2F2}"/>
    <cellStyle name="40% - Accent2 7 3" xfId="5803" xr:uid="{00000000-0005-0000-0000-0000F9040000}"/>
    <cellStyle name="40% - Accent2 7 3 2" xfId="14232" xr:uid="{BBD83848-3ECF-446D-9C87-95E7E538AAC1}"/>
    <cellStyle name="40% - Accent2 7 4" xfId="10014" xr:uid="{C5078813-B7AB-4963-BFA7-880A8F2BBF97}"/>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25A735F1-87DB-4AAD-BFA6-66B6D393408E}"/>
    <cellStyle name="40% - Accent2 8 2 3" xfId="12572" xr:uid="{9C6C2F1D-97AB-4AD4-89D1-427641B04CF5}"/>
    <cellStyle name="40% - Accent2 8 3" xfId="6216" xr:uid="{00000000-0005-0000-0000-0000FD040000}"/>
    <cellStyle name="40% - Accent2 8 3 2" xfId="14645" xr:uid="{244A2C86-68E3-4E44-9FA1-7FFAE480C611}"/>
    <cellStyle name="40% - Accent2 8 4" xfId="10427" xr:uid="{B3F6C54B-F0E3-4541-AB9B-1B2AA0DD56FC}"/>
    <cellStyle name="40% - Accent2 9" xfId="2321" xr:uid="{00000000-0005-0000-0000-0000FE040000}"/>
    <cellStyle name="40% - Accent2 9 2" xfId="6629" xr:uid="{00000000-0005-0000-0000-0000FF040000}"/>
    <cellStyle name="40% - Accent2 9 2 2" xfId="15058" xr:uid="{225054D2-0E47-4EDB-A296-617FBA72F8AD}"/>
    <cellStyle name="40% - Accent2 9 3" xfId="10840" xr:uid="{FDC07632-F993-441A-BC4E-3AECA8F511D1}"/>
    <cellStyle name="40% - Accent3" xfId="65" builtinId="39" customBuiltin="1"/>
    <cellStyle name="40% - Accent3 10" xfId="4571" xr:uid="{00000000-0005-0000-0000-000001050000}"/>
    <cellStyle name="40% - Accent3 10 2" xfId="13000" xr:uid="{67DEE632-1AAD-4692-8F0B-A915A6CCB192}"/>
    <cellStyle name="40% - Accent3 11" xfId="8782" xr:uid="{22F959B7-EAB0-4C3C-ABEC-CEDD17249C28}"/>
    <cellStyle name="40% - Accent3 2" xfId="66" xr:uid="{00000000-0005-0000-0000-000002050000}"/>
    <cellStyle name="40% - Accent3 2 10" xfId="8783" xr:uid="{199E8AC2-AD24-4253-B60D-05E041E365E1}"/>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436CB712-BB5D-4A14-BF53-7AB2A9D578C2}"/>
    <cellStyle name="40% - Accent3 2 2 2 2 2 3" xfId="11344" xr:uid="{934B0AE3-C511-40FF-ABE6-D8D91760645A}"/>
    <cellStyle name="40% - Accent3 2 2 2 2 3" xfId="4988" xr:uid="{00000000-0005-0000-0000-000008050000}"/>
    <cellStyle name="40% - Accent3 2 2 2 2 3 2" xfId="13417" xr:uid="{FABEEFC1-2360-43C1-9A17-6E2C1C50BDB9}"/>
    <cellStyle name="40% - Accent3 2 2 2 2 4" xfId="9199" xr:uid="{308F30EF-9ED5-479E-A7DA-752922F7E405}"/>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AF8B46A0-5154-4F13-B617-7571277C7B8C}"/>
    <cellStyle name="40% - Accent3 2 2 2 3 2 3" xfId="11757" xr:uid="{7A8D3B5E-06B6-41F2-8DD5-FE11E8E60361}"/>
    <cellStyle name="40% - Accent3 2 2 2 3 3" xfId="5401" xr:uid="{00000000-0005-0000-0000-00000C050000}"/>
    <cellStyle name="40% - Accent3 2 2 2 3 3 2" xfId="13830" xr:uid="{880C6EB2-7DF7-461F-8ADC-B0C23480E918}"/>
    <cellStyle name="40% - Accent3 2 2 2 3 4" xfId="9612" xr:uid="{37AC7C4C-C3D6-4DA5-B288-76F190D10D62}"/>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ECA0B22D-6C84-4803-BF36-03DD5C42588D}"/>
    <cellStyle name="40% - Accent3 2 2 2 4 2 3" xfId="12170" xr:uid="{AADD12FD-71B2-4A17-AA7B-4FDFB95430B2}"/>
    <cellStyle name="40% - Accent3 2 2 2 4 3" xfId="5814" xr:uid="{00000000-0005-0000-0000-000010050000}"/>
    <cellStyle name="40% - Accent3 2 2 2 4 3 2" xfId="14243" xr:uid="{4E47CF5A-716E-45E3-9057-0F3CBA1D7998}"/>
    <cellStyle name="40% - Accent3 2 2 2 4 4" xfId="10025" xr:uid="{63625D69-ABCB-4324-A4F0-491C85F31996}"/>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273AD4E9-2FEB-4692-AF1F-E58BD8E1E76F}"/>
    <cellStyle name="40% - Accent3 2 2 2 5 2 3" xfId="12583" xr:uid="{6698F904-DD67-4524-BC8D-C79FCAD49B15}"/>
    <cellStyle name="40% - Accent3 2 2 2 5 3" xfId="6227" xr:uid="{00000000-0005-0000-0000-000014050000}"/>
    <cellStyle name="40% - Accent3 2 2 2 5 3 2" xfId="14656" xr:uid="{A53745AF-9995-488A-8B66-E69200622DFD}"/>
    <cellStyle name="40% - Accent3 2 2 2 5 4" xfId="10438" xr:uid="{65F9001F-0274-44FD-854D-E838F9E2738D}"/>
    <cellStyle name="40% - Accent3 2 2 2 6" xfId="2332" xr:uid="{00000000-0005-0000-0000-000015050000}"/>
    <cellStyle name="40% - Accent3 2 2 2 6 2" xfId="6640" xr:uid="{00000000-0005-0000-0000-000016050000}"/>
    <cellStyle name="40% - Accent3 2 2 2 6 2 2" xfId="15069" xr:uid="{EA42AE69-2FF5-4DA2-B372-747CC025003A}"/>
    <cellStyle name="40% - Accent3 2 2 2 6 3" xfId="10851" xr:uid="{D6726463-CD47-44E4-B3E0-D953AEE11B64}"/>
    <cellStyle name="40% - Accent3 2 2 2 7" xfId="4574" xr:uid="{00000000-0005-0000-0000-000017050000}"/>
    <cellStyle name="40% - Accent3 2 2 2 7 2" xfId="13003" xr:uid="{9969BA5C-EA66-4157-974D-74BB3C7B602D}"/>
    <cellStyle name="40% - Accent3 2 2 2 8" xfId="8785" xr:uid="{B6395084-C4C1-4A67-BE8C-59126BF324D6}"/>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8778B035-C292-4745-99EA-B940F908760F}"/>
    <cellStyle name="40% - Accent3 2 2 3 2 3" xfId="11343" xr:uid="{E8DC7623-04EA-4978-8CD7-D61FB4C78D7C}"/>
    <cellStyle name="40% - Accent3 2 2 3 3" xfId="4987" xr:uid="{00000000-0005-0000-0000-00001B050000}"/>
    <cellStyle name="40% - Accent3 2 2 3 3 2" xfId="13416" xr:uid="{2C36F27C-2C9B-41EC-A560-3761CE70E850}"/>
    <cellStyle name="40% - Accent3 2 2 3 4" xfId="9198" xr:uid="{96245751-1679-414B-B7EB-A14DC18754BB}"/>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7B503535-FC8E-43ED-AB8B-191386919FDF}"/>
    <cellStyle name="40% - Accent3 2 2 4 2 3" xfId="11756" xr:uid="{3157EEF9-A6E4-4430-BF05-73E026802D9E}"/>
    <cellStyle name="40% - Accent3 2 2 4 3" xfId="5400" xr:uid="{00000000-0005-0000-0000-00001F050000}"/>
    <cellStyle name="40% - Accent3 2 2 4 3 2" xfId="13829" xr:uid="{86BE8DD8-5B7A-4B6B-8429-954BE2BF3BD8}"/>
    <cellStyle name="40% - Accent3 2 2 4 4" xfId="9611" xr:uid="{6F6AD157-4E89-4AE9-AE1A-B0687B60B512}"/>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40E2E3B0-BB27-42C7-B99C-5D38E81F8865}"/>
    <cellStyle name="40% - Accent3 2 2 5 2 3" xfId="12169" xr:uid="{9B821157-4B42-4ED1-BB5D-DCFA593E1032}"/>
    <cellStyle name="40% - Accent3 2 2 5 3" xfId="5813" xr:uid="{00000000-0005-0000-0000-000023050000}"/>
    <cellStyle name="40% - Accent3 2 2 5 3 2" xfId="14242" xr:uid="{EDB0A22C-098F-4E87-A81A-F15FEA3E6148}"/>
    <cellStyle name="40% - Accent3 2 2 5 4" xfId="10024" xr:uid="{9B679231-3AF4-4374-8DF8-E310B03ED81D}"/>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5E2F557B-3E24-49C5-9D8A-94C9A48D70CF}"/>
    <cellStyle name="40% - Accent3 2 2 6 2 3" xfId="12582" xr:uid="{FB80477A-8BE1-4FF2-95A9-021AFFB5B9FB}"/>
    <cellStyle name="40% - Accent3 2 2 6 3" xfId="6226" xr:uid="{00000000-0005-0000-0000-000027050000}"/>
    <cellStyle name="40% - Accent3 2 2 6 3 2" xfId="14655" xr:uid="{ADD1DDDB-F3B3-442C-BDDA-149F7AE9B7AF}"/>
    <cellStyle name="40% - Accent3 2 2 6 4" xfId="10437" xr:uid="{EA266385-1388-49E1-9D51-1E349F385EAF}"/>
    <cellStyle name="40% - Accent3 2 2 7" xfId="2331" xr:uid="{00000000-0005-0000-0000-000028050000}"/>
    <cellStyle name="40% - Accent3 2 2 7 2" xfId="6639" xr:uid="{00000000-0005-0000-0000-000029050000}"/>
    <cellStyle name="40% - Accent3 2 2 7 2 2" xfId="15068" xr:uid="{F5601953-4A4C-4894-9CB8-EEBDE8E0C2A6}"/>
    <cellStyle name="40% - Accent3 2 2 7 3" xfId="10850" xr:uid="{D955A4F3-EC11-4EAD-942A-1F831FA6BDC6}"/>
    <cellStyle name="40% - Accent3 2 2 8" xfId="4573" xr:uid="{00000000-0005-0000-0000-00002A050000}"/>
    <cellStyle name="40% - Accent3 2 2 8 2" xfId="13002" xr:uid="{76742AD6-D6B2-44A5-B86E-BD3857A6423F}"/>
    <cellStyle name="40% - Accent3 2 2 9" xfId="8784" xr:uid="{E00FB580-03A0-4873-B905-BAC911D71CDC}"/>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339CBC94-56EC-4F66-BD04-428F4431DF64}"/>
    <cellStyle name="40% - Accent3 2 3 2 2 3" xfId="11345" xr:uid="{827C7C6A-2DB0-411E-BE0E-EA28120295C8}"/>
    <cellStyle name="40% - Accent3 2 3 2 3" xfId="4989" xr:uid="{00000000-0005-0000-0000-00002F050000}"/>
    <cellStyle name="40% - Accent3 2 3 2 3 2" xfId="13418" xr:uid="{B8518F0E-A393-4C86-9548-8B607D8B7DE1}"/>
    <cellStyle name="40% - Accent3 2 3 2 4" xfId="9200" xr:uid="{1C3324C4-12CD-4368-A5BD-530E39AEAA3E}"/>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F2B2535-E39C-451C-84D2-A41BBC1E1C22}"/>
    <cellStyle name="40% - Accent3 2 3 3 2 3" xfId="11758" xr:uid="{2D0E8D77-F6FC-4AFF-ACCD-0A6224F32F5D}"/>
    <cellStyle name="40% - Accent3 2 3 3 3" xfId="5402" xr:uid="{00000000-0005-0000-0000-000033050000}"/>
    <cellStyle name="40% - Accent3 2 3 3 3 2" xfId="13831" xr:uid="{C5308A9F-7246-40F2-BCD3-1DA71D97D0A1}"/>
    <cellStyle name="40% - Accent3 2 3 3 4" xfId="9613" xr:uid="{41DB14E5-3FFE-43C4-BC66-2D80A0F97B3D}"/>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224CD4A8-8323-444D-BA0C-8BC3D22E0755}"/>
    <cellStyle name="40% - Accent3 2 3 4 2 3" xfId="12171" xr:uid="{F8B10C70-FD8D-421F-A589-45A112685326}"/>
    <cellStyle name="40% - Accent3 2 3 4 3" xfId="5815" xr:uid="{00000000-0005-0000-0000-000037050000}"/>
    <cellStyle name="40% - Accent3 2 3 4 3 2" xfId="14244" xr:uid="{5A949E37-388C-4B1A-8E11-B9A8F2DEE8D0}"/>
    <cellStyle name="40% - Accent3 2 3 4 4" xfId="10026" xr:uid="{0377D305-38A8-43F8-917B-3F53B9BCD0F1}"/>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A1EA5AF9-E954-4463-BB91-69EC6AB063B6}"/>
    <cellStyle name="40% - Accent3 2 3 5 2 3" xfId="12584" xr:uid="{539826DD-D37D-4A92-8BC1-FF1A042334BE}"/>
    <cellStyle name="40% - Accent3 2 3 5 3" xfId="6228" xr:uid="{00000000-0005-0000-0000-00003B050000}"/>
    <cellStyle name="40% - Accent3 2 3 5 3 2" xfId="14657" xr:uid="{DB7D7D34-BBE2-40D9-8E37-5691913F3524}"/>
    <cellStyle name="40% - Accent3 2 3 5 4" xfId="10439" xr:uid="{F09D2A02-7010-4133-9CC8-34F1D6843AB0}"/>
    <cellStyle name="40% - Accent3 2 3 6" xfId="2333" xr:uid="{00000000-0005-0000-0000-00003C050000}"/>
    <cellStyle name="40% - Accent3 2 3 6 2" xfId="6641" xr:uid="{00000000-0005-0000-0000-00003D050000}"/>
    <cellStyle name="40% - Accent3 2 3 6 2 2" xfId="15070" xr:uid="{83DC9D19-80E6-4535-933C-E1826F6F716D}"/>
    <cellStyle name="40% - Accent3 2 3 6 3" xfId="10852" xr:uid="{F7C1EA0D-6D99-43EE-8540-5F9EDE7479E8}"/>
    <cellStyle name="40% - Accent3 2 3 7" xfId="4575" xr:uid="{00000000-0005-0000-0000-00003E050000}"/>
    <cellStyle name="40% - Accent3 2 3 7 2" xfId="13004" xr:uid="{A98BB28B-79F6-4C46-BD23-58CCF7F0F5B8}"/>
    <cellStyle name="40% - Accent3 2 3 8" xfId="8786" xr:uid="{80014888-19C7-47A5-A149-091E3382FC7D}"/>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B5C37D09-07AD-4605-A6C4-A0A3CE6F2902}"/>
    <cellStyle name="40% - Accent3 2 4 2 3" xfId="11342" xr:uid="{871FC60C-0AC1-49E1-8B5A-CB5C839B7AF0}"/>
    <cellStyle name="40% - Accent3 2 4 3" xfId="4986" xr:uid="{00000000-0005-0000-0000-000042050000}"/>
    <cellStyle name="40% - Accent3 2 4 3 2" xfId="13415" xr:uid="{0F299A45-9E95-4DE5-B0DB-D4941E3E3DFB}"/>
    <cellStyle name="40% - Accent3 2 4 4" xfId="9197" xr:uid="{EACDD6B7-796A-4FBE-A103-A979E66BC390}"/>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08D988F2-B195-4FCF-9C2C-49582591E9DB}"/>
    <cellStyle name="40% - Accent3 2 5 2 3" xfId="11755" xr:uid="{86E21C08-3DDF-4789-8AC3-2273AB599C13}"/>
    <cellStyle name="40% - Accent3 2 5 3" xfId="5399" xr:uid="{00000000-0005-0000-0000-000046050000}"/>
    <cellStyle name="40% - Accent3 2 5 3 2" xfId="13828" xr:uid="{6A17FFB5-10FA-4268-8FFC-754DE6FA3A91}"/>
    <cellStyle name="40% - Accent3 2 5 4" xfId="9610" xr:uid="{A7A9008B-7BDB-42CF-99C4-D9F7DBA5B1B1}"/>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6DBB229E-8159-4649-BFE2-E5C43FA1CA5C}"/>
    <cellStyle name="40% - Accent3 2 6 2 3" xfId="12168" xr:uid="{15ED61D2-EB07-4E49-AFBD-1CCD3DFE215F}"/>
    <cellStyle name="40% - Accent3 2 6 3" xfId="5812" xr:uid="{00000000-0005-0000-0000-00004A050000}"/>
    <cellStyle name="40% - Accent3 2 6 3 2" xfId="14241" xr:uid="{BCCB065B-329A-44AD-9672-7231C6E6902E}"/>
    <cellStyle name="40% - Accent3 2 6 4" xfId="10023" xr:uid="{AB686C12-3297-41EC-BB0F-5C00BDB31456}"/>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89E2A050-81BE-4785-AF2B-B33D65C50713}"/>
    <cellStyle name="40% - Accent3 2 7 2 3" xfId="12581" xr:uid="{755315B6-BC05-4721-AE4A-0DC00EF637C1}"/>
    <cellStyle name="40% - Accent3 2 7 3" xfId="6225" xr:uid="{00000000-0005-0000-0000-00004E050000}"/>
    <cellStyle name="40% - Accent3 2 7 3 2" xfId="14654" xr:uid="{53B67310-E2CF-4B8C-8948-B5AD03EF2E2E}"/>
    <cellStyle name="40% - Accent3 2 7 4" xfId="10436" xr:uid="{CBFB643C-2872-4BEF-BE6F-5A25560D3923}"/>
    <cellStyle name="40% - Accent3 2 8" xfId="2330" xr:uid="{00000000-0005-0000-0000-00004F050000}"/>
    <cellStyle name="40% - Accent3 2 8 2" xfId="6638" xr:uid="{00000000-0005-0000-0000-000050050000}"/>
    <cellStyle name="40% - Accent3 2 8 2 2" xfId="15067" xr:uid="{1E6105EA-5602-41CD-9D2D-80AF43D0B03F}"/>
    <cellStyle name="40% - Accent3 2 8 3" xfId="10849" xr:uid="{CE948019-416B-4CCC-B4E8-5FFD5AB9459A}"/>
    <cellStyle name="40% - Accent3 2 9" xfId="4572" xr:uid="{00000000-0005-0000-0000-000051050000}"/>
    <cellStyle name="40% - Accent3 2 9 2" xfId="13001" xr:uid="{FCEB9913-CB20-4FED-94E8-58FEE2851247}"/>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00A8296D-BDA4-440F-95CC-D27B169C15C1}"/>
    <cellStyle name="40% - Accent3 3 2 2 2 3" xfId="11347" xr:uid="{A398EF07-5A31-4C96-973E-64D0D57CBF71}"/>
    <cellStyle name="40% - Accent3 3 2 2 3" xfId="4991" xr:uid="{00000000-0005-0000-0000-000057050000}"/>
    <cellStyle name="40% - Accent3 3 2 2 3 2" xfId="13420" xr:uid="{7A9BF3F8-4022-4803-8B07-B7C68B9689C7}"/>
    <cellStyle name="40% - Accent3 3 2 2 4" xfId="9202" xr:uid="{7BFB08BF-C403-4758-ADA7-5F27EA4B5D22}"/>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C5B6C2DE-D421-47DB-A9FE-E3E46169E113}"/>
    <cellStyle name="40% - Accent3 3 2 3 2 3" xfId="11760" xr:uid="{144483B6-037B-488B-9D23-14DACD567ABA}"/>
    <cellStyle name="40% - Accent3 3 2 3 3" xfId="5404" xr:uid="{00000000-0005-0000-0000-00005B050000}"/>
    <cellStyle name="40% - Accent3 3 2 3 3 2" xfId="13833" xr:uid="{C839F12A-BCD8-4D6B-B0EF-7C9097B0BE3D}"/>
    <cellStyle name="40% - Accent3 3 2 3 4" xfId="9615" xr:uid="{66CCB31F-86AA-4D07-9E88-73FBEA0FE46E}"/>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632EDC74-21CC-4993-A5C6-6629C6DDA592}"/>
    <cellStyle name="40% - Accent3 3 2 4 2 3" xfId="12173" xr:uid="{ECB3C605-697B-4128-826B-4857DB35EFFB}"/>
    <cellStyle name="40% - Accent3 3 2 4 3" xfId="5817" xr:uid="{00000000-0005-0000-0000-00005F050000}"/>
    <cellStyle name="40% - Accent3 3 2 4 3 2" xfId="14246" xr:uid="{C57DF0CA-A8A9-46EB-8C7A-4CFC41B3353B}"/>
    <cellStyle name="40% - Accent3 3 2 4 4" xfId="10028" xr:uid="{383D867E-FB2B-4E32-8590-775A100B49C2}"/>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B1585AF7-A8F7-4A0C-B699-8D99FB8D303D}"/>
    <cellStyle name="40% - Accent3 3 2 5 2 3" xfId="12586" xr:uid="{F56D9FED-FAAA-4510-B9C9-8CD46B77717B}"/>
    <cellStyle name="40% - Accent3 3 2 5 3" xfId="6230" xr:uid="{00000000-0005-0000-0000-000063050000}"/>
    <cellStyle name="40% - Accent3 3 2 5 3 2" xfId="14659" xr:uid="{50B22D4C-479D-4B91-A5B9-BDA859FA49B8}"/>
    <cellStyle name="40% - Accent3 3 2 5 4" xfId="10441" xr:uid="{4330FADB-4BBA-48F4-99E5-4BD709B82685}"/>
    <cellStyle name="40% - Accent3 3 2 6" xfId="2335" xr:uid="{00000000-0005-0000-0000-000064050000}"/>
    <cellStyle name="40% - Accent3 3 2 6 2" xfId="6643" xr:uid="{00000000-0005-0000-0000-000065050000}"/>
    <cellStyle name="40% - Accent3 3 2 6 2 2" xfId="15072" xr:uid="{ACC84EB5-5F31-4D6F-B1C5-291DAC1B6922}"/>
    <cellStyle name="40% - Accent3 3 2 6 3" xfId="10854" xr:uid="{25702ABE-BDB5-45B3-8230-529E7D3B8695}"/>
    <cellStyle name="40% - Accent3 3 2 7" xfId="4577" xr:uid="{00000000-0005-0000-0000-000066050000}"/>
    <cellStyle name="40% - Accent3 3 2 7 2" xfId="13006" xr:uid="{DA7F2425-0255-45A5-93B8-7B49052D1BFB}"/>
    <cellStyle name="40% - Accent3 3 2 8" xfId="8788" xr:uid="{7B0D04E1-AD7D-4B0B-B066-13E75F6262AD}"/>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C055E2D7-DA9A-4E5D-A2C9-4ABCE6057AE3}"/>
    <cellStyle name="40% - Accent3 3 3 2 3" xfId="11346" xr:uid="{35FCF163-64E3-43EF-85FB-D59E6163CE68}"/>
    <cellStyle name="40% - Accent3 3 3 3" xfId="4990" xr:uid="{00000000-0005-0000-0000-00006A050000}"/>
    <cellStyle name="40% - Accent3 3 3 3 2" xfId="13419" xr:uid="{6A4A3361-B215-421A-B77D-1D7A8A74446C}"/>
    <cellStyle name="40% - Accent3 3 3 4" xfId="9201" xr:uid="{84BF7730-85B3-410F-8E36-1FD5E8266D93}"/>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DB093734-2EC1-4610-8D5D-89B7E99202AB}"/>
    <cellStyle name="40% - Accent3 3 4 2 3" xfId="11759" xr:uid="{FA65206E-F357-48E0-AF56-FF54CD4BDCAC}"/>
    <cellStyle name="40% - Accent3 3 4 3" xfId="5403" xr:uid="{00000000-0005-0000-0000-00006E050000}"/>
    <cellStyle name="40% - Accent3 3 4 3 2" xfId="13832" xr:uid="{9161143F-5EDC-4851-9396-B3D1AAB53646}"/>
    <cellStyle name="40% - Accent3 3 4 4" xfId="9614" xr:uid="{11D8A74E-EEB9-47AD-8732-8BDCDB337FCB}"/>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F02A69CF-3579-4B1D-9A07-BFA81F4D97E7}"/>
    <cellStyle name="40% - Accent3 3 5 2 3" xfId="12172" xr:uid="{8AF7341E-8B99-4FBF-9B9D-0FFF23DE6C77}"/>
    <cellStyle name="40% - Accent3 3 5 3" xfId="5816" xr:uid="{00000000-0005-0000-0000-000072050000}"/>
    <cellStyle name="40% - Accent3 3 5 3 2" xfId="14245" xr:uid="{17DA04EB-F465-42D1-98C1-052508F2F541}"/>
    <cellStyle name="40% - Accent3 3 5 4" xfId="10027" xr:uid="{3ADED61A-E1F6-4462-8AAB-DDBD22DA3D0F}"/>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91CA057B-71C4-4685-81D5-A90F335B3203}"/>
    <cellStyle name="40% - Accent3 3 6 2 3" xfId="12585" xr:uid="{6D03EEDC-172A-48F6-B165-B32B43131152}"/>
    <cellStyle name="40% - Accent3 3 6 3" xfId="6229" xr:uid="{00000000-0005-0000-0000-000076050000}"/>
    <cellStyle name="40% - Accent3 3 6 3 2" xfId="14658" xr:uid="{5F6D442F-9A3B-4E1B-8498-932E728E2FCB}"/>
    <cellStyle name="40% - Accent3 3 6 4" xfId="10440" xr:uid="{B0D10E67-149C-4D26-8976-D314DE5307DE}"/>
    <cellStyle name="40% - Accent3 3 7" xfId="2334" xr:uid="{00000000-0005-0000-0000-000077050000}"/>
    <cellStyle name="40% - Accent3 3 7 2" xfId="6642" xr:uid="{00000000-0005-0000-0000-000078050000}"/>
    <cellStyle name="40% - Accent3 3 7 2 2" xfId="15071" xr:uid="{7D158B82-02F2-4992-815B-00927377767E}"/>
    <cellStyle name="40% - Accent3 3 7 3" xfId="10853" xr:uid="{44758CF1-1842-4863-A257-D3FA1A9D19C4}"/>
    <cellStyle name="40% - Accent3 3 8" xfId="4576" xr:uid="{00000000-0005-0000-0000-000079050000}"/>
    <cellStyle name="40% - Accent3 3 8 2" xfId="13005" xr:uid="{FFF45C7C-F0B3-487A-9D0E-9DB9E41D00D4}"/>
    <cellStyle name="40% - Accent3 3 9" xfId="8787" xr:uid="{DC78D86B-3F1A-4DED-A133-DDA9468CB878}"/>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F7D04ED6-86D1-4912-B76C-36FA60D2139C}"/>
    <cellStyle name="40% - Accent3 4 2 2 3" xfId="11348" xr:uid="{B5A32FEE-0121-403C-80ED-D23C11FBA733}"/>
    <cellStyle name="40% - Accent3 4 2 3" xfId="4992" xr:uid="{00000000-0005-0000-0000-00007E050000}"/>
    <cellStyle name="40% - Accent3 4 2 3 2" xfId="13421" xr:uid="{E1B9C3B5-B6A8-4E76-8993-886B6A50B2E3}"/>
    <cellStyle name="40% - Accent3 4 2 4" xfId="9203" xr:uid="{39D43E56-BF67-4584-81B8-47012D7FA9AA}"/>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C363E915-71F9-48A4-B2AB-256B0725E10D}"/>
    <cellStyle name="40% - Accent3 4 3 2 3" xfId="11761" xr:uid="{EFDBA306-ABC1-4D72-876B-52BFDD5C2AA7}"/>
    <cellStyle name="40% - Accent3 4 3 3" xfId="5405" xr:uid="{00000000-0005-0000-0000-000082050000}"/>
    <cellStyle name="40% - Accent3 4 3 3 2" xfId="13834" xr:uid="{D8FC6040-C6C9-4C67-95AB-A6CD1B117F48}"/>
    <cellStyle name="40% - Accent3 4 3 4" xfId="9616" xr:uid="{4416A68D-99A7-488A-8461-24D9AE2A328F}"/>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8DB5F54B-0DFD-40C8-8FC0-419501602BB3}"/>
    <cellStyle name="40% - Accent3 4 4 2 3" xfId="12174" xr:uid="{635510E5-0B37-4510-8E6D-3F4AF08D5D7A}"/>
    <cellStyle name="40% - Accent3 4 4 3" xfId="5818" xr:uid="{00000000-0005-0000-0000-000086050000}"/>
    <cellStyle name="40% - Accent3 4 4 3 2" xfId="14247" xr:uid="{7C549C64-E9DB-4C0C-A5E2-F5ECF9EEBA50}"/>
    <cellStyle name="40% - Accent3 4 4 4" xfId="10029" xr:uid="{5974DEA1-D0B3-4632-94BF-07CB711A5D7F}"/>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2C20F1E7-D21F-4975-B626-FEA505E02E37}"/>
    <cellStyle name="40% - Accent3 4 5 2 3" xfId="12587" xr:uid="{D2F2A446-A861-42ED-A5CB-1DDD12A6E312}"/>
    <cellStyle name="40% - Accent3 4 5 3" xfId="6231" xr:uid="{00000000-0005-0000-0000-00008A050000}"/>
    <cellStyle name="40% - Accent3 4 5 3 2" xfId="14660" xr:uid="{FBD65C5E-89E9-49F1-B594-8C206E1BF14E}"/>
    <cellStyle name="40% - Accent3 4 5 4" xfId="10442" xr:uid="{2232AF63-C568-4DEC-AF6C-AF52062AF7F8}"/>
    <cellStyle name="40% - Accent3 4 6" xfId="2336" xr:uid="{00000000-0005-0000-0000-00008B050000}"/>
    <cellStyle name="40% - Accent3 4 6 2" xfId="6644" xr:uid="{00000000-0005-0000-0000-00008C050000}"/>
    <cellStyle name="40% - Accent3 4 6 2 2" xfId="15073" xr:uid="{D414B3A9-9875-4C0C-A311-297DCA2DA5BC}"/>
    <cellStyle name="40% - Accent3 4 6 3" xfId="10855" xr:uid="{FC083C62-6DC0-4DC6-8E76-C04ED77A6197}"/>
    <cellStyle name="40% - Accent3 4 7" xfId="4578" xr:uid="{00000000-0005-0000-0000-00008D050000}"/>
    <cellStyle name="40% - Accent3 4 7 2" xfId="13007" xr:uid="{5B399DF7-E3B2-44B4-8343-1EE30601011E}"/>
    <cellStyle name="40% - Accent3 4 8" xfId="8789" xr:uid="{A00C2B5A-5DE9-4F4A-8C95-03879A156067}"/>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2F9ACF21-924A-4323-88A2-EB934BEF7BB9}"/>
    <cellStyle name="40% - Accent3 5 2 3" xfId="11341" xr:uid="{0B2F0CDC-2AA6-4285-9C0D-93FC6A1D4E16}"/>
    <cellStyle name="40% - Accent3 5 3" xfId="4985" xr:uid="{00000000-0005-0000-0000-000091050000}"/>
    <cellStyle name="40% - Accent3 5 3 2" xfId="13414" xr:uid="{46E1337C-96A1-497C-8BC3-C40C7D648D33}"/>
    <cellStyle name="40% - Accent3 5 4" xfId="9196" xr:uid="{0F83B9DC-85C8-4888-A290-C98EA42110CF}"/>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E7EC93D1-E86D-401A-97C8-39712BDF3DFE}"/>
    <cellStyle name="40% - Accent3 6 2 3" xfId="11754" xr:uid="{E38458C7-138C-45EF-B3DE-C9E0A2D3DFD7}"/>
    <cellStyle name="40% - Accent3 6 3" xfId="5398" xr:uid="{00000000-0005-0000-0000-000095050000}"/>
    <cellStyle name="40% - Accent3 6 3 2" xfId="13827" xr:uid="{512E931E-C249-4244-ADA7-56651C94ED29}"/>
    <cellStyle name="40% - Accent3 6 4" xfId="9609" xr:uid="{DAC11576-72A4-4904-8397-C2CA1F852B24}"/>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25EA02CA-4F08-4E32-BE09-4C48A9051578}"/>
    <cellStyle name="40% - Accent3 7 2 3" xfId="12167" xr:uid="{786CBEC2-DF05-426B-AF7E-1ECA2C5E38FE}"/>
    <cellStyle name="40% - Accent3 7 3" xfId="5811" xr:uid="{00000000-0005-0000-0000-000099050000}"/>
    <cellStyle name="40% - Accent3 7 3 2" xfId="14240" xr:uid="{179613A5-5C3E-4B47-92B8-8A2D0B68DD38}"/>
    <cellStyle name="40% - Accent3 7 4" xfId="10022" xr:uid="{6CF79559-60F1-4594-833C-31BC16876FFD}"/>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D9EE434C-D914-4A2F-ADC6-F0D89DE5C3DD}"/>
    <cellStyle name="40% - Accent3 8 2 3" xfId="12580" xr:uid="{BC72D185-BED7-4FA2-B30A-AE087AE37907}"/>
    <cellStyle name="40% - Accent3 8 3" xfId="6224" xr:uid="{00000000-0005-0000-0000-00009D050000}"/>
    <cellStyle name="40% - Accent3 8 3 2" xfId="14653" xr:uid="{AD9B61A3-B0BD-4989-869E-433BC95AE3C9}"/>
    <cellStyle name="40% - Accent3 8 4" xfId="10435" xr:uid="{6759C150-337F-4B6F-AE22-E938C713F436}"/>
    <cellStyle name="40% - Accent3 9" xfId="2329" xr:uid="{00000000-0005-0000-0000-00009E050000}"/>
    <cellStyle name="40% - Accent3 9 2" xfId="6637" xr:uid="{00000000-0005-0000-0000-00009F050000}"/>
    <cellStyle name="40% - Accent3 9 2 2" xfId="15066" xr:uid="{76852670-8D46-4BCB-A2AD-57F40C7EF0C7}"/>
    <cellStyle name="40% - Accent3 9 3" xfId="10848" xr:uid="{BA9E33C7-BE50-4D0C-A55C-2072E49FEE50}"/>
    <cellStyle name="40% - Accent4" xfId="73" builtinId="43" customBuiltin="1"/>
    <cellStyle name="40% - Accent4 10" xfId="4579" xr:uid="{00000000-0005-0000-0000-0000A1050000}"/>
    <cellStyle name="40% - Accent4 10 2" xfId="13008" xr:uid="{C4E6458D-B5D1-472E-B34D-8996BFD3D277}"/>
    <cellStyle name="40% - Accent4 11" xfId="8790" xr:uid="{E65EBBA8-CE80-4165-805F-D2E33C9D8CA8}"/>
    <cellStyle name="40% - Accent4 2" xfId="74" xr:uid="{00000000-0005-0000-0000-0000A2050000}"/>
    <cellStyle name="40% - Accent4 2 10" xfId="8791" xr:uid="{E644C009-3377-48EE-970E-5E68E34712B4}"/>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90E39CC4-81E3-4818-B5AF-C72037471343}"/>
    <cellStyle name="40% - Accent4 2 2 2 2 2 3" xfId="11352" xr:uid="{F4181B7B-971D-4089-A6BF-7C70F490E864}"/>
    <cellStyle name="40% - Accent4 2 2 2 2 3" xfId="4996" xr:uid="{00000000-0005-0000-0000-0000A8050000}"/>
    <cellStyle name="40% - Accent4 2 2 2 2 3 2" xfId="13425" xr:uid="{92128D95-08E7-421A-A12F-9C69ACD0BB98}"/>
    <cellStyle name="40% - Accent4 2 2 2 2 4" xfId="9207" xr:uid="{8C7E2E61-F177-4D86-9542-6397A0A225CE}"/>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7C313B90-F9DA-4FEC-87AC-E06AD94C9E86}"/>
    <cellStyle name="40% - Accent4 2 2 2 3 2 3" xfId="11765" xr:uid="{EA8AF47A-6DF8-4721-82A6-9BFCC05B3DC2}"/>
    <cellStyle name="40% - Accent4 2 2 2 3 3" xfId="5409" xr:uid="{00000000-0005-0000-0000-0000AC050000}"/>
    <cellStyle name="40% - Accent4 2 2 2 3 3 2" xfId="13838" xr:uid="{226C43ED-2ECF-49A3-87CA-45F0D6D488A4}"/>
    <cellStyle name="40% - Accent4 2 2 2 3 4" xfId="9620" xr:uid="{040EB30D-32F6-40BE-A7E1-BD9256410083}"/>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34C60C94-91E9-45F9-8DFC-0A04E38D5ABB}"/>
    <cellStyle name="40% - Accent4 2 2 2 4 2 3" xfId="12178" xr:uid="{C8DB67FE-0E9F-4439-B813-075428730434}"/>
    <cellStyle name="40% - Accent4 2 2 2 4 3" xfId="5822" xr:uid="{00000000-0005-0000-0000-0000B0050000}"/>
    <cellStyle name="40% - Accent4 2 2 2 4 3 2" xfId="14251" xr:uid="{D9ED6117-5E02-4EEC-957F-B9BFE07F105D}"/>
    <cellStyle name="40% - Accent4 2 2 2 4 4" xfId="10033" xr:uid="{3F000BD5-F53D-43B3-8F23-6CEF522B991A}"/>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6F56762B-27FD-48C0-84F5-34DCB55FDB4E}"/>
    <cellStyle name="40% - Accent4 2 2 2 5 2 3" xfId="12591" xr:uid="{313B75FD-9B2B-4098-8C4E-10CB8B3967B5}"/>
    <cellStyle name="40% - Accent4 2 2 2 5 3" xfId="6235" xr:uid="{00000000-0005-0000-0000-0000B4050000}"/>
    <cellStyle name="40% - Accent4 2 2 2 5 3 2" xfId="14664" xr:uid="{A404516E-D966-4DD4-B27F-FD987D6EA9A0}"/>
    <cellStyle name="40% - Accent4 2 2 2 5 4" xfId="10446" xr:uid="{4B43B865-0563-4BE0-A75D-F2D1AB273ADC}"/>
    <cellStyle name="40% - Accent4 2 2 2 6" xfId="2340" xr:uid="{00000000-0005-0000-0000-0000B5050000}"/>
    <cellStyle name="40% - Accent4 2 2 2 6 2" xfId="6648" xr:uid="{00000000-0005-0000-0000-0000B6050000}"/>
    <cellStyle name="40% - Accent4 2 2 2 6 2 2" xfId="15077" xr:uid="{EC3A577C-2848-4ABE-B0CB-8822C5EC60B5}"/>
    <cellStyle name="40% - Accent4 2 2 2 6 3" xfId="10859" xr:uid="{2BAC6BDE-6948-418C-93DB-9A77B62B4305}"/>
    <cellStyle name="40% - Accent4 2 2 2 7" xfId="4582" xr:uid="{00000000-0005-0000-0000-0000B7050000}"/>
    <cellStyle name="40% - Accent4 2 2 2 7 2" xfId="13011" xr:uid="{A8FCD23D-FDB5-4E05-AA45-AA4F075AC744}"/>
    <cellStyle name="40% - Accent4 2 2 2 8" xfId="8793" xr:uid="{BD258798-99BF-4A81-953B-8E625897FB94}"/>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34ACC2BD-A0F9-411B-88FD-D4B1BC349091}"/>
    <cellStyle name="40% - Accent4 2 2 3 2 3" xfId="11351" xr:uid="{281C67B8-8645-4E6D-B9CF-1123F3D6A4AC}"/>
    <cellStyle name="40% - Accent4 2 2 3 3" xfId="4995" xr:uid="{00000000-0005-0000-0000-0000BB050000}"/>
    <cellStyle name="40% - Accent4 2 2 3 3 2" xfId="13424" xr:uid="{603580AD-5D56-43B3-B190-C180601E8E5C}"/>
    <cellStyle name="40% - Accent4 2 2 3 4" xfId="9206" xr:uid="{5BE88511-3D4D-4365-8719-2740DAD686AA}"/>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FD13C452-7CF2-454E-834E-ECA026623050}"/>
    <cellStyle name="40% - Accent4 2 2 4 2 3" xfId="11764" xr:uid="{43FA6D88-008A-4355-ADA9-70BECC1238C8}"/>
    <cellStyle name="40% - Accent4 2 2 4 3" xfId="5408" xr:uid="{00000000-0005-0000-0000-0000BF050000}"/>
    <cellStyle name="40% - Accent4 2 2 4 3 2" xfId="13837" xr:uid="{8C5E2977-0A33-4618-A3F1-E7F92054BB50}"/>
    <cellStyle name="40% - Accent4 2 2 4 4" xfId="9619" xr:uid="{2FD15162-76AE-446F-BD8B-95860C74DAD3}"/>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E46A71E2-AC6F-4624-B408-3D936549A508}"/>
    <cellStyle name="40% - Accent4 2 2 5 2 3" xfId="12177" xr:uid="{4FF36F69-E49C-46ED-91DB-3B869410EFBA}"/>
    <cellStyle name="40% - Accent4 2 2 5 3" xfId="5821" xr:uid="{00000000-0005-0000-0000-0000C3050000}"/>
    <cellStyle name="40% - Accent4 2 2 5 3 2" xfId="14250" xr:uid="{5CFA5CFC-1B85-4733-8D27-A34FDF7828FD}"/>
    <cellStyle name="40% - Accent4 2 2 5 4" xfId="10032" xr:uid="{0C071F5E-A316-44F7-88F2-494AC887F207}"/>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00C9C054-9923-4F9C-91F2-F5208EDA9BC0}"/>
    <cellStyle name="40% - Accent4 2 2 6 2 3" xfId="12590" xr:uid="{D010B4F6-FC8F-4FF9-A9A6-D23F1090C054}"/>
    <cellStyle name="40% - Accent4 2 2 6 3" xfId="6234" xr:uid="{00000000-0005-0000-0000-0000C7050000}"/>
    <cellStyle name="40% - Accent4 2 2 6 3 2" xfId="14663" xr:uid="{1F6D8598-514A-4AAE-B59C-05A2B048AE32}"/>
    <cellStyle name="40% - Accent4 2 2 6 4" xfId="10445" xr:uid="{79DEB2EC-6000-429E-83FF-0B1389C63562}"/>
    <cellStyle name="40% - Accent4 2 2 7" xfId="2339" xr:uid="{00000000-0005-0000-0000-0000C8050000}"/>
    <cellStyle name="40% - Accent4 2 2 7 2" xfId="6647" xr:uid="{00000000-0005-0000-0000-0000C9050000}"/>
    <cellStyle name="40% - Accent4 2 2 7 2 2" xfId="15076" xr:uid="{85959D53-477F-436F-B611-BEE4BC025F91}"/>
    <cellStyle name="40% - Accent4 2 2 7 3" xfId="10858" xr:uid="{09917215-927E-4627-B1EE-0023D8CC7E27}"/>
    <cellStyle name="40% - Accent4 2 2 8" xfId="4581" xr:uid="{00000000-0005-0000-0000-0000CA050000}"/>
    <cellStyle name="40% - Accent4 2 2 8 2" xfId="13010" xr:uid="{B8A06C60-D966-4B98-967F-5BF27C785ED0}"/>
    <cellStyle name="40% - Accent4 2 2 9" xfId="8792" xr:uid="{0985C11E-CF25-4A4D-9BA1-A51713D47B93}"/>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882B355E-DC00-418F-B8CD-21B636A5D3A9}"/>
    <cellStyle name="40% - Accent4 2 3 2 2 3" xfId="11353" xr:uid="{1159E92C-0A2A-4689-9F7A-FF10193B1395}"/>
    <cellStyle name="40% - Accent4 2 3 2 3" xfId="4997" xr:uid="{00000000-0005-0000-0000-0000CF050000}"/>
    <cellStyle name="40% - Accent4 2 3 2 3 2" xfId="13426" xr:uid="{B22AE165-115C-4C75-B33F-7A204A1E43A4}"/>
    <cellStyle name="40% - Accent4 2 3 2 4" xfId="9208" xr:uid="{5125568F-2F7D-404B-895A-32CBE51A0F10}"/>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14A73166-964F-474B-9E0C-312CA14BBAF4}"/>
    <cellStyle name="40% - Accent4 2 3 3 2 3" xfId="11766" xr:uid="{F12952FE-F3D9-43CA-A849-BF739F5DD582}"/>
    <cellStyle name="40% - Accent4 2 3 3 3" xfId="5410" xr:uid="{00000000-0005-0000-0000-0000D3050000}"/>
    <cellStyle name="40% - Accent4 2 3 3 3 2" xfId="13839" xr:uid="{67365497-1656-44F4-A2E5-A6A31165683F}"/>
    <cellStyle name="40% - Accent4 2 3 3 4" xfId="9621" xr:uid="{DCF691C4-DAEA-4D02-998B-E9B95FDB2366}"/>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7D2598F9-16C9-4EF9-A07F-2D0D15F2708B}"/>
    <cellStyle name="40% - Accent4 2 3 4 2 3" xfId="12179" xr:uid="{3070F778-DEB0-44A0-89F5-40F4C1428ED3}"/>
    <cellStyle name="40% - Accent4 2 3 4 3" xfId="5823" xr:uid="{00000000-0005-0000-0000-0000D7050000}"/>
    <cellStyle name="40% - Accent4 2 3 4 3 2" xfId="14252" xr:uid="{99E2CCE7-622A-4A24-9131-873C19CFAF1A}"/>
    <cellStyle name="40% - Accent4 2 3 4 4" xfId="10034" xr:uid="{C404D877-59EE-4E9C-8469-1CF089C28C43}"/>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6B8A63CC-3438-4937-B88F-3D58A76DFEB3}"/>
    <cellStyle name="40% - Accent4 2 3 5 2 3" xfId="12592" xr:uid="{BFAF67E6-2394-4F6C-84E5-348C8032C97D}"/>
    <cellStyle name="40% - Accent4 2 3 5 3" xfId="6236" xr:uid="{00000000-0005-0000-0000-0000DB050000}"/>
    <cellStyle name="40% - Accent4 2 3 5 3 2" xfId="14665" xr:uid="{86C16F72-FA52-4F8C-A7B4-9C03775B7ECD}"/>
    <cellStyle name="40% - Accent4 2 3 5 4" xfId="10447" xr:uid="{41E702A1-FBD2-45FC-8C88-C9ECC8E4DFA9}"/>
    <cellStyle name="40% - Accent4 2 3 6" xfId="2341" xr:uid="{00000000-0005-0000-0000-0000DC050000}"/>
    <cellStyle name="40% - Accent4 2 3 6 2" xfId="6649" xr:uid="{00000000-0005-0000-0000-0000DD050000}"/>
    <cellStyle name="40% - Accent4 2 3 6 2 2" xfId="15078" xr:uid="{9579143E-7D11-46FF-9A50-E146DA2400D2}"/>
    <cellStyle name="40% - Accent4 2 3 6 3" xfId="10860" xr:uid="{1BC308DC-3E73-4B99-A9B5-AB84CE21DF03}"/>
    <cellStyle name="40% - Accent4 2 3 7" xfId="4583" xr:uid="{00000000-0005-0000-0000-0000DE050000}"/>
    <cellStyle name="40% - Accent4 2 3 7 2" xfId="13012" xr:uid="{FC57B801-6B61-45A3-B9B9-87F8DB0CF28C}"/>
    <cellStyle name="40% - Accent4 2 3 8" xfId="8794" xr:uid="{F534B6DA-F1A2-411A-AB1A-D6BFC41C761D}"/>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EF049994-AB05-45FD-AD6A-73C0CBF6D31E}"/>
    <cellStyle name="40% - Accent4 2 4 2 3" xfId="11350" xr:uid="{279ADA4B-73FF-4296-B68B-74795C0F8993}"/>
    <cellStyle name="40% - Accent4 2 4 3" xfId="4994" xr:uid="{00000000-0005-0000-0000-0000E2050000}"/>
    <cellStyle name="40% - Accent4 2 4 3 2" xfId="13423" xr:uid="{294B3ED8-8C3C-48C6-82F5-E16510941C2A}"/>
    <cellStyle name="40% - Accent4 2 4 4" xfId="9205" xr:uid="{9A16EE49-98A0-4BA9-A474-FDBE7FC46BE6}"/>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AF3211E1-D689-49A1-A350-F1DC4A51EFEC}"/>
    <cellStyle name="40% - Accent4 2 5 2 3" xfId="11763" xr:uid="{3F7BACA7-CB41-4401-ADE6-4D420D08CDAF}"/>
    <cellStyle name="40% - Accent4 2 5 3" xfId="5407" xr:uid="{00000000-0005-0000-0000-0000E6050000}"/>
    <cellStyle name="40% - Accent4 2 5 3 2" xfId="13836" xr:uid="{458B89C0-6B07-4DCD-A95B-A14DF6544648}"/>
    <cellStyle name="40% - Accent4 2 5 4" xfId="9618" xr:uid="{BC188BF5-5F8A-4E30-BAB2-A97877CF966C}"/>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CC9DA1B2-ECCC-4479-A025-3FAB9A709AF0}"/>
    <cellStyle name="40% - Accent4 2 6 2 3" xfId="12176" xr:uid="{ECF16F35-83BE-483C-B6ED-4F7B4F4AE247}"/>
    <cellStyle name="40% - Accent4 2 6 3" xfId="5820" xr:uid="{00000000-0005-0000-0000-0000EA050000}"/>
    <cellStyle name="40% - Accent4 2 6 3 2" xfId="14249" xr:uid="{9A7C06CA-11A4-4A5D-B1F0-AEAA24E7526C}"/>
    <cellStyle name="40% - Accent4 2 6 4" xfId="10031" xr:uid="{572975D3-F60F-4FC9-9983-B7578458D807}"/>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444ADC4F-7822-4AD7-BB89-045C6B74F344}"/>
    <cellStyle name="40% - Accent4 2 7 2 3" xfId="12589" xr:uid="{AFC8A9CC-FF12-40EA-B85C-DCFA1FB9B830}"/>
    <cellStyle name="40% - Accent4 2 7 3" xfId="6233" xr:uid="{00000000-0005-0000-0000-0000EE050000}"/>
    <cellStyle name="40% - Accent4 2 7 3 2" xfId="14662" xr:uid="{CFC11EAC-8C64-4A57-BCA5-BFBD30FA277C}"/>
    <cellStyle name="40% - Accent4 2 7 4" xfId="10444" xr:uid="{3C206868-9AAF-4A13-908C-A99D100767CD}"/>
    <cellStyle name="40% - Accent4 2 8" xfId="2338" xr:uid="{00000000-0005-0000-0000-0000EF050000}"/>
    <cellStyle name="40% - Accent4 2 8 2" xfId="6646" xr:uid="{00000000-0005-0000-0000-0000F0050000}"/>
    <cellStyle name="40% - Accent4 2 8 2 2" xfId="15075" xr:uid="{8523D52C-B7A4-4277-9CBA-6FB09272EA5A}"/>
    <cellStyle name="40% - Accent4 2 8 3" xfId="10857" xr:uid="{3A8403DB-C4D5-4370-BF54-B38FF8C9E6D6}"/>
    <cellStyle name="40% - Accent4 2 9" xfId="4580" xr:uid="{00000000-0005-0000-0000-0000F1050000}"/>
    <cellStyle name="40% - Accent4 2 9 2" xfId="13009" xr:uid="{C41D8528-F570-44EE-9897-26030EE0A813}"/>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C63D3B12-FF61-46E3-BFAB-25A143A1B2BB}"/>
    <cellStyle name="40% - Accent4 3 2 2 2 3" xfId="11355" xr:uid="{95DD3200-E137-4CF5-B756-CD4B11A1D08B}"/>
    <cellStyle name="40% - Accent4 3 2 2 3" xfId="4999" xr:uid="{00000000-0005-0000-0000-0000F7050000}"/>
    <cellStyle name="40% - Accent4 3 2 2 3 2" xfId="13428" xr:uid="{E91D6766-3A3A-4437-AFA8-DA4B36DD5BCC}"/>
    <cellStyle name="40% - Accent4 3 2 2 4" xfId="9210" xr:uid="{72F73409-7AC7-440A-AB7C-BFD2DCF04768}"/>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87E8BF3C-D539-4920-B0A7-45B410C36DF2}"/>
    <cellStyle name="40% - Accent4 3 2 3 2 3" xfId="11768" xr:uid="{9FCE692C-779B-46AC-BAD5-1FB01C2628FE}"/>
    <cellStyle name="40% - Accent4 3 2 3 3" xfId="5412" xr:uid="{00000000-0005-0000-0000-0000FB050000}"/>
    <cellStyle name="40% - Accent4 3 2 3 3 2" xfId="13841" xr:uid="{BE38351C-D814-43FC-8E16-A60EB0A05E3F}"/>
    <cellStyle name="40% - Accent4 3 2 3 4" xfId="9623" xr:uid="{848A2D4B-7EC4-4D71-9B78-169D50B29AE0}"/>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D7746970-ADFC-4563-93B3-228930631D1A}"/>
    <cellStyle name="40% - Accent4 3 2 4 2 3" xfId="12181" xr:uid="{35BD34B5-58D0-44F0-9105-0B842BEAB9DE}"/>
    <cellStyle name="40% - Accent4 3 2 4 3" xfId="5825" xr:uid="{00000000-0005-0000-0000-0000FF050000}"/>
    <cellStyle name="40% - Accent4 3 2 4 3 2" xfId="14254" xr:uid="{B08D19EA-A9BE-4AAA-B1DD-AA196EBBD8F2}"/>
    <cellStyle name="40% - Accent4 3 2 4 4" xfId="10036" xr:uid="{703047EE-1828-4D41-AC8A-5C7874ECD084}"/>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F52F8842-8A4B-4788-9961-30E2AD400AFB}"/>
    <cellStyle name="40% - Accent4 3 2 5 2 3" xfId="12594" xr:uid="{28CAEC0B-6DB1-464F-951C-465EAC6FE0CB}"/>
    <cellStyle name="40% - Accent4 3 2 5 3" xfId="6238" xr:uid="{00000000-0005-0000-0000-000003060000}"/>
    <cellStyle name="40% - Accent4 3 2 5 3 2" xfId="14667" xr:uid="{81429B0F-3B6D-484C-B959-50B61D4F2032}"/>
    <cellStyle name="40% - Accent4 3 2 5 4" xfId="10449" xr:uid="{A3A90197-D5FE-4D30-B1AE-9728D63AE47E}"/>
    <cellStyle name="40% - Accent4 3 2 6" xfId="2343" xr:uid="{00000000-0005-0000-0000-000004060000}"/>
    <cellStyle name="40% - Accent4 3 2 6 2" xfId="6651" xr:uid="{00000000-0005-0000-0000-000005060000}"/>
    <cellStyle name="40% - Accent4 3 2 6 2 2" xfId="15080" xr:uid="{D081FB93-1CE8-4B51-8DE2-288D4C91F189}"/>
    <cellStyle name="40% - Accent4 3 2 6 3" xfId="10862" xr:uid="{B2C07A7E-D207-4EA1-A7C2-D80D0FA78E50}"/>
    <cellStyle name="40% - Accent4 3 2 7" xfId="4585" xr:uid="{00000000-0005-0000-0000-000006060000}"/>
    <cellStyle name="40% - Accent4 3 2 7 2" xfId="13014" xr:uid="{379139A9-A139-4BEF-B42A-E192A9110732}"/>
    <cellStyle name="40% - Accent4 3 2 8" xfId="8796" xr:uid="{1189F029-4406-4FAF-AEB7-54E30D5F30DA}"/>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2B6FB78C-CD73-4217-A561-35D86DC5857D}"/>
    <cellStyle name="40% - Accent4 3 3 2 3" xfId="11354" xr:uid="{92A29B77-2277-45CC-866E-00CDC9BEAF62}"/>
    <cellStyle name="40% - Accent4 3 3 3" xfId="4998" xr:uid="{00000000-0005-0000-0000-00000A060000}"/>
    <cellStyle name="40% - Accent4 3 3 3 2" xfId="13427" xr:uid="{3D93363E-8E1F-4BDF-9EB3-31CDF3F9E6F1}"/>
    <cellStyle name="40% - Accent4 3 3 4" xfId="9209" xr:uid="{43576641-54D7-4E33-BED0-7EA4D0E2CE5A}"/>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9FDA29DD-DBC8-456A-9B57-3624667D0F5A}"/>
    <cellStyle name="40% - Accent4 3 4 2 3" xfId="11767" xr:uid="{916C50CE-D2D3-4158-A859-5CB07D9074BF}"/>
    <cellStyle name="40% - Accent4 3 4 3" xfId="5411" xr:uid="{00000000-0005-0000-0000-00000E060000}"/>
    <cellStyle name="40% - Accent4 3 4 3 2" xfId="13840" xr:uid="{D841A969-BD4E-41F5-8C69-07CA139861EF}"/>
    <cellStyle name="40% - Accent4 3 4 4" xfId="9622" xr:uid="{2EDA4B76-C3D6-4150-AB63-098E8FB449DB}"/>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DC4DEA15-7349-4AB1-9CEA-5FA9E9FDBB87}"/>
    <cellStyle name="40% - Accent4 3 5 2 3" xfId="12180" xr:uid="{3B684200-070C-4D2B-8BEB-BD8E1C249387}"/>
    <cellStyle name="40% - Accent4 3 5 3" xfId="5824" xr:uid="{00000000-0005-0000-0000-000012060000}"/>
    <cellStyle name="40% - Accent4 3 5 3 2" xfId="14253" xr:uid="{89BEF38B-18BA-47BC-9A43-F2CAA5C6FA44}"/>
    <cellStyle name="40% - Accent4 3 5 4" xfId="10035" xr:uid="{16CC0573-0736-45E4-AF39-20E4FB7ACC09}"/>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B7630685-0434-4328-B9BE-5611A47F99F1}"/>
    <cellStyle name="40% - Accent4 3 6 2 3" xfId="12593" xr:uid="{84005575-CE7E-46F1-AD97-9DC4A3187DB5}"/>
    <cellStyle name="40% - Accent4 3 6 3" xfId="6237" xr:uid="{00000000-0005-0000-0000-000016060000}"/>
    <cellStyle name="40% - Accent4 3 6 3 2" xfId="14666" xr:uid="{B8A626E7-9CE8-4CD3-8FA2-B4A8CEA4ED08}"/>
    <cellStyle name="40% - Accent4 3 6 4" xfId="10448" xr:uid="{B7159E35-E9E2-46A3-A1CD-AE2DEA9AFBB4}"/>
    <cellStyle name="40% - Accent4 3 7" xfId="2342" xr:uid="{00000000-0005-0000-0000-000017060000}"/>
    <cellStyle name="40% - Accent4 3 7 2" xfId="6650" xr:uid="{00000000-0005-0000-0000-000018060000}"/>
    <cellStyle name="40% - Accent4 3 7 2 2" xfId="15079" xr:uid="{8CB7E341-EB71-4892-9681-94DBD27382ED}"/>
    <cellStyle name="40% - Accent4 3 7 3" xfId="10861" xr:uid="{17FBB80C-0ABA-4F56-B72A-A14BDF7BA4AE}"/>
    <cellStyle name="40% - Accent4 3 8" xfId="4584" xr:uid="{00000000-0005-0000-0000-000019060000}"/>
    <cellStyle name="40% - Accent4 3 8 2" xfId="13013" xr:uid="{760144B7-DB71-4898-961A-C89AF101768C}"/>
    <cellStyle name="40% - Accent4 3 9" xfId="8795" xr:uid="{8FB8856E-8337-4C20-9638-1831C24881F7}"/>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12E6E55E-989E-49E5-A168-4C31386CAB37}"/>
    <cellStyle name="40% - Accent4 4 2 2 3" xfId="11356" xr:uid="{04A1991E-D534-4F3B-B456-19CCB307D972}"/>
    <cellStyle name="40% - Accent4 4 2 3" xfId="5000" xr:uid="{00000000-0005-0000-0000-00001E060000}"/>
    <cellStyle name="40% - Accent4 4 2 3 2" xfId="13429" xr:uid="{D5CE8246-D8DD-48AB-B15B-B9185F834BE5}"/>
    <cellStyle name="40% - Accent4 4 2 4" xfId="9211" xr:uid="{8468786F-553B-48C2-B72E-F3E3B85D1AB8}"/>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1DA3FFFE-5872-415E-A1FA-F0A1206DBE7F}"/>
    <cellStyle name="40% - Accent4 4 3 2 3" xfId="11769" xr:uid="{3BDCC672-F269-4E6A-B83F-F675F413E90D}"/>
    <cellStyle name="40% - Accent4 4 3 3" xfId="5413" xr:uid="{00000000-0005-0000-0000-000022060000}"/>
    <cellStyle name="40% - Accent4 4 3 3 2" xfId="13842" xr:uid="{A6EF64A7-F170-499F-86B1-19D9DC137A8D}"/>
    <cellStyle name="40% - Accent4 4 3 4" xfId="9624" xr:uid="{86506625-1CE1-42A4-AA56-6949425D9A50}"/>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C37E5395-F684-42FD-B578-08BBA95ECF64}"/>
    <cellStyle name="40% - Accent4 4 4 2 3" xfId="12182" xr:uid="{9147B3AA-0B15-4DDD-8455-1E8C943B94D1}"/>
    <cellStyle name="40% - Accent4 4 4 3" xfId="5826" xr:uid="{00000000-0005-0000-0000-000026060000}"/>
    <cellStyle name="40% - Accent4 4 4 3 2" xfId="14255" xr:uid="{C059AD60-C502-4E32-B4E6-4F2E19F2DB5A}"/>
    <cellStyle name="40% - Accent4 4 4 4" xfId="10037" xr:uid="{D4251AAF-CC44-42F4-8D8A-D69450F4A008}"/>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51895683-963F-40EE-8755-9B95D9484618}"/>
    <cellStyle name="40% - Accent4 4 5 2 3" xfId="12595" xr:uid="{8A86D440-E2E3-45E7-BD6D-6516A023074A}"/>
    <cellStyle name="40% - Accent4 4 5 3" xfId="6239" xr:uid="{00000000-0005-0000-0000-00002A060000}"/>
    <cellStyle name="40% - Accent4 4 5 3 2" xfId="14668" xr:uid="{42B1196F-1E3D-4B31-BFEB-C7CAA0CCC783}"/>
    <cellStyle name="40% - Accent4 4 5 4" xfId="10450" xr:uid="{83A05440-8E28-4FCA-BF32-44641037AE88}"/>
    <cellStyle name="40% - Accent4 4 6" xfId="2344" xr:uid="{00000000-0005-0000-0000-00002B060000}"/>
    <cellStyle name="40% - Accent4 4 6 2" xfId="6652" xr:uid="{00000000-0005-0000-0000-00002C060000}"/>
    <cellStyle name="40% - Accent4 4 6 2 2" xfId="15081" xr:uid="{BE8F465F-A0B2-43D6-9D7E-8C25720F6A32}"/>
    <cellStyle name="40% - Accent4 4 6 3" xfId="10863" xr:uid="{0B32997F-D73E-4FA2-B531-03D5FE287362}"/>
    <cellStyle name="40% - Accent4 4 7" xfId="4586" xr:uid="{00000000-0005-0000-0000-00002D060000}"/>
    <cellStyle name="40% - Accent4 4 7 2" xfId="13015" xr:uid="{1C327C9E-C6E7-4FAD-9A93-FB9814FC29DA}"/>
    <cellStyle name="40% - Accent4 4 8" xfId="8797" xr:uid="{A3B9B957-AE92-4B73-A9A1-8C6166C42282}"/>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DA29B15C-ED8D-4EDB-AD29-5267B9A1EA8A}"/>
    <cellStyle name="40% - Accent4 5 2 3" xfId="11349" xr:uid="{C9475AD3-CA22-4F7B-8C97-8BAB576E2A1B}"/>
    <cellStyle name="40% - Accent4 5 3" xfId="4993" xr:uid="{00000000-0005-0000-0000-000031060000}"/>
    <cellStyle name="40% - Accent4 5 3 2" xfId="13422" xr:uid="{132B9500-D7FB-4084-BEB8-252C0E30F3C4}"/>
    <cellStyle name="40% - Accent4 5 4" xfId="9204" xr:uid="{E55433DF-DF3A-4C95-B0D2-F29869E41B16}"/>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1351AEAB-87C0-4971-A0B5-8E3E18A26A89}"/>
    <cellStyle name="40% - Accent4 6 2 3" xfId="11762" xr:uid="{4DC0B023-823F-4952-B6BE-D2C19346C44E}"/>
    <cellStyle name="40% - Accent4 6 3" xfId="5406" xr:uid="{00000000-0005-0000-0000-000035060000}"/>
    <cellStyle name="40% - Accent4 6 3 2" xfId="13835" xr:uid="{6E5D8E36-CE76-4C7C-917A-28EE34B5182C}"/>
    <cellStyle name="40% - Accent4 6 4" xfId="9617" xr:uid="{7C07CF06-939C-483A-8E7A-40D7F0DD8E99}"/>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D7D91BAA-E75F-48D4-934D-704090E97BF1}"/>
    <cellStyle name="40% - Accent4 7 2 3" xfId="12175" xr:uid="{7981DD49-3A68-454E-BE7D-1923765D018C}"/>
    <cellStyle name="40% - Accent4 7 3" xfId="5819" xr:uid="{00000000-0005-0000-0000-000039060000}"/>
    <cellStyle name="40% - Accent4 7 3 2" xfId="14248" xr:uid="{AA187B66-C0E3-44E0-816F-EFAC79905C8F}"/>
    <cellStyle name="40% - Accent4 7 4" xfId="10030" xr:uid="{421E3712-5F49-496C-8BED-F6CF3ABBDC1A}"/>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E12D435C-E08A-4AB7-8B78-35A690ECA9C3}"/>
    <cellStyle name="40% - Accent4 8 2 3" xfId="12588" xr:uid="{D0925F48-C38D-4BD3-880D-7B8B00980AFA}"/>
    <cellStyle name="40% - Accent4 8 3" xfId="6232" xr:uid="{00000000-0005-0000-0000-00003D060000}"/>
    <cellStyle name="40% - Accent4 8 3 2" xfId="14661" xr:uid="{FA27BD6F-8277-4B67-8E78-963F1B9A6BD9}"/>
    <cellStyle name="40% - Accent4 8 4" xfId="10443" xr:uid="{114DD918-3ABC-414A-88F7-9F348A0F5549}"/>
    <cellStyle name="40% - Accent4 9" xfId="2337" xr:uid="{00000000-0005-0000-0000-00003E060000}"/>
    <cellStyle name="40% - Accent4 9 2" xfId="6645" xr:uid="{00000000-0005-0000-0000-00003F060000}"/>
    <cellStyle name="40% - Accent4 9 2 2" xfId="15074" xr:uid="{3B646709-D94D-4913-A285-3716F4511415}"/>
    <cellStyle name="40% - Accent4 9 3" xfId="10856" xr:uid="{87502C47-DCF8-4A13-8D6B-1F527C602052}"/>
    <cellStyle name="40% - Accent5" xfId="81" builtinId="47" customBuiltin="1"/>
    <cellStyle name="40% - Accent5 10" xfId="4587" xr:uid="{00000000-0005-0000-0000-000041060000}"/>
    <cellStyle name="40% - Accent5 10 2" xfId="13016" xr:uid="{CEF244DC-A4B8-4690-8648-EEAB878F883F}"/>
    <cellStyle name="40% - Accent5 11" xfId="8798" xr:uid="{B79D3EB6-2F36-4545-B431-62CF5DDBC56C}"/>
    <cellStyle name="40% - Accent5 2" xfId="82" xr:uid="{00000000-0005-0000-0000-000042060000}"/>
    <cellStyle name="40% - Accent5 2 10" xfId="8799" xr:uid="{C250951A-32A4-421D-8413-350DAB070CEC}"/>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06384ADC-7F46-43E0-AE44-7715D99E12FE}"/>
    <cellStyle name="40% - Accent5 2 2 2 2 2 3" xfId="11360" xr:uid="{CEE39F30-2A92-40F4-8D65-45A8E90124DB}"/>
    <cellStyle name="40% - Accent5 2 2 2 2 3" xfId="5004" xr:uid="{00000000-0005-0000-0000-000048060000}"/>
    <cellStyle name="40% - Accent5 2 2 2 2 3 2" xfId="13433" xr:uid="{D9C14349-9CAF-40FC-B7C7-BDE800E85440}"/>
    <cellStyle name="40% - Accent5 2 2 2 2 4" xfId="9215" xr:uid="{E824A964-D879-4D60-B515-A2694B4C1177}"/>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A8A3C414-DD2E-43E4-8F62-10DDEFF2A8B5}"/>
    <cellStyle name="40% - Accent5 2 2 2 3 2 3" xfId="11773" xr:uid="{A7FBC77A-8631-435D-89E0-8E57EE489E3B}"/>
    <cellStyle name="40% - Accent5 2 2 2 3 3" xfId="5417" xr:uid="{00000000-0005-0000-0000-00004C060000}"/>
    <cellStyle name="40% - Accent5 2 2 2 3 3 2" xfId="13846" xr:uid="{204734D4-B4C8-414F-8108-5C3E1D73B1C0}"/>
    <cellStyle name="40% - Accent5 2 2 2 3 4" xfId="9628" xr:uid="{39E60E21-D7F3-43A1-AA96-8E1B7BD2ED31}"/>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EDDD7AAC-45B3-470F-AF4E-9A5B9E213669}"/>
    <cellStyle name="40% - Accent5 2 2 2 4 2 3" xfId="12186" xr:uid="{F56B698F-2CD6-4840-831F-6E5336197F3A}"/>
    <cellStyle name="40% - Accent5 2 2 2 4 3" xfId="5830" xr:uid="{00000000-0005-0000-0000-000050060000}"/>
    <cellStyle name="40% - Accent5 2 2 2 4 3 2" xfId="14259" xr:uid="{D2434409-1121-463F-9831-5AD3C59F5515}"/>
    <cellStyle name="40% - Accent5 2 2 2 4 4" xfId="10041" xr:uid="{F1C546D1-7D11-42F2-8050-68A687CB3C35}"/>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BD470642-5EF7-4550-867C-3DEBA56326A2}"/>
    <cellStyle name="40% - Accent5 2 2 2 5 2 3" xfId="12599" xr:uid="{CBB01EB1-8DCF-40C3-A68C-5FDE47D60DF8}"/>
    <cellStyle name="40% - Accent5 2 2 2 5 3" xfId="6243" xr:uid="{00000000-0005-0000-0000-000054060000}"/>
    <cellStyle name="40% - Accent5 2 2 2 5 3 2" xfId="14672" xr:uid="{A6CCAA57-44AB-4960-8173-88512671944F}"/>
    <cellStyle name="40% - Accent5 2 2 2 5 4" xfId="10454" xr:uid="{1410DEC0-0175-434C-84B8-AA0297DD254E}"/>
    <cellStyle name="40% - Accent5 2 2 2 6" xfId="2348" xr:uid="{00000000-0005-0000-0000-000055060000}"/>
    <cellStyle name="40% - Accent5 2 2 2 6 2" xfId="6656" xr:uid="{00000000-0005-0000-0000-000056060000}"/>
    <cellStyle name="40% - Accent5 2 2 2 6 2 2" xfId="15085" xr:uid="{52D37B9A-05C1-4C57-8F36-BAE020828E78}"/>
    <cellStyle name="40% - Accent5 2 2 2 6 3" xfId="10867" xr:uid="{82A7C146-5364-4B58-8F60-C671F6D4843B}"/>
    <cellStyle name="40% - Accent5 2 2 2 7" xfId="4590" xr:uid="{00000000-0005-0000-0000-000057060000}"/>
    <cellStyle name="40% - Accent5 2 2 2 7 2" xfId="13019" xr:uid="{3D35AE46-F794-4862-85AE-5891CCA8E0CE}"/>
    <cellStyle name="40% - Accent5 2 2 2 8" xfId="8801" xr:uid="{892D07BE-91A2-44A1-8DFF-F7A888D0272A}"/>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DC45E2F8-211F-4121-B883-DEE3BAC7FE8C}"/>
    <cellStyle name="40% - Accent5 2 2 3 2 3" xfId="11359" xr:uid="{DA870411-5845-4CA6-B9B1-588C391B9EEB}"/>
    <cellStyle name="40% - Accent5 2 2 3 3" xfId="5003" xr:uid="{00000000-0005-0000-0000-00005B060000}"/>
    <cellStyle name="40% - Accent5 2 2 3 3 2" xfId="13432" xr:uid="{AE267D99-8934-41F6-9953-BF8F653CE045}"/>
    <cellStyle name="40% - Accent5 2 2 3 4" xfId="9214" xr:uid="{C317ADBF-5E5D-4AB3-ACA2-931C9B417FC0}"/>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392A8D9A-7A1F-45BC-A49B-24D546435DE6}"/>
    <cellStyle name="40% - Accent5 2 2 4 2 3" xfId="11772" xr:uid="{2A52027B-A4B3-4489-BF35-93702FE5472A}"/>
    <cellStyle name="40% - Accent5 2 2 4 3" xfId="5416" xr:uid="{00000000-0005-0000-0000-00005F060000}"/>
    <cellStyle name="40% - Accent5 2 2 4 3 2" xfId="13845" xr:uid="{9D22718D-5C4C-41DF-AC24-5B56D5604122}"/>
    <cellStyle name="40% - Accent5 2 2 4 4" xfId="9627" xr:uid="{F585C0C5-597A-4681-B905-B33C622EBFA8}"/>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8970AAF4-C968-46A0-A778-8E32919AF299}"/>
    <cellStyle name="40% - Accent5 2 2 5 2 3" xfId="12185" xr:uid="{B3393402-2FBC-4120-BC75-6EBD9758D840}"/>
    <cellStyle name="40% - Accent5 2 2 5 3" xfId="5829" xr:uid="{00000000-0005-0000-0000-000063060000}"/>
    <cellStyle name="40% - Accent5 2 2 5 3 2" xfId="14258" xr:uid="{A379E5F0-C200-4349-A5F2-1533C4C97882}"/>
    <cellStyle name="40% - Accent5 2 2 5 4" xfId="10040" xr:uid="{B41B05B9-6EFA-4C7D-93C6-B7E22BF0B30A}"/>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98A8082D-6ABC-4CA7-B831-A69D9219EA9D}"/>
    <cellStyle name="40% - Accent5 2 2 6 2 3" xfId="12598" xr:uid="{C22CEB0F-098C-475C-9C47-B8E9E49DF862}"/>
    <cellStyle name="40% - Accent5 2 2 6 3" xfId="6242" xr:uid="{00000000-0005-0000-0000-000067060000}"/>
    <cellStyle name="40% - Accent5 2 2 6 3 2" xfId="14671" xr:uid="{BC52C23F-5E8C-4CA0-A9C7-D6C444D602CE}"/>
    <cellStyle name="40% - Accent5 2 2 6 4" xfId="10453" xr:uid="{CF0E1E95-DA6F-4408-99A7-FB7AB2D55E66}"/>
    <cellStyle name="40% - Accent5 2 2 7" xfId="2347" xr:uid="{00000000-0005-0000-0000-000068060000}"/>
    <cellStyle name="40% - Accent5 2 2 7 2" xfId="6655" xr:uid="{00000000-0005-0000-0000-000069060000}"/>
    <cellStyle name="40% - Accent5 2 2 7 2 2" xfId="15084" xr:uid="{6645A03F-2B76-427C-B53A-29ADEE90AE91}"/>
    <cellStyle name="40% - Accent5 2 2 7 3" xfId="10866" xr:uid="{F7EADEEC-3D63-4F53-9571-1782444A2DAB}"/>
    <cellStyle name="40% - Accent5 2 2 8" xfId="4589" xr:uid="{00000000-0005-0000-0000-00006A060000}"/>
    <cellStyle name="40% - Accent5 2 2 8 2" xfId="13018" xr:uid="{A025196F-12D8-406F-A5F0-AD3696A6DCAA}"/>
    <cellStyle name="40% - Accent5 2 2 9" xfId="8800" xr:uid="{55D1025F-9253-472E-82D5-F45D49D3C2D6}"/>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E8AE1B62-55A5-4F14-ABAA-4BC2F86AB086}"/>
    <cellStyle name="40% - Accent5 2 3 2 2 3" xfId="11361" xr:uid="{883351D6-69F1-4B86-B104-0C8DA102299E}"/>
    <cellStyle name="40% - Accent5 2 3 2 3" xfId="5005" xr:uid="{00000000-0005-0000-0000-00006F060000}"/>
    <cellStyle name="40% - Accent5 2 3 2 3 2" xfId="13434" xr:uid="{3029AF32-4B96-4E79-841F-BDE03C95C584}"/>
    <cellStyle name="40% - Accent5 2 3 2 4" xfId="9216" xr:uid="{35BC511F-E909-48B9-81BD-CE498990E934}"/>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A4F3990F-A27B-467E-8CEF-FEC28648AF13}"/>
    <cellStyle name="40% - Accent5 2 3 3 2 3" xfId="11774" xr:uid="{0EA5D1C3-CC2D-4C5F-8F6D-D03D5A172DA2}"/>
    <cellStyle name="40% - Accent5 2 3 3 3" xfId="5418" xr:uid="{00000000-0005-0000-0000-000073060000}"/>
    <cellStyle name="40% - Accent5 2 3 3 3 2" xfId="13847" xr:uid="{B4FEDDD3-EAAE-4588-8997-C3BE615CC464}"/>
    <cellStyle name="40% - Accent5 2 3 3 4" xfId="9629" xr:uid="{07F276F5-762F-4A0D-9C18-B93219E7000D}"/>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827B1BCD-2A07-4400-B807-691C833CACE9}"/>
    <cellStyle name="40% - Accent5 2 3 4 2 3" xfId="12187" xr:uid="{50FE680E-036A-42AF-A0E4-A9270A453288}"/>
    <cellStyle name="40% - Accent5 2 3 4 3" xfId="5831" xr:uid="{00000000-0005-0000-0000-000077060000}"/>
    <cellStyle name="40% - Accent5 2 3 4 3 2" xfId="14260" xr:uid="{49E1A768-9D04-4C8E-8D09-017F2E77FBCB}"/>
    <cellStyle name="40% - Accent5 2 3 4 4" xfId="10042" xr:uid="{468D7F54-F317-48F5-BD05-49787A2BD4A1}"/>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923A57E1-727B-4BBA-8E08-C4DAF8A44F3A}"/>
    <cellStyle name="40% - Accent5 2 3 5 2 3" xfId="12600" xr:uid="{C03496D8-D928-4DD2-A9CD-5A232C133032}"/>
    <cellStyle name="40% - Accent5 2 3 5 3" xfId="6244" xr:uid="{00000000-0005-0000-0000-00007B060000}"/>
    <cellStyle name="40% - Accent5 2 3 5 3 2" xfId="14673" xr:uid="{CC17C8AF-3A13-41E5-95C6-AFC1BEF2E21F}"/>
    <cellStyle name="40% - Accent5 2 3 5 4" xfId="10455" xr:uid="{C5A55AD1-04D4-4F59-9101-4BDC24A42195}"/>
    <cellStyle name="40% - Accent5 2 3 6" xfId="2349" xr:uid="{00000000-0005-0000-0000-00007C060000}"/>
    <cellStyle name="40% - Accent5 2 3 6 2" xfId="6657" xr:uid="{00000000-0005-0000-0000-00007D060000}"/>
    <cellStyle name="40% - Accent5 2 3 6 2 2" xfId="15086" xr:uid="{F4A0B611-111A-4354-91CB-F373B53DD3EC}"/>
    <cellStyle name="40% - Accent5 2 3 6 3" xfId="10868" xr:uid="{17736CEA-D3DD-4905-ABA1-20B9F03D6552}"/>
    <cellStyle name="40% - Accent5 2 3 7" xfId="4591" xr:uid="{00000000-0005-0000-0000-00007E060000}"/>
    <cellStyle name="40% - Accent5 2 3 7 2" xfId="13020" xr:uid="{45BD821F-F0E4-4DED-900C-5D2E9E15FFA6}"/>
    <cellStyle name="40% - Accent5 2 3 8" xfId="8802" xr:uid="{6583A5AF-12FD-4491-B303-FE5D596E22FB}"/>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493E8863-862C-4F45-BFB3-61945CA81EA1}"/>
    <cellStyle name="40% - Accent5 2 4 2 3" xfId="11358" xr:uid="{F7D7F9DD-8AC0-4252-8F18-D5890D9499C7}"/>
    <cellStyle name="40% - Accent5 2 4 3" xfId="5002" xr:uid="{00000000-0005-0000-0000-000082060000}"/>
    <cellStyle name="40% - Accent5 2 4 3 2" xfId="13431" xr:uid="{86CC7B4C-037C-48E0-A926-EFD6A87D25F4}"/>
    <cellStyle name="40% - Accent5 2 4 4" xfId="9213" xr:uid="{AAFE1562-92B2-4397-A5C0-12658EF2824D}"/>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6C1EEA2C-5FFB-4B37-91A5-B4024D342A47}"/>
    <cellStyle name="40% - Accent5 2 5 2 3" xfId="11771" xr:uid="{9F5CA5B7-9145-4E1D-B732-E9A6D9701F92}"/>
    <cellStyle name="40% - Accent5 2 5 3" xfId="5415" xr:uid="{00000000-0005-0000-0000-000086060000}"/>
    <cellStyle name="40% - Accent5 2 5 3 2" xfId="13844" xr:uid="{9EC1CBB5-F33F-4D84-A693-F0E87E7A2CCA}"/>
    <cellStyle name="40% - Accent5 2 5 4" xfId="9626" xr:uid="{A9C2F4BD-F952-47BF-BA15-84C43D521239}"/>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55FBCFE8-AFD7-4419-BA2D-C893694E329B}"/>
    <cellStyle name="40% - Accent5 2 6 2 3" xfId="12184" xr:uid="{07C46752-B783-4B95-916D-8970189AC93F}"/>
    <cellStyle name="40% - Accent5 2 6 3" xfId="5828" xr:uid="{00000000-0005-0000-0000-00008A060000}"/>
    <cellStyle name="40% - Accent5 2 6 3 2" xfId="14257" xr:uid="{40F0D76C-CB87-4C4D-A38F-EF9B2AC09F7A}"/>
    <cellStyle name="40% - Accent5 2 6 4" xfId="10039" xr:uid="{BF8BD708-393D-4500-B48A-2577B9A057DD}"/>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5F247B91-A1EF-425F-B7ED-BF509CBBA114}"/>
    <cellStyle name="40% - Accent5 2 7 2 3" xfId="12597" xr:uid="{DF47A972-6281-4910-8E30-E3B2E38B77C5}"/>
    <cellStyle name="40% - Accent5 2 7 3" xfId="6241" xr:uid="{00000000-0005-0000-0000-00008E060000}"/>
    <cellStyle name="40% - Accent5 2 7 3 2" xfId="14670" xr:uid="{D46021A8-18CB-4288-8AB7-4B2D1EC3953A}"/>
    <cellStyle name="40% - Accent5 2 7 4" xfId="10452" xr:uid="{653874FA-BB22-44C2-B37B-CA1A79507EF5}"/>
    <cellStyle name="40% - Accent5 2 8" xfId="2346" xr:uid="{00000000-0005-0000-0000-00008F060000}"/>
    <cellStyle name="40% - Accent5 2 8 2" xfId="6654" xr:uid="{00000000-0005-0000-0000-000090060000}"/>
    <cellStyle name="40% - Accent5 2 8 2 2" xfId="15083" xr:uid="{2A327BAD-7CA7-480A-BD41-883DF8E44955}"/>
    <cellStyle name="40% - Accent5 2 8 3" xfId="10865" xr:uid="{B5F420EB-A065-435A-8AAF-9A8BF7F7792A}"/>
    <cellStyle name="40% - Accent5 2 9" xfId="4588" xr:uid="{00000000-0005-0000-0000-000091060000}"/>
    <cellStyle name="40% - Accent5 2 9 2" xfId="13017" xr:uid="{EF00A125-BD67-4DEA-A390-2DF1B9038E0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EB85B537-8577-41C3-873E-161098B2D245}"/>
    <cellStyle name="40% - Accent5 3 2 2 2 3" xfId="11363" xr:uid="{82058D2B-3222-4CF3-8600-42332ECC56F9}"/>
    <cellStyle name="40% - Accent5 3 2 2 3" xfId="5007" xr:uid="{00000000-0005-0000-0000-000097060000}"/>
    <cellStyle name="40% - Accent5 3 2 2 3 2" xfId="13436" xr:uid="{057E1C1B-8F9C-4FC8-B48F-8EC54BE7A6CE}"/>
    <cellStyle name="40% - Accent5 3 2 2 4" xfId="9218" xr:uid="{373D88E6-734F-41E5-A457-5C845FF0384C}"/>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496413D3-626D-4948-AC28-1DAC089C4136}"/>
    <cellStyle name="40% - Accent5 3 2 3 2 3" xfId="11776" xr:uid="{FFF055C2-1500-49E4-8DA1-1FD51B38171D}"/>
    <cellStyle name="40% - Accent5 3 2 3 3" xfId="5420" xr:uid="{00000000-0005-0000-0000-00009B060000}"/>
    <cellStyle name="40% - Accent5 3 2 3 3 2" xfId="13849" xr:uid="{6838C2FD-2EA1-4F5E-BE00-542288BB0E97}"/>
    <cellStyle name="40% - Accent5 3 2 3 4" xfId="9631" xr:uid="{D4C786B3-DF59-482C-B7E1-DC585E4B8111}"/>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90049388-CC83-416D-B33C-3581A233EBD9}"/>
    <cellStyle name="40% - Accent5 3 2 4 2 3" xfId="12189" xr:uid="{6B23144D-30CA-44DA-85C2-0C8D660BC7F1}"/>
    <cellStyle name="40% - Accent5 3 2 4 3" xfId="5833" xr:uid="{00000000-0005-0000-0000-00009F060000}"/>
    <cellStyle name="40% - Accent5 3 2 4 3 2" xfId="14262" xr:uid="{F528050E-00FC-4A4F-86F0-3677C9E54AAC}"/>
    <cellStyle name="40% - Accent5 3 2 4 4" xfId="10044" xr:uid="{E6EAD435-3526-46D2-97E4-B3C15F69561A}"/>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620F0FCB-5F0C-41C9-8567-962056658B1E}"/>
    <cellStyle name="40% - Accent5 3 2 5 2 3" xfId="12602" xr:uid="{218C1682-1971-4B29-B713-38DC5217AFF7}"/>
    <cellStyle name="40% - Accent5 3 2 5 3" xfId="6246" xr:uid="{00000000-0005-0000-0000-0000A3060000}"/>
    <cellStyle name="40% - Accent5 3 2 5 3 2" xfId="14675" xr:uid="{FE0E7A84-2FED-4B5D-B247-330994291CA6}"/>
    <cellStyle name="40% - Accent5 3 2 5 4" xfId="10457" xr:uid="{590C6123-4A43-4751-AE3A-1FE9D6D6EF42}"/>
    <cellStyle name="40% - Accent5 3 2 6" xfId="2351" xr:uid="{00000000-0005-0000-0000-0000A4060000}"/>
    <cellStyle name="40% - Accent5 3 2 6 2" xfId="6659" xr:uid="{00000000-0005-0000-0000-0000A5060000}"/>
    <cellStyle name="40% - Accent5 3 2 6 2 2" xfId="15088" xr:uid="{476DF180-9A53-4435-90F2-BDF6986D395A}"/>
    <cellStyle name="40% - Accent5 3 2 6 3" xfId="10870" xr:uid="{483C79CD-9754-4CA7-AA5A-39FFDD5A3EE8}"/>
    <cellStyle name="40% - Accent5 3 2 7" xfId="4593" xr:uid="{00000000-0005-0000-0000-0000A6060000}"/>
    <cellStyle name="40% - Accent5 3 2 7 2" xfId="13022" xr:uid="{45187DD9-B8DC-4141-892F-27FF0EED1CFB}"/>
    <cellStyle name="40% - Accent5 3 2 8" xfId="8804" xr:uid="{2F3879C2-A8E0-4FC8-ABE4-B58C1F5F526C}"/>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09F2B8B2-C036-459D-9232-4CD02435E630}"/>
    <cellStyle name="40% - Accent5 3 3 2 3" xfId="11362" xr:uid="{BDE260E1-15A8-4FBF-8F24-A156F232D606}"/>
    <cellStyle name="40% - Accent5 3 3 3" xfId="5006" xr:uid="{00000000-0005-0000-0000-0000AA060000}"/>
    <cellStyle name="40% - Accent5 3 3 3 2" xfId="13435" xr:uid="{A2E524BB-5D1E-4D5D-A2E9-47397778CAD0}"/>
    <cellStyle name="40% - Accent5 3 3 4" xfId="9217" xr:uid="{A22649A2-7E00-43BA-99D2-19DCD858CD5A}"/>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A03E913D-9E30-4488-9511-BA274F000EA5}"/>
    <cellStyle name="40% - Accent5 3 4 2 3" xfId="11775" xr:uid="{0F21CF16-663D-427B-9813-D7A0DB712A14}"/>
    <cellStyle name="40% - Accent5 3 4 3" xfId="5419" xr:uid="{00000000-0005-0000-0000-0000AE060000}"/>
    <cellStyle name="40% - Accent5 3 4 3 2" xfId="13848" xr:uid="{B4833579-4523-4368-84E7-941C92093C08}"/>
    <cellStyle name="40% - Accent5 3 4 4" xfId="9630" xr:uid="{A1398C13-B0E7-4A61-B9A9-911677C1DD04}"/>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B287E321-D1A9-4796-8C19-B82121AD2A2E}"/>
    <cellStyle name="40% - Accent5 3 5 2 3" xfId="12188" xr:uid="{27C0D3B3-765D-4D9F-8E9D-16D7D6DD9216}"/>
    <cellStyle name="40% - Accent5 3 5 3" xfId="5832" xr:uid="{00000000-0005-0000-0000-0000B2060000}"/>
    <cellStyle name="40% - Accent5 3 5 3 2" xfId="14261" xr:uid="{0ABDD7E1-1F6F-4979-B744-11C4322F0D01}"/>
    <cellStyle name="40% - Accent5 3 5 4" xfId="10043" xr:uid="{B07B50E9-DCFB-4419-8840-ABCF19D8F6F1}"/>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A357E2F8-D34B-4DCF-B9A7-8983BB78DE75}"/>
    <cellStyle name="40% - Accent5 3 6 2 3" xfId="12601" xr:uid="{E3D9358C-0411-4A91-B6E5-7F6438662714}"/>
    <cellStyle name="40% - Accent5 3 6 3" xfId="6245" xr:uid="{00000000-0005-0000-0000-0000B6060000}"/>
    <cellStyle name="40% - Accent5 3 6 3 2" xfId="14674" xr:uid="{EDF1445A-F385-486F-8B26-9EB1813531BD}"/>
    <cellStyle name="40% - Accent5 3 6 4" xfId="10456" xr:uid="{814A2C9B-2E89-4582-8626-1B91CEB18FE4}"/>
    <cellStyle name="40% - Accent5 3 7" xfId="2350" xr:uid="{00000000-0005-0000-0000-0000B7060000}"/>
    <cellStyle name="40% - Accent5 3 7 2" xfId="6658" xr:uid="{00000000-0005-0000-0000-0000B8060000}"/>
    <cellStyle name="40% - Accent5 3 7 2 2" xfId="15087" xr:uid="{400E026E-5616-4D11-BC4F-D4AEAA9719F1}"/>
    <cellStyle name="40% - Accent5 3 7 3" xfId="10869" xr:uid="{7122C92B-04D8-4038-8369-4F82FE5758F5}"/>
    <cellStyle name="40% - Accent5 3 8" xfId="4592" xr:uid="{00000000-0005-0000-0000-0000B9060000}"/>
    <cellStyle name="40% - Accent5 3 8 2" xfId="13021" xr:uid="{E5D06D9C-9FD0-4F8B-B326-53D6A80467BA}"/>
    <cellStyle name="40% - Accent5 3 9" xfId="8803" xr:uid="{1474FCA7-4763-47B8-9816-E99E2617F352}"/>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768DDD28-3273-4C65-A341-6264E0EF1C50}"/>
    <cellStyle name="40% - Accent5 4 2 2 3" xfId="11364" xr:uid="{39B6CC0A-C727-48D2-8259-EC379A97C4E3}"/>
    <cellStyle name="40% - Accent5 4 2 3" xfId="5008" xr:uid="{00000000-0005-0000-0000-0000BE060000}"/>
    <cellStyle name="40% - Accent5 4 2 3 2" xfId="13437" xr:uid="{4EB74676-3DE2-4080-AD79-3790D6818903}"/>
    <cellStyle name="40% - Accent5 4 2 4" xfId="9219" xr:uid="{24331A30-5571-49AC-B047-A2BBAFA186F3}"/>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17754BA8-F1EE-4EFC-AC40-2C754DDF40A3}"/>
    <cellStyle name="40% - Accent5 4 3 2 3" xfId="11777" xr:uid="{F8A472EA-99A4-4B27-9980-4698E960D02B}"/>
    <cellStyle name="40% - Accent5 4 3 3" xfId="5421" xr:uid="{00000000-0005-0000-0000-0000C2060000}"/>
    <cellStyle name="40% - Accent5 4 3 3 2" xfId="13850" xr:uid="{8008A007-DB5F-432B-91DA-93BE89A5A8EE}"/>
    <cellStyle name="40% - Accent5 4 3 4" xfId="9632" xr:uid="{46F72A35-F898-4FE4-9BAE-A93B7C9D709B}"/>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0FA9011-07A2-4289-A903-218E32D5A193}"/>
    <cellStyle name="40% - Accent5 4 4 2 3" xfId="12190" xr:uid="{86FE04CC-5494-4791-BFF2-307BA3B12D5D}"/>
    <cellStyle name="40% - Accent5 4 4 3" xfId="5834" xr:uid="{00000000-0005-0000-0000-0000C6060000}"/>
    <cellStyle name="40% - Accent5 4 4 3 2" xfId="14263" xr:uid="{2E699AFC-2B7D-430E-A320-92F94CB5AECC}"/>
    <cellStyle name="40% - Accent5 4 4 4" xfId="10045" xr:uid="{C37DC83B-FB22-495C-9B74-37EBBE503406}"/>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67C46106-E710-40EE-BE6F-B59CF216457B}"/>
    <cellStyle name="40% - Accent5 4 5 2 3" xfId="12603" xr:uid="{9A0FB0BF-26E3-447C-9F80-1CCF125C4FAF}"/>
    <cellStyle name="40% - Accent5 4 5 3" xfId="6247" xr:uid="{00000000-0005-0000-0000-0000CA060000}"/>
    <cellStyle name="40% - Accent5 4 5 3 2" xfId="14676" xr:uid="{913346C7-B66B-406F-9113-430314612FDF}"/>
    <cellStyle name="40% - Accent5 4 5 4" xfId="10458" xr:uid="{82FCCB82-CCA6-4B12-832D-471917269805}"/>
    <cellStyle name="40% - Accent5 4 6" xfId="2352" xr:uid="{00000000-0005-0000-0000-0000CB060000}"/>
    <cellStyle name="40% - Accent5 4 6 2" xfId="6660" xr:uid="{00000000-0005-0000-0000-0000CC060000}"/>
    <cellStyle name="40% - Accent5 4 6 2 2" xfId="15089" xr:uid="{801020AC-809D-4D16-BFF0-801D5A6DB6C3}"/>
    <cellStyle name="40% - Accent5 4 6 3" xfId="10871" xr:uid="{200C8C47-3290-4350-940F-6152D4D92BBE}"/>
    <cellStyle name="40% - Accent5 4 7" xfId="4594" xr:uid="{00000000-0005-0000-0000-0000CD060000}"/>
    <cellStyle name="40% - Accent5 4 7 2" xfId="13023" xr:uid="{4BCA59FA-D402-4B79-8BC4-2DED36D3A86E}"/>
    <cellStyle name="40% - Accent5 4 8" xfId="8805" xr:uid="{BA55D373-7E48-40CD-B2D2-E458BE92CA60}"/>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6AB41290-CE22-47AD-A1A7-D4444E79FDA8}"/>
    <cellStyle name="40% - Accent5 5 2 3" xfId="11357" xr:uid="{1299A991-45BD-4ED3-8F69-A2879A22FB35}"/>
    <cellStyle name="40% - Accent5 5 3" xfId="5001" xr:uid="{00000000-0005-0000-0000-0000D1060000}"/>
    <cellStyle name="40% - Accent5 5 3 2" xfId="13430" xr:uid="{30B956A8-3239-498C-A456-B25A875EF9DA}"/>
    <cellStyle name="40% - Accent5 5 4" xfId="9212" xr:uid="{4669D7AB-4BF1-4C0D-B9F1-F3562524823D}"/>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0DE2E849-67FD-4EBE-A956-8A1733103A00}"/>
    <cellStyle name="40% - Accent5 6 2 3" xfId="11770" xr:uid="{F65D4FD6-B6FF-4280-ABCC-3CD8234F1791}"/>
    <cellStyle name="40% - Accent5 6 3" xfId="5414" xr:uid="{00000000-0005-0000-0000-0000D5060000}"/>
    <cellStyle name="40% - Accent5 6 3 2" xfId="13843" xr:uid="{FE4CF3AB-A1E9-43DB-B069-775F75DCFD19}"/>
    <cellStyle name="40% - Accent5 6 4" xfId="9625" xr:uid="{D0CBDEFC-9513-4D5A-882F-417F32E48040}"/>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AA253566-61AC-4365-A4FF-20FDFF8AE9A1}"/>
    <cellStyle name="40% - Accent5 7 2 3" xfId="12183" xr:uid="{6F164885-5EF9-4BF3-8A52-64136D79D04C}"/>
    <cellStyle name="40% - Accent5 7 3" xfId="5827" xr:uid="{00000000-0005-0000-0000-0000D9060000}"/>
    <cellStyle name="40% - Accent5 7 3 2" xfId="14256" xr:uid="{07FEE7D7-975E-407C-8634-047EA26729A1}"/>
    <cellStyle name="40% - Accent5 7 4" xfId="10038" xr:uid="{8F8CB77D-76F6-4EFB-8873-0DF4362AB550}"/>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F11230C4-B358-4C22-9A41-B554F56FCE64}"/>
    <cellStyle name="40% - Accent5 8 2 3" xfId="12596" xr:uid="{A911B4D1-850E-4AEA-8C23-4691CF15D9A7}"/>
    <cellStyle name="40% - Accent5 8 3" xfId="6240" xr:uid="{00000000-0005-0000-0000-0000DD060000}"/>
    <cellStyle name="40% - Accent5 8 3 2" xfId="14669" xr:uid="{3B8CFA57-7CE8-4C50-B698-657496CD3E09}"/>
    <cellStyle name="40% - Accent5 8 4" xfId="10451" xr:uid="{7AB94032-E3A5-4FDB-8F13-6663E51FA091}"/>
    <cellStyle name="40% - Accent5 9" xfId="2345" xr:uid="{00000000-0005-0000-0000-0000DE060000}"/>
    <cellStyle name="40% - Accent5 9 2" xfId="6653" xr:uid="{00000000-0005-0000-0000-0000DF060000}"/>
    <cellStyle name="40% - Accent5 9 2 2" xfId="15082" xr:uid="{065596E1-2B6F-4B4C-99FE-D59B5B85FCBC}"/>
    <cellStyle name="40% - Accent5 9 3" xfId="10864" xr:uid="{55D14F40-91E4-43F6-BD4B-B22705851C85}"/>
    <cellStyle name="40% - Accent6" xfId="89" builtinId="51" customBuiltin="1"/>
    <cellStyle name="40% - Accent6 10" xfId="4595" xr:uid="{00000000-0005-0000-0000-0000E1060000}"/>
    <cellStyle name="40% - Accent6 10 2" xfId="13024" xr:uid="{30D9C385-F8E6-4D70-AC63-AEA48531DE64}"/>
    <cellStyle name="40% - Accent6 11" xfId="8806" xr:uid="{CFB44361-D9C5-4244-BC5B-1C316D19CBA3}"/>
    <cellStyle name="40% - Accent6 2" xfId="90" xr:uid="{00000000-0005-0000-0000-0000E2060000}"/>
    <cellStyle name="40% - Accent6 2 10" xfId="8807" xr:uid="{64FC684D-3611-4640-91EA-3A80FB63A8B3}"/>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EC57866D-35D5-4117-9D3D-180323C79B04}"/>
    <cellStyle name="40% - Accent6 2 2 2 2 2 3" xfId="11368" xr:uid="{647C6581-E9F1-4E8A-BFD9-AF9F7A2CD770}"/>
    <cellStyle name="40% - Accent6 2 2 2 2 3" xfId="5012" xr:uid="{00000000-0005-0000-0000-0000E8060000}"/>
    <cellStyle name="40% - Accent6 2 2 2 2 3 2" xfId="13441" xr:uid="{40B706DD-EC84-45BB-AB26-A148542EF6EB}"/>
    <cellStyle name="40% - Accent6 2 2 2 2 4" xfId="9223" xr:uid="{E57FEFE3-6AED-4AA8-BBB3-4F61CF1BDDF3}"/>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A32226F1-31B9-4959-A5A3-198569505D82}"/>
    <cellStyle name="40% - Accent6 2 2 2 3 2 3" xfId="11781" xr:uid="{67F7B66E-B142-43BA-A820-6F7E58EC60E3}"/>
    <cellStyle name="40% - Accent6 2 2 2 3 3" xfId="5425" xr:uid="{00000000-0005-0000-0000-0000EC060000}"/>
    <cellStyle name="40% - Accent6 2 2 2 3 3 2" xfId="13854" xr:uid="{3B149E39-3C32-4D04-AD7D-D308B8231595}"/>
    <cellStyle name="40% - Accent6 2 2 2 3 4" xfId="9636" xr:uid="{A395A8A6-9FEF-420C-BDD7-147D8ADA58A8}"/>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E338B2D0-8FF8-4660-AC87-5672048A3E41}"/>
    <cellStyle name="40% - Accent6 2 2 2 4 2 3" xfId="12194" xr:uid="{634B4401-332F-49B4-9A0C-07E405812D6D}"/>
    <cellStyle name="40% - Accent6 2 2 2 4 3" xfId="5838" xr:uid="{00000000-0005-0000-0000-0000F0060000}"/>
    <cellStyle name="40% - Accent6 2 2 2 4 3 2" xfId="14267" xr:uid="{6CD37C72-90BB-4F28-BD3B-55DED0C11E07}"/>
    <cellStyle name="40% - Accent6 2 2 2 4 4" xfId="10049" xr:uid="{17B65103-C5B3-49DD-BFA7-1C684C23E869}"/>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31B601E4-4BFB-4ED8-9D8D-A51D3C19568B}"/>
    <cellStyle name="40% - Accent6 2 2 2 5 2 3" xfId="12607" xr:uid="{D20C3AAD-243C-494B-BDA6-74940D99B1F6}"/>
    <cellStyle name="40% - Accent6 2 2 2 5 3" xfId="6251" xr:uid="{00000000-0005-0000-0000-0000F4060000}"/>
    <cellStyle name="40% - Accent6 2 2 2 5 3 2" xfId="14680" xr:uid="{A9F95BB3-0F55-4ADC-AC85-BAF41DE5E3F8}"/>
    <cellStyle name="40% - Accent6 2 2 2 5 4" xfId="10462" xr:uid="{55169F41-5BC9-4B3D-8C8D-7558EBA98555}"/>
    <cellStyle name="40% - Accent6 2 2 2 6" xfId="2356" xr:uid="{00000000-0005-0000-0000-0000F5060000}"/>
    <cellStyle name="40% - Accent6 2 2 2 6 2" xfId="6664" xr:uid="{00000000-0005-0000-0000-0000F6060000}"/>
    <cellStyle name="40% - Accent6 2 2 2 6 2 2" xfId="15093" xr:uid="{946694F1-096A-4F28-8905-3F3FF31D202A}"/>
    <cellStyle name="40% - Accent6 2 2 2 6 3" xfId="10875" xr:uid="{5C4528DC-2033-48E1-9C12-CED007C6D945}"/>
    <cellStyle name="40% - Accent6 2 2 2 7" xfId="4598" xr:uid="{00000000-0005-0000-0000-0000F7060000}"/>
    <cellStyle name="40% - Accent6 2 2 2 7 2" xfId="13027" xr:uid="{1E68DBE0-F9EA-4A7F-B05D-C19BDDD1E1B1}"/>
    <cellStyle name="40% - Accent6 2 2 2 8" xfId="8809" xr:uid="{0DA69764-CF8A-4200-B9A4-F258317612C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84AA3A37-19AB-4BF1-ACD7-CD65BC9E0424}"/>
    <cellStyle name="40% - Accent6 2 2 3 2 3" xfId="11367" xr:uid="{02E3C15C-72BF-407D-B45E-244744CCBC28}"/>
    <cellStyle name="40% - Accent6 2 2 3 3" xfId="5011" xr:uid="{00000000-0005-0000-0000-0000FB060000}"/>
    <cellStyle name="40% - Accent6 2 2 3 3 2" xfId="13440" xr:uid="{559AA465-0F54-4322-ADBC-50ABE5A5B653}"/>
    <cellStyle name="40% - Accent6 2 2 3 4" xfId="9222" xr:uid="{512E218C-D57E-4991-920D-3C68C3377290}"/>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F3042A9E-A132-4445-B9B7-776ECA23AFB1}"/>
    <cellStyle name="40% - Accent6 2 2 4 2 3" xfId="11780" xr:uid="{BE1AF8F9-D368-40C3-BCF3-C7EF1400EC6B}"/>
    <cellStyle name="40% - Accent6 2 2 4 3" xfId="5424" xr:uid="{00000000-0005-0000-0000-0000FF060000}"/>
    <cellStyle name="40% - Accent6 2 2 4 3 2" xfId="13853" xr:uid="{A12E2A57-E75A-418C-BA2F-679A68673DE2}"/>
    <cellStyle name="40% - Accent6 2 2 4 4" xfId="9635" xr:uid="{18614B56-1292-4C78-8C1A-3BFE71826B13}"/>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7D7BA510-A1B4-42E3-9600-90397242F56A}"/>
    <cellStyle name="40% - Accent6 2 2 5 2 3" xfId="12193" xr:uid="{17ECEEAF-DE55-4AA9-B03D-D15598C45CA7}"/>
    <cellStyle name="40% - Accent6 2 2 5 3" xfId="5837" xr:uid="{00000000-0005-0000-0000-000003070000}"/>
    <cellStyle name="40% - Accent6 2 2 5 3 2" xfId="14266" xr:uid="{394A2001-3924-400D-B6AF-9D6905038624}"/>
    <cellStyle name="40% - Accent6 2 2 5 4" xfId="10048" xr:uid="{B4EDE28B-4B6A-4FB3-A7D2-7F596EEBD197}"/>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57585447-C36B-4761-BC46-FF1279153DF6}"/>
    <cellStyle name="40% - Accent6 2 2 6 2 3" xfId="12606" xr:uid="{0FBD76FC-EB79-41DA-9AE9-DB3CB6AF08BC}"/>
    <cellStyle name="40% - Accent6 2 2 6 3" xfId="6250" xr:uid="{00000000-0005-0000-0000-000007070000}"/>
    <cellStyle name="40% - Accent6 2 2 6 3 2" xfId="14679" xr:uid="{ABD55ED8-8E76-432D-A7F7-4E337B39E505}"/>
    <cellStyle name="40% - Accent6 2 2 6 4" xfId="10461" xr:uid="{8B00C838-DB0E-4B2A-AEE4-D767A9C582DF}"/>
    <cellStyle name="40% - Accent6 2 2 7" xfId="2355" xr:uid="{00000000-0005-0000-0000-000008070000}"/>
    <cellStyle name="40% - Accent6 2 2 7 2" xfId="6663" xr:uid="{00000000-0005-0000-0000-000009070000}"/>
    <cellStyle name="40% - Accent6 2 2 7 2 2" xfId="15092" xr:uid="{FC315E3E-219E-40A1-BF76-C9DFCDDE2E52}"/>
    <cellStyle name="40% - Accent6 2 2 7 3" xfId="10874" xr:uid="{FB487FEB-09E0-4EF5-BFFE-0677E0483DC9}"/>
    <cellStyle name="40% - Accent6 2 2 8" xfId="4597" xr:uid="{00000000-0005-0000-0000-00000A070000}"/>
    <cellStyle name="40% - Accent6 2 2 8 2" xfId="13026" xr:uid="{31B45A8F-5FA6-45B5-987B-D761DD07C742}"/>
    <cellStyle name="40% - Accent6 2 2 9" xfId="8808" xr:uid="{1F54BD9D-81A1-4FD3-B732-D206AC561784}"/>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322F877B-FB9B-40EF-BDCF-F33EDDC86AB4}"/>
    <cellStyle name="40% - Accent6 2 3 2 2 3" xfId="11369" xr:uid="{E8D2AE09-902D-4F8D-AB0D-DFE9AE2F335D}"/>
    <cellStyle name="40% - Accent6 2 3 2 3" xfId="5013" xr:uid="{00000000-0005-0000-0000-00000F070000}"/>
    <cellStyle name="40% - Accent6 2 3 2 3 2" xfId="13442" xr:uid="{49E05E80-1806-4197-AEE9-F9C83FDA31B7}"/>
    <cellStyle name="40% - Accent6 2 3 2 4" xfId="9224" xr:uid="{7DD58B58-DB36-4042-AAD9-531F0AD3AB2D}"/>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0061A17D-0A45-4072-9632-07A221830F3E}"/>
    <cellStyle name="40% - Accent6 2 3 3 2 3" xfId="11782" xr:uid="{A547DFF9-C1A1-4A0B-AB25-7550A330811E}"/>
    <cellStyle name="40% - Accent6 2 3 3 3" xfId="5426" xr:uid="{00000000-0005-0000-0000-000013070000}"/>
    <cellStyle name="40% - Accent6 2 3 3 3 2" xfId="13855" xr:uid="{29E44F89-84DE-4550-A652-55CD3C93C199}"/>
    <cellStyle name="40% - Accent6 2 3 3 4" xfId="9637" xr:uid="{7DC57DD2-E3A3-4CE3-8052-249FEC240FEB}"/>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BBB991E7-46EA-4DC0-8FCB-9C510234A96C}"/>
    <cellStyle name="40% - Accent6 2 3 4 2 3" xfId="12195" xr:uid="{A8FBE5DA-9A2E-4A1C-9030-03BD9280C1D1}"/>
    <cellStyle name="40% - Accent6 2 3 4 3" xfId="5839" xr:uid="{00000000-0005-0000-0000-000017070000}"/>
    <cellStyle name="40% - Accent6 2 3 4 3 2" xfId="14268" xr:uid="{EB5DBC74-2F93-440F-A3E6-AEAC9DAEF779}"/>
    <cellStyle name="40% - Accent6 2 3 4 4" xfId="10050" xr:uid="{FD1963D2-7830-4A9A-950F-25275E2E3E71}"/>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D3D0B683-3C43-4386-B292-968BDBDA7491}"/>
    <cellStyle name="40% - Accent6 2 3 5 2 3" xfId="12608" xr:uid="{580C5E61-F57F-472D-BD65-81A706E74AF4}"/>
    <cellStyle name="40% - Accent6 2 3 5 3" xfId="6252" xr:uid="{00000000-0005-0000-0000-00001B070000}"/>
    <cellStyle name="40% - Accent6 2 3 5 3 2" xfId="14681" xr:uid="{C7F5FDC6-9DD1-4D8D-ABC3-A2267FB248A4}"/>
    <cellStyle name="40% - Accent6 2 3 5 4" xfId="10463" xr:uid="{60698844-E2F5-407B-BE1F-1C1ECC4172B9}"/>
    <cellStyle name="40% - Accent6 2 3 6" xfId="2357" xr:uid="{00000000-0005-0000-0000-00001C070000}"/>
    <cellStyle name="40% - Accent6 2 3 6 2" xfId="6665" xr:uid="{00000000-0005-0000-0000-00001D070000}"/>
    <cellStyle name="40% - Accent6 2 3 6 2 2" xfId="15094" xr:uid="{B1527BA3-4973-4187-BE1C-2D028A978B4C}"/>
    <cellStyle name="40% - Accent6 2 3 6 3" xfId="10876" xr:uid="{1C96B53D-D606-4472-9BC1-6DC1EE32417B}"/>
    <cellStyle name="40% - Accent6 2 3 7" xfId="4599" xr:uid="{00000000-0005-0000-0000-00001E070000}"/>
    <cellStyle name="40% - Accent6 2 3 7 2" xfId="13028" xr:uid="{F659EFDC-6040-4C1C-ABFC-870ED8FD2CDA}"/>
    <cellStyle name="40% - Accent6 2 3 8" xfId="8810" xr:uid="{4FB8B8E6-0AD3-469C-A4B5-D61F5EA5FB6E}"/>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AE628142-F17D-45BB-BF9A-8C3D67276FC1}"/>
    <cellStyle name="40% - Accent6 2 4 2 3" xfId="11366" xr:uid="{61F89505-EEE3-4CE5-BCEC-8CBD2004F05B}"/>
    <cellStyle name="40% - Accent6 2 4 3" xfId="5010" xr:uid="{00000000-0005-0000-0000-000022070000}"/>
    <cellStyle name="40% - Accent6 2 4 3 2" xfId="13439" xr:uid="{B769D2D1-79DD-4176-91CF-D4D9BA3F747F}"/>
    <cellStyle name="40% - Accent6 2 4 4" xfId="9221" xr:uid="{D6C1E242-AEB5-4ABA-A878-70EB92E80A70}"/>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F7A54D7C-220D-412B-AC6C-4B741FA92E62}"/>
    <cellStyle name="40% - Accent6 2 5 2 3" xfId="11779" xr:uid="{0CE0AF50-E58D-4155-A02F-8662CF96708A}"/>
    <cellStyle name="40% - Accent6 2 5 3" xfId="5423" xr:uid="{00000000-0005-0000-0000-000026070000}"/>
    <cellStyle name="40% - Accent6 2 5 3 2" xfId="13852" xr:uid="{B8407D06-D6E0-49D8-BA56-CF808BC7133C}"/>
    <cellStyle name="40% - Accent6 2 5 4" xfId="9634" xr:uid="{2E2C457A-19D0-4051-982D-4B060D375E0F}"/>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A4FF15E1-66AA-4CA0-9840-8E34647A037A}"/>
    <cellStyle name="40% - Accent6 2 6 2 3" xfId="12192" xr:uid="{43A48658-479B-4679-B9B3-F4FB0B881F82}"/>
    <cellStyle name="40% - Accent6 2 6 3" xfId="5836" xr:uid="{00000000-0005-0000-0000-00002A070000}"/>
    <cellStyle name="40% - Accent6 2 6 3 2" xfId="14265" xr:uid="{7BFBB8EA-B413-4EB8-AD57-EF7E9E415567}"/>
    <cellStyle name="40% - Accent6 2 6 4" xfId="10047" xr:uid="{F53C3C2B-21F7-41E5-BDB7-2B4688D6CEC1}"/>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BC1868FC-4B11-4D3F-9E12-0D218B41FC70}"/>
    <cellStyle name="40% - Accent6 2 7 2 3" xfId="12605" xr:uid="{42AB4723-B939-4FC6-B175-01018E51F1C1}"/>
    <cellStyle name="40% - Accent6 2 7 3" xfId="6249" xr:uid="{00000000-0005-0000-0000-00002E070000}"/>
    <cellStyle name="40% - Accent6 2 7 3 2" xfId="14678" xr:uid="{D8E5C520-721B-4A72-AFAA-4B90B50EA916}"/>
    <cellStyle name="40% - Accent6 2 7 4" xfId="10460" xr:uid="{C0CD38D8-A3A0-44CC-8801-BDC4481E6F87}"/>
    <cellStyle name="40% - Accent6 2 8" xfId="2354" xr:uid="{00000000-0005-0000-0000-00002F070000}"/>
    <cellStyle name="40% - Accent6 2 8 2" xfId="6662" xr:uid="{00000000-0005-0000-0000-000030070000}"/>
    <cellStyle name="40% - Accent6 2 8 2 2" xfId="15091" xr:uid="{B2A68CCC-54BF-4D47-A3B2-0062FEA77F0D}"/>
    <cellStyle name="40% - Accent6 2 8 3" xfId="10873" xr:uid="{958920D0-F962-4530-A1A2-C144E4DE5958}"/>
    <cellStyle name="40% - Accent6 2 9" xfId="4596" xr:uid="{00000000-0005-0000-0000-000031070000}"/>
    <cellStyle name="40% - Accent6 2 9 2" xfId="13025" xr:uid="{4E06B8DD-ED2E-41E6-8A6D-E02B10962F2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C57F2357-F2B7-449E-BED7-EC3CD7C99487}"/>
    <cellStyle name="40% - Accent6 3 2 2 2 3" xfId="11371" xr:uid="{502562E8-B6B8-441F-A88A-74A34460457F}"/>
    <cellStyle name="40% - Accent6 3 2 2 3" xfId="5015" xr:uid="{00000000-0005-0000-0000-000037070000}"/>
    <cellStyle name="40% - Accent6 3 2 2 3 2" xfId="13444" xr:uid="{3DF875CA-BA06-4D07-B496-0E11C386C0A9}"/>
    <cellStyle name="40% - Accent6 3 2 2 4" xfId="9226" xr:uid="{D0BC3FEE-6B60-43EA-9AC1-C07C5F0CE27B}"/>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64FDBF5F-741D-4A6E-B87A-C85F5BA30267}"/>
    <cellStyle name="40% - Accent6 3 2 3 2 3" xfId="11784" xr:uid="{C15DB102-7046-49D2-B291-FB9CA256AE02}"/>
    <cellStyle name="40% - Accent6 3 2 3 3" xfId="5428" xr:uid="{00000000-0005-0000-0000-00003B070000}"/>
    <cellStyle name="40% - Accent6 3 2 3 3 2" xfId="13857" xr:uid="{8E451481-241D-416B-AB4A-D502F3D0D558}"/>
    <cellStyle name="40% - Accent6 3 2 3 4" xfId="9639" xr:uid="{2C85B630-677C-4A39-ACDE-7C390000C8F5}"/>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AF7E18AD-E9F2-4AB6-B358-4C85EC7C4B8F}"/>
    <cellStyle name="40% - Accent6 3 2 4 2 3" xfId="12197" xr:uid="{80B81BD3-33B4-4718-A989-1E1CF729142F}"/>
    <cellStyle name="40% - Accent6 3 2 4 3" xfId="5841" xr:uid="{00000000-0005-0000-0000-00003F070000}"/>
    <cellStyle name="40% - Accent6 3 2 4 3 2" xfId="14270" xr:uid="{6A72BEE3-F69A-409C-A46E-EC2CA003788E}"/>
    <cellStyle name="40% - Accent6 3 2 4 4" xfId="10052" xr:uid="{42084ED2-4F3D-4B78-91C3-4E3800D082F6}"/>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D9144D58-674C-4EF1-8C4B-47232F08C463}"/>
    <cellStyle name="40% - Accent6 3 2 5 2 3" xfId="12610" xr:uid="{13828415-DAB9-4C15-8EEB-E6A4B440D11F}"/>
    <cellStyle name="40% - Accent6 3 2 5 3" xfId="6254" xr:uid="{00000000-0005-0000-0000-000043070000}"/>
    <cellStyle name="40% - Accent6 3 2 5 3 2" xfId="14683" xr:uid="{C3406A21-6AF4-4F6E-BA79-94C475BE60D4}"/>
    <cellStyle name="40% - Accent6 3 2 5 4" xfId="10465" xr:uid="{E8D5E193-CA1E-473E-9CC1-4293ED782C86}"/>
    <cellStyle name="40% - Accent6 3 2 6" xfId="2359" xr:uid="{00000000-0005-0000-0000-000044070000}"/>
    <cellStyle name="40% - Accent6 3 2 6 2" xfId="6667" xr:uid="{00000000-0005-0000-0000-000045070000}"/>
    <cellStyle name="40% - Accent6 3 2 6 2 2" xfId="15096" xr:uid="{C51BD14A-F950-4B3D-959D-127472AF8C06}"/>
    <cellStyle name="40% - Accent6 3 2 6 3" xfId="10878" xr:uid="{A38137AC-8A8E-472C-B091-4466820142F1}"/>
    <cellStyle name="40% - Accent6 3 2 7" xfId="4601" xr:uid="{00000000-0005-0000-0000-000046070000}"/>
    <cellStyle name="40% - Accent6 3 2 7 2" xfId="13030" xr:uid="{20CC990D-46E8-4E9F-8DCB-19A34CD61C02}"/>
    <cellStyle name="40% - Accent6 3 2 8" xfId="8812" xr:uid="{FC164E30-1489-4B96-9474-25D045B875CA}"/>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1798B2C2-A0AB-42D7-94A9-770FDAB28550}"/>
    <cellStyle name="40% - Accent6 3 3 2 3" xfId="11370" xr:uid="{8D0E43E8-B00B-4B30-A566-87840262E9D3}"/>
    <cellStyle name="40% - Accent6 3 3 3" xfId="5014" xr:uid="{00000000-0005-0000-0000-00004A070000}"/>
    <cellStyle name="40% - Accent6 3 3 3 2" xfId="13443" xr:uid="{699CF354-2FE2-496B-9DD4-73E80B5A6400}"/>
    <cellStyle name="40% - Accent6 3 3 4" xfId="9225" xr:uid="{883BDB21-7C7E-41F7-BCBB-AA06C8A84227}"/>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7506363C-76D3-45F2-B2C5-95A8B846F237}"/>
    <cellStyle name="40% - Accent6 3 4 2 3" xfId="11783" xr:uid="{51FAEFF3-F9F6-4D17-93E9-3B5F0839A197}"/>
    <cellStyle name="40% - Accent6 3 4 3" xfId="5427" xr:uid="{00000000-0005-0000-0000-00004E070000}"/>
    <cellStyle name="40% - Accent6 3 4 3 2" xfId="13856" xr:uid="{4C1A0C2C-04DA-4FD1-A6C4-ABD8228E57CA}"/>
    <cellStyle name="40% - Accent6 3 4 4" xfId="9638" xr:uid="{7B66531C-94AA-44CF-B121-4E668551A14F}"/>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B2E563A1-C7DF-4AE2-9EE8-D27AFCC9C4B7}"/>
    <cellStyle name="40% - Accent6 3 5 2 3" xfId="12196" xr:uid="{AF06283F-5E72-4390-BBAA-0F2FC8926F3C}"/>
    <cellStyle name="40% - Accent6 3 5 3" xfId="5840" xr:uid="{00000000-0005-0000-0000-000052070000}"/>
    <cellStyle name="40% - Accent6 3 5 3 2" xfId="14269" xr:uid="{FD842168-D76A-4167-947F-CE444961285A}"/>
    <cellStyle name="40% - Accent6 3 5 4" xfId="10051" xr:uid="{40194647-46B6-4314-BFD3-C3328BDE41D3}"/>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592D13D2-1155-4F45-BA78-2E8CBF42FAD9}"/>
    <cellStyle name="40% - Accent6 3 6 2 3" xfId="12609" xr:uid="{02116D6F-FBB7-419F-8B07-9404F515119E}"/>
    <cellStyle name="40% - Accent6 3 6 3" xfId="6253" xr:uid="{00000000-0005-0000-0000-000056070000}"/>
    <cellStyle name="40% - Accent6 3 6 3 2" xfId="14682" xr:uid="{5DFE4297-E31A-4501-B2B8-6EF7D39B8F6B}"/>
    <cellStyle name="40% - Accent6 3 6 4" xfId="10464" xr:uid="{BCA3B6B2-8A62-4EBE-B539-3E68CE36D815}"/>
    <cellStyle name="40% - Accent6 3 7" xfId="2358" xr:uid="{00000000-0005-0000-0000-000057070000}"/>
    <cellStyle name="40% - Accent6 3 7 2" xfId="6666" xr:uid="{00000000-0005-0000-0000-000058070000}"/>
    <cellStyle name="40% - Accent6 3 7 2 2" xfId="15095" xr:uid="{2F30D252-E85D-4DBC-B830-F9E7B51E0D98}"/>
    <cellStyle name="40% - Accent6 3 7 3" xfId="10877" xr:uid="{E48E6F2A-788C-48FE-B7EE-49D1D5D03025}"/>
    <cellStyle name="40% - Accent6 3 8" xfId="4600" xr:uid="{00000000-0005-0000-0000-000059070000}"/>
    <cellStyle name="40% - Accent6 3 8 2" xfId="13029" xr:uid="{D60724F3-3D29-4277-8E49-CC40C325B12E}"/>
    <cellStyle name="40% - Accent6 3 9" xfId="8811" xr:uid="{A8B9AD46-F575-4031-B1EA-04246EC03D76}"/>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59A3C532-1014-42F1-A040-8BF5267D27ED}"/>
    <cellStyle name="40% - Accent6 4 2 2 3" xfId="11372" xr:uid="{596FFC38-177C-4020-912A-08E05CA43EE4}"/>
    <cellStyle name="40% - Accent6 4 2 3" xfId="5016" xr:uid="{00000000-0005-0000-0000-00005E070000}"/>
    <cellStyle name="40% - Accent6 4 2 3 2" xfId="13445" xr:uid="{CE373563-327B-4546-855C-F8699C847F4B}"/>
    <cellStyle name="40% - Accent6 4 2 4" xfId="9227" xr:uid="{EE9EAC2A-C306-4E37-93D7-126949DAB2C1}"/>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A843A645-3151-425D-A740-63F7AC79D388}"/>
    <cellStyle name="40% - Accent6 4 3 2 3" xfId="11785" xr:uid="{5F2C92CD-5CDF-409B-996E-D9858E6637DF}"/>
    <cellStyle name="40% - Accent6 4 3 3" xfId="5429" xr:uid="{00000000-0005-0000-0000-000062070000}"/>
    <cellStyle name="40% - Accent6 4 3 3 2" xfId="13858" xr:uid="{7578BBF5-6C23-4103-ABA7-F05AF6992EC7}"/>
    <cellStyle name="40% - Accent6 4 3 4" xfId="9640" xr:uid="{308668F7-4222-4B82-8756-E468D8C5D94A}"/>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917A5E84-205D-441E-BEE3-B5FB5B0AF122}"/>
    <cellStyle name="40% - Accent6 4 4 2 3" xfId="12198" xr:uid="{A93D3EA7-449A-4BBA-8111-7588CFF92EC8}"/>
    <cellStyle name="40% - Accent6 4 4 3" xfId="5842" xr:uid="{00000000-0005-0000-0000-000066070000}"/>
    <cellStyle name="40% - Accent6 4 4 3 2" xfId="14271" xr:uid="{91CF3CC5-CD4F-4D85-BE6A-EF14FDB2ED3C}"/>
    <cellStyle name="40% - Accent6 4 4 4" xfId="10053" xr:uid="{0F4306F3-4C3B-44A6-9B43-DD5270E8BE4D}"/>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C8898475-1C90-43EE-9551-761E30E68261}"/>
    <cellStyle name="40% - Accent6 4 5 2 3" xfId="12611" xr:uid="{BFB07E7F-C152-430E-9F89-B39E0DD52A87}"/>
    <cellStyle name="40% - Accent6 4 5 3" xfId="6255" xr:uid="{00000000-0005-0000-0000-00006A070000}"/>
    <cellStyle name="40% - Accent6 4 5 3 2" xfId="14684" xr:uid="{CFF1EFE5-BBE6-4511-BE06-D6DBF0C499CF}"/>
    <cellStyle name="40% - Accent6 4 5 4" xfId="10466" xr:uid="{5DD26DDA-B090-4ACD-B515-95D129BB82DA}"/>
    <cellStyle name="40% - Accent6 4 6" xfId="2360" xr:uid="{00000000-0005-0000-0000-00006B070000}"/>
    <cellStyle name="40% - Accent6 4 6 2" xfId="6668" xr:uid="{00000000-0005-0000-0000-00006C070000}"/>
    <cellStyle name="40% - Accent6 4 6 2 2" xfId="15097" xr:uid="{3C73987A-41DE-449F-BA3E-A98E8E9F4A3A}"/>
    <cellStyle name="40% - Accent6 4 6 3" xfId="10879" xr:uid="{1C289E96-6C02-4231-83C1-71956B6C8AC7}"/>
    <cellStyle name="40% - Accent6 4 7" xfId="4602" xr:uid="{00000000-0005-0000-0000-00006D070000}"/>
    <cellStyle name="40% - Accent6 4 7 2" xfId="13031" xr:uid="{D7CB24FD-C1A3-4566-87F0-E64DB7878581}"/>
    <cellStyle name="40% - Accent6 4 8" xfId="8813" xr:uid="{F55BB25C-6C06-41CD-9898-43F8E199DAB8}"/>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378A091E-62DA-4A06-8721-DCBEB399B1B1}"/>
    <cellStyle name="40% - Accent6 5 2 3" xfId="11365" xr:uid="{E8FE9E52-359E-4045-AF4C-33425D13F005}"/>
    <cellStyle name="40% - Accent6 5 3" xfId="5009" xr:uid="{00000000-0005-0000-0000-000071070000}"/>
    <cellStyle name="40% - Accent6 5 3 2" xfId="13438" xr:uid="{785F2890-698D-45F3-9F82-4F44592B4094}"/>
    <cellStyle name="40% - Accent6 5 4" xfId="9220" xr:uid="{4614DD46-8694-47EA-B394-EAAD8D313561}"/>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64477FFE-1FDF-4074-9E3B-B8F271144112}"/>
    <cellStyle name="40% - Accent6 6 2 3" xfId="11778" xr:uid="{C1141E2D-7496-447C-A294-4366DD38E4F8}"/>
    <cellStyle name="40% - Accent6 6 3" xfId="5422" xr:uid="{00000000-0005-0000-0000-000075070000}"/>
    <cellStyle name="40% - Accent6 6 3 2" xfId="13851" xr:uid="{8CA4A203-0091-4500-9106-63563BC8BA27}"/>
    <cellStyle name="40% - Accent6 6 4" xfId="9633" xr:uid="{E9038E01-8C57-4178-A356-A4120352729F}"/>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E2C21F10-67ED-4099-8C29-D12BC3DDD26D}"/>
    <cellStyle name="40% - Accent6 7 2 3" xfId="12191" xr:uid="{9BB5A769-D94E-434F-AF1F-1C5941EFED25}"/>
    <cellStyle name="40% - Accent6 7 3" xfId="5835" xr:uid="{00000000-0005-0000-0000-000079070000}"/>
    <cellStyle name="40% - Accent6 7 3 2" xfId="14264" xr:uid="{F2036DAF-127C-4C3D-B937-B8342928F8D0}"/>
    <cellStyle name="40% - Accent6 7 4" xfId="10046" xr:uid="{54C36712-165C-4C28-8FD1-8DBFF58EE86F}"/>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EA784E12-227F-4379-A405-95FF95F4FEA7}"/>
    <cellStyle name="40% - Accent6 8 2 3" xfId="12604" xr:uid="{2727676E-5F91-4CEE-AF90-0633945FEC15}"/>
    <cellStyle name="40% - Accent6 8 3" xfId="6248" xr:uid="{00000000-0005-0000-0000-00007D070000}"/>
    <cellStyle name="40% - Accent6 8 3 2" xfId="14677" xr:uid="{08DA47BF-38B9-4038-B003-83E25ECB21C3}"/>
    <cellStyle name="40% - Accent6 8 4" xfId="10459" xr:uid="{091CC85A-6625-42B0-BFF6-A8BFFBB115A7}"/>
    <cellStyle name="40% - Accent6 9" xfId="2353" xr:uid="{00000000-0005-0000-0000-00007E070000}"/>
    <cellStyle name="40% - Accent6 9 2" xfId="6661" xr:uid="{00000000-0005-0000-0000-00007F070000}"/>
    <cellStyle name="40% - Accent6 9 2 2" xfId="15090" xr:uid="{E19E9581-37F0-433F-93E9-26AD351BF2F6}"/>
    <cellStyle name="40% - Accent6 9 3" xfId="10872" xr:uid="{570990F4-FC19-4194-89B9-A786E707780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F95047CB-28BF-48BD-94A7-735A03728D05}"/>
    <cellStyle name="Comma 4 2 2 2 10 3" xfId="11197" xr:uid="{B37288FD-C7DF-4C9E-860A-A6399EDFE52B}"/>
    <cellStyle name="Comma 4 2 2 2 11" xfId="4603" xr:uid="{00000000-0005-0000-0000-0000A3070000}"/>
    <cellStyle name="Comma 4 2 2 2 11 2" xfId="13032" xr:uid="{23DF2138-6231-42E3-B22C-3E9F71FA8116}"/>
    <cellStyle name="Comma 4 2 2 2 12" xfId="8814" xr:uid="{40D3CAA5-658F-4AA9-9433-F3BFEA09D081}"/>
    <cellStyle name="Comma 4 2 2 2 2" xfId="129" xr:uid="{00000000-0005-0000-0000-0000A4070000}"/>
    <cellStyle name="Comma 4 2 2 2 2 10" xfId="4604" xr:uid="{00000000-0005-0000-0000-0000A5070000}"/>
    <cellStyle name="Comma 4 2 2 2 2 10 2" xfId="13033" xr:uid="{3F4E3FFE-6FBF-49A2-BCD9-068399F77F1C}"/>
    <cellStyle name="Comma 4 2 2 2 2 11" xfId="8815" xr:uid="{D42E3EC2-1B36-4111-89AE-FF300D192C32}"/>
    <cellStyle name="Comma 4 2 2 2 2 2" xfId="130" xr:uid="{00000000-0005-0000-0000-0000A6070000}"/>
    <cellStyle name="Comma 4 2 2 2 2 2 10" xfId="8816" xr:uid="{303366C9-69DE-4A85-8FE0-68D0B66EECCD}"/>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78B1C77D-2DBE-4CF9-B09C-98A978B428A3}"/>
    <cellStyle name="Comma 4 2 2 2 2 2 2 2 3" xfId="11375" xr:uid="{B547371E-4071-4B5C-9176-F300BD5DF435}"/>
    <cellStyle name="Comma 4 2 2 2 2 2 2 3" xfId="5019" xr:uid="{00000000-0005-0000-0000-0000AA070000}"/>
    <cellStyle name="Comma 4 2 2 2 2 2 2 3 2" xfId="13448" xr:uid="{D8ED2EAA-250A-4A4F-9C60-2DE9F332B97E}"/>
    <cellStyle name="Comma 4 2 2 2 2 2 2 4" xfId="9230" xr:uid="{3D2A5732-C43D-41E2-80EE-938C19609E3A}"/>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EB1538AC-D30D-4BAD-98DD-AFE8C2B4121F}"/>
    <cellStyle name="Comma 4 2 2 2 2 2 3 2 3" xfId="11788" xr:uid="{F49C4CC3-2D54-4BCF-A39F-D796F179A2D7}"/>
    <cellStyle name="Comma 4 2 2 2 2 2 3 3" xfId="5432" xr:uid="{00000000-0005-0000-0000-0000AE070000}"/>
    <cellStyle name="Comma 4 2 2 2 2 2 3 3 2" xfId="13861" xr:uid="{43075BA9-A41C-4AD0-9D03-DAE396C9E439}"/>
    <cellStyle name="Comma 4 2 2 2 2 2 3 4" xfId="9643" xr:uid="{17A2F391-0C47-4296-B331-9F069621860D}"/>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9ADEF880-5BA5-457F-9919-70E0DEA514A5}"/>
    <cellStyle name="Comma 4 2 2 2 2 2 4 2 3" xfId="12201" xr:uid="{4B5AD633-81A5-4586-AD96-182744AA95DE}"/>
    <cellStyle name="Comma 4 2 2 2 2 2 4 3" xfId="5845" xr:uid="{00000000-0005-0000-0000-0000B2070000}"/>
    <cellStyle name="Comma 4 2 2 2 2 2 4 3 2" xfId="14274" xr:uid="{BCE471A5-13F6-4274-948D-35D2F92A67CB}"/>
    <cellStyle name="Comma 4 2 2 2 2 2 4 4" xfId="10056" xr:uid="{D22AA852-1F92-4BB9-811B-8E51CD1158C7}"/>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EB79C0C1-2A2D-44F4-874E-BB3461CEEDB5}"/>
    <cellStyle name="Comma 4 2 2 2 2 2 5 2 3" xfId="12614" xr:uid="{6748E9B1-8C13-4A2A-9461-B3EA1CA7FF04}"/>
    <cellStyle name="Comma 4 2 2 2 2 2 5 3" xfId="6258" xr:uid="{00000000-0005-0000-0000-0000B6070000}"/>
    <cellStyle name="Comma 4 2 2 2 2 2 5 3 2" xfId="14687" xr:uid="{A1F47011-34D1-4551-9BF1-3857D7C24ED7}"/>
    <cellStyle name="Comma 4 2 2 2 2 2 5 4" xfId="10469" xr:uid="{9B86A102-3FF6-4347-A20D-8BEF133A83C1}"/>
    <cellStyle name="Comma 4 2 2 2 2 2 6" xfId="2385" xr:uid="{00000000-0005-0000-0000-0000B7070000}"/>
    <cellStyle name="Comma 4 2 2 2 2 2 6 2" xfId="6671" xr:uid="{00000000-0005-0000-0000-0000B8070000}"/>
    <cellStyle name="Comma 4 2 2 2 2 2 6 2 2" xfId="15100" xr:uid="{35D6F873-B5FC-485A-B310-5C28164656B9}"/>
    <cellStyle name="Comma 4 2 2 2 2 2 6 3" xfId="10882" xr:uid="{6EF61008-433E-48BE-A7BB-C4FB65696018}"/>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B42E5F28-2B68-433C-BB8D-415B94E2C590}"/>
    <cellStyle name="Comma 4 2 2 2 2 2 8 3" xfId="11199" xr:uid="{55F9EA06-E7A3-4AB6-B52B-BAC5D7AAD371}"/>
    <cellStyle name="Comma 4 2 2 2 2 2 9" xfId="4605" xr:uid="{00000000-0005-0000-0000-0000BC070000}"/>
    <cellStyle name="Comma 4 2 2 2 2 2 9 2" xfId="13034" xr:uid="{9DB20000-0645-47DC-9A71-04113F3D0E9A}"/>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9A453022-C311-4CA3-A675-929FCA77872F}"/>
    <cellStyle name="Comma 4 2 2 2 2 3 2 3" xfId="11374" xr:uid="{49D2B23B-E7A8-4FC1-B684-D4570B8E0120}"/>
    <cellStyle name="Comma 4 2 2 2 2 3 3" xfId="5018" xr:uid="{00000000-0005-0000-0000-0000C0070000}"/>
    <cellStyle name="Comma 4 2 2 2 2 3 3 2" xfId="13447" xr:uid="{A1DED5C6-38BB-4354-84C5-E64650C9E9D8}"/>
    <cellStyle name="Comma 4 2 2 2 2 3 4" xfId="9229" xr:uid="{D732EC6D-8270-45A3-9CA3-C525BB803EA7}"/>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CC85B77D-046B-49B7-A40A-8E3E68400398}"/>
    <cellStyle name="Comma 4 2 2 2 2 4 2 3" xfId="11787" xr:uid="{E905AC64-B91F-4D40-9D1A-04DA17DBBD7E}"/>
    <cellStyle name="Comma 4 2 2 2 2 4 3" xfId="5431" xr:uid="{00000000-0005-0000-0000-0000C4070000}"/>
    <cellStyle name="Comma 4 2 2 2 2 4 3 2" xfId="13860" xr:uid="{A82E088E-1F4D-48B9-83F2-0FCD4BD1453C}"/>
    <cellStyle name="Comma 4 2 2 2 2 4 4" xfId="9642" xr:uid="{45DA6EE6-CFD4-4F28-8FE3-039BA80B741E}"/>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52111E39-804B-4693-8958-172F4CEB49AF}"/>
    <cellStyle name="Comma 4 2 2 2 2 5 2 3" xfId="12200" xr:uid="{BD3183E8-BE37-410B-A6B2-78DDC68FE2DC}"/>
    <cellStyle name="Comma 4 2 2 2 2 5 3" xfId="5844" xr:uid="{00000000-0005-0000-0000-0000C8070000}"/>
    <cellStyle name="Comma 4 2 2 2 2 5 3 2" xfId="14273" xr:uid="{ADA9DC0B-7422-4511-BECF-69A52C19A718}"/>
    <cellStyle name="Comma 4 2 2 2 2 5 4" xfId="10055" xr:uid="{6D527EAB-1518-4522-B4F0-689A719C1865}"/>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88AC71DB-C453-4D55-87E0-6A4CEB3EA6E4}"/>
    <cellStyle name="Comma 4 2 2 2 2 6 2 3" xfId="12613" xr:uid="{8868467C-0F81-4656-BC1F-5DB5F3EE90EE}"/>
    <cellStyle name="Comma 4 2 2 2 2 6 3" xfId="6257" xr:uid="{00000000-0005-0000-0000-0000CC070000}"/>
    <cellStyle name="Comma 4 2 2 2 2 6 3 2" xfId="14686" xr:uid="{789A2610-ACA6-410A-B829-63159F8E1EF5}"/>
    <cellStyle name="Comma 4 2 2 2 2 6 4" xfId="10468" xr:uid="{A5DDCCEE-E4AA-4BE1-8E60-4B07C2FBECF1}"/>
    <cellStyle name="Comma 4 2 2 2 2 7" xfId="2384" xr:uid="{00000000-0005-0000-0000-0000CD070000}"/>
    <cellStyle name="Comma 4 2 2 2 2 7 2" xfId="6670" xr:uid="{00000000-0005-0000-0000-0000CE070000}"/>
    <cellStyle name="Comma 4 2 2 2 2 7 2 2" xfId="15099" xr:uid="{91AD8C53-5404-433D-8B4B-7DFCDC07A98D}"/>
    <cellStyle name="Comma 4 2 2 2 2 7 3" xfId="10881" xr:uid="{EC36218F-8FCA-441D-ACC7-D85B0BE85497}"/>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90C5F8F4-A8AF-460A-93E2-1D9BF47B9FE3}"/>
    <cellStyle name="Comma 4 2 2 2 2 9 3" xfId="11198" xr:uid="{74A20041-9AE5-480A-9832-DC51203442F0}"/>
    <cellStyle name="Comma 4 2 2 2 3" xfId="131" xr:uid="{00000000-0005-0000-0000-0000D2070000}"/>
    <cellStyle name="Comma 4 2 2 2 3 10" xfId="8817" xr:uid="{F861EF14-3F44-4A52-BA80-97AAEFA1E13A}"/>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04615145-B0FA-423E-B051-BDD3137EB118}"/>
    <cellStyle name="Comma 4 2 2 2 3 2 2 3" xfId="11376" xr:uid="{D93DBF08-5BF0-462E-8163-6052A1B86710}"/>
    <cellStyle name="Comma 4 2 2 2 3 2 3" xfId="5020" xr:uid="{00000000-0005-0000-0000-0000D6070000}"/>
    <cellStyle name="Comma 4 2 2 2 3 2 3 2" xfId="13449" xr:uid="{B5BAD961-E617-4328-9206-063CA9D37802}"/>
    <cellStyle name="Comma 4 2 2 2 3 2 4" xfId="9231" xr:uid="{836BE24A-AEEF-42C7-AA51-59137793B892}"/>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826977A6-FE20-40D6-9773-0E8816882ECB}"/>
    <cellStyle name="Comma 4 2 2 2 3 3 2 3" xfId="11789" xr:uid="{0838B0A2-8F8F-4B99-9C9D-A57BB1C240EA}"/>
    <cellStyle name="Comma 4 2 2 2 3 3 3" xfId="5433" xr:uid="{00000000-0005-0000-0000-0000DA070000}"/>
    <cellStyle name="Comma 4 2 2 2 3 3 3 2" xfId="13862" xr:uid="{5E23A386-2DE3-418A-86DD-4EEFDFCB5CAE}"/>
    <cellStyle name="Comma 4 2 2 2 3 3 4" xfId="9644" xr:uid="{F5BF36AC-1921-4178-9CCA-27A2C5489B3A}"/>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1EABC114-AC88-44C5-AC45-40F1E8C94D91}"/>
    <cellStyle name="Comma 4 2 2 2 3 4 2 3" xfId="12202" xr:uid="{887CA565-6D42-43D1-8BA1-5460DCD6FF5B}"/>
    <cellStyle name="Comma 4 2 2 2 3 4 3" xfId="5846" xr:uid="{00000000-0005-0000-0000-0000DE070000}"/>
    <cellStyle name="Comma 4 2 2 2 3 4 3 2" xfId="14275" xr:uid="{D31A375D-738E-47BF-BFD6-7AC29E4A139C}"/>
    <cellStyle name="Comma 4 2 2 2 3 4 4" xfId="10057" xr:uid="{C068D642-F36A-4423-AC56-358E13299CFF}"/>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84C0FA1C-B2EB-445F-80C0-BF3662A9E6F1}"/>
    <cellStyle name="Comma 4 2 2 2 3 5 2 3" xfId="12615" xr:uid="{F18F750F-EBB2-4E43-A7BF-79D778D84AEA}"/>
    <cellStyle name="Comma 4 2 2 2 3 5 3" xfId="6259" xr:uid="{00000000-0005-0000-0000-0000E2070000}"/>
    <cellStyle name="Comma 4 2 2 2 3 5 3 2" xfId="14688" xr:uid="{96E9CEF0-ABCF-460F-AFF3-80B6572246DE}"/>
    <cellStyle name="Comma 4 2 2 2 3 5 4" xfId="10470" xr:uid="{09EB1808-E17A-4E65-B228-9CB9B155BB36}"/>
    <cellStyle name="Comma 4 2 2 2 3 6" xfId="2386" xr:uid="{00000000-0005-0000-0000-0000E3070000}"/>
    <cellStyle name="Comma 4 2 2 2 3 6 2" xfId="6672" xr:uid="{00000000-0005-0000-0000-0000E4070000}"/>
    <cellStyle name="Comma 4 2 2 2 3 6 2 2" xfId="15101" xr:uid="{A69C252C-0D55-49CA-B6FB-BC0FE725AD61}"/>
    <cellStyle name="Comma 4 2 2 2 3 6 3" xfId="10883" xr:uid="{24787FAD-580C-4AAA-906E-3FDB39F8F27E}"/>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6ED6F826-3817-4D38-8DA1-68475FB875E8}"/>
    <cellStyle name="Comma 4 2 2 2 3 8 3" xfId="11200" xr:uid="{0C289633-5EEC-49C5-9BEC-CF698A50FA1F}"/>
    <cellStyle name="Comma 4 2 2 2 3 9" xfId="4606" xr:uid="{00000000-0005-0000-0000-0000E8070000}"/>
    <cellStyle name="Comma 4 2 2 2 3 9 2" xfId="13035" xr:uid="{6A2CFC50-6EDC-4588-92A2-A9D7B1310506}"/>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9D2B5CDE-F1B5-4017-B008-973201417260}"/>
    <cellStyle name="Comma 4 2 2 2 4 2 3" xfId="11373" xr:uid="{675312EA-0D5D-4F8B-99FA-3AACDBD0DD58}"/>
    <cellStyle name="Comma 4 2 2 2 4 3" xfId="5017" xr:uid="{00000000-0005-0000-0000-0000EC070000}"/>
    <cellStyle name="Comma 4 2 2 2 4 3 2" xfId="13446" xr:uid="{61ECABFE-ED5C-4E8D-83A0-E291AB46A390}"/>
    <cellStyle name="Comma 4 2 2 2 4 4" xfId="9228" xr:uid="{8D442AF1-1B2C-4526-AADB-54FA3F8B597B}"/>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110AE31C-5B24-46A5-91A0-21CF27556570}"/>
    <cellStyle name="Comma 4 2 2 2 5 2 3" xfId="11786" xr:uid="{ACA72EAF-6A01-4AFA-8F73-94870F5E93B4}"/>
    <cellStyle name="Comma 4 2 2 2 5 3" xfId="5430" xr:uid="{00000000-0005-0000-0000-0000F0070000}"/>
    <cellStyle name="Comma 4 2 2 2 5 3 2" xfId="13859" xr:uid="{904FB510-2D75-4B44-8BF1-CED6506C247B}"/>
    <cellStyle name="Comma 4 2 2 2 5 4" xfId="9641" xr:uid="{10D10518-0506-4916-AA6B-723A0FAE5C08}"/>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EEA4D9C6-11DE-401E-854C-3801C8956966}"/>
    <cellStyle name="Comma 4 2 2 2 6 2 3" xfId="12199" xr:uid="{42981BCC-763C-46EB-9E64-B8E9C6CDE3BC}"/>
    <cellStyle name="Comma 4 2 2 2 6 3" xfId="5843" xr:uid="{00000000-0005-0000-0000-0000F4070000}"/>
    <cellStyle name="Comma 4 2 2 2 6 3 2" xfId="14272" xr:uid="{CBDAE402-B1FA-43E0-8006-CC70D27B68A8}"/>
    <cellStyle name="Comma 4 2 2 2 6 4" xfId="10054" xr:uid="{22546284-4468-431A-9E32-D08E7A2D56FF}"/>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97EE0FD4-2C00-457D-9C21-31FB1DFE2BE3}"/>
    <cellStyle name="Comma 4 2 2 2 7 2 3" xfId="12612" xr:uid="{D370F85F-FC0E-48BC-83A4-0D08315EA008}"/>
    <cellStyle name="Comma 4 2 2 2 7 3" xfId="6256" xr:uid="{00000000-0005-0000-0000-0000F8070000}"/>
    <cellStyle name="Comma 4 2 2 2 7 3 2" xfId="14685" xr:uid="{39229EA7-5272-4687-B21D-1D654B350CC2}"/>
    <cellStyle name="Comma 4 2 2 2 7 4" xfId="10467" xr:uid="{FAB072D0-D6F6-4F25-B6C5-BCF95C14F8D2}"/>
    <cellStyle name="Comma 4 2 2 2 8" xfId="2383" xr:uid="{00000000-0005-0000-0000-0000F9070000}"/>
    <cellStyle name="Comma 4 2 2 2 8 2" xfId="6669" xr:uid="{00000000-0005-0000-0000-0000FA070000}"/>
    <cellStyle name="Comma 4 2 2 2 8 2 2" xfId="15098" xr:uid="{B97EE6A8-CFB2-4B37-8F39-F8F12C3E1088}"/>
    <cellStyle name="Comma 4 2 2 2 8 3" xfId="10880" xr:uid="{37475B3A-8227-4BFA-A95C-C8C591ACA29B}"/>
    <cellStyle name="Comma 4 2 2 2 9" xfId="2382" xr:uid="{00000000-0005-0000-0000-0000FB070000}"/>
    <cellStyle name="Comma 4 2 2 3" xfId="132" xr:uid="{00000000-0005-0000-0000-0000FC070000}"/>
    <cellStyle name="Comma 4 2 2 3 10" xfId="4607" xr:uid="{00000000-0005-0000-0000-0000FD070000}"/>
    <cellStyle name="Comma 4 2 2 3 10 2" xfId="13036" xr:uid="{4EF0EC31-3D13-4EF2-B46F-2362FB28FC7B}"/>
    <cellStyle name="Comma 4 2 2 3 11" xfId="8818" xr:uid="{4B344864-C9A1-438E-8AEE-62BA794E7E20}"/>
    <cellStyle name="Comma 4 2 2 3 2" xfId="133" xr:uid="{00000000-0005-0000-0000-0000FE070000}"/>
    <cellStyle name="Comma 4 2 2 3 2 10" xfId="8819" xr:uid="{DA692724-6150-48B1-86AA-4EF8A2624476}"/>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FB771A71-61F1-499C-A671-C34CE12F1CEA}"/>
    <cellStyle name="Comma 4 2 2 3 2 2 2 3" xfId="11378" xr:uid="{E245E267-0519-492A-B74B-2556849B8A80}"/>
    <cellStyle name="Comma 4 2 2 3 2 2 3" xfId="5022" xr:uid="{00000000-0005-0000-0000-000002080000}"/>
    <cellStyle name="Comma 4 2 2 3 2 2 3 2" xfId="13451" xr:uid="{45D2BD07-1147-455E-9F88-0E518722C626}"/>
    <cellStyle name="Comma 4 2 2 3 2 2 4" xfId="9233" xr:uid="{F6B34034-E91F-43BB-8588-453B011392B3}"/>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A6CD96EF-A61A-4E7E-9DDC-C0FD5C841BEC}"/>
    <cellStyle name="Comma 4 2 2 3 2 3 2 3" xfId="11791" xr:uid="{52246B64-143D-4C39-8B14-D731FA765878}"/>
    <cellStyle name="Comma 4 2 2 3 2 3 3" xfId="5435" xr:uid="{00000000-0005-0000-0000-000006080000}"/>
    <cellStyle name="Comma 4 2 2 3 2 3 3 2" xfId="13864" xr:uid="{32F4A081-D03F-4E0D-921B-35203AA0A7DB}"/>
    <cellStyle name="Comma 4 2 2 3 2 3 4" xfId="9646" xr:uid="{B1DEBD42-5B3C-45EF-A35B-EA352D766762}"/>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652B42CE-BE58-4CCF-AC86-CD516BB78CCD}"/>
    <cellStyle name="Comma 4 2 2 3 2 4 2 3" xfId="12204" xr:uid="{0A992B18-9B89-4F90-AC78-9E5102CB9A55}"/>
    <cellStyle name="Comma 4 2 2 3 2 4 3" xfId="5848" xr:uid="{00000000-0005-0000-0000-00000A080000}"/>
    <cellStyle name="Comma 4 2 2 3 2 4 3 2" xfId="14277" xr:uid="{BE3D7956-345A-42FE-BF8B-A3194E7A0FC1}"/>
    <cellStyle name="Comma 4 2 2 3 2 4 4" xfId="10059" xr:uid="{ECD02659-AE98-495E-8D30-81CE2CECE71E}"/>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FC99A02D-EF62-4E85-9C82-F9419CC9833F}"/>
    <cellStyle name="Comma 4 2 2 3 2 5 2 3" xfId="12617" xr:uid="{48ACF3BB-1DCA-495A-B570-76327A4705E9}"/>
    <cellStyle name="Comma 4 2 2 3 2 5 3" xfId="6261" xr:uid="{00000000-0005-0000-0000-00000E080000}"/>
    <cellStyle name="Comma 4 2 2 3 2 5 3 2" xfId="14690" xr:uid="{07B3B314-DD15-46A8-A4E6-BB17BC28A059}"/>
    <cellStyle name="Comma 4 2 2 3 2 5 4" xfId="10472" xr:uid="{085D6D1B-63F7-4E2D-8FAB-BDF109BE31F7}"/>
    <cellStyle name="Comma 4 2 2 3 2 6" xfId="2388" xr:uid="{00000000-0005-0000-0000-00000F080000}"/>
    <cellStyle name="Comma 4 2 2 3 2 6 2" xfId="6674" xr:uid="{00000000-0005-0000-0000-000010080000}"/>
    <cellStyle name="Comma 4 2 2 3 2 6 2 2" xfId="15103" xr:uid="{BFFC7718-CED0-40C6-ABF8-7D97FE071A4C}"/>
    <cellStyle name="Comma 4 2 2 3 2 6 3" xfId="10885" xr:uid="{45BFB6B0-FA19-47E2-A63F-2A83A4099C88}"/>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1A32F055-74BD-49E5-ADF7-E265959EC551}"/>
    <cellStyle name="Comma 4 2 2 3 2 8 3" xfId="11202" xr:uid="{86EBB4C7-0E1C-448D-8C5E-9C68B692976B}"/>
    <cellStyle name="Comma 4 2 2 3 2 9" xfId="4608" xr:uid="{00000000-0005-0000-0000-000014080000}"/>
    <cellStyle name="Comma 4 2 2 3 2 9 2" xfId="13037" xr:uid="{C4B32836-A858-4525-82EE-89A9C507DE47}"/>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A8BF3BD1-F828-464A-8C13-4CA1CCC13396}"/>
    <cellStyle name="Comma 4 2 2 3 3 2 3" xfId="11377" xr:uid="{4E77B734-4A65-4FFE-B236-0B20C0E5F2E0}"/>
    <cellStyle name="Comma 4 2 2 3 3 3" xfId="5021" xr:uid="{00000000-0005-0000-0000-000018080000}"/>
    <cellStyle name="Comma 4 2 2 3 3 3 2" xfId="13450" xr:uid="{00F40C2F-2973-46A7-A125-E8DF12F93654}"/>
    <cellStyle name="Comma 4 2 2 3 3 4" xfId="9232" xr:uid="{974F0CD8-BB56-494D-8346-A2EA5B72EA1D}"/>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799BF373-CE54-4692-AFF1-9D29518AD9E0}"/>
    <cellStyle name="Comma 4 2 2 3 4 2 3" xfId="11790" xr:uid="{49964127-8993-4690-82B8-F2910C476611}"/>
    <cellStyle name="Comma 4 2 2 3 4 3" xfId="5434" xr:uid="{00000000-0005-0000-0000-00001C080000}"/>
    <cellStyle name="Comma 4 2 2 3 4 3 2" xfId="13863" xr:uid="{61848BDA-A138-4EED-A702-A904E561A41C}"/>
    <cellStyle name="Comma 4 2 2 3 4 4" xfId="9645" xr:uid="{1EBE58B0-7941-44BE-B227-85A808F6F93A}"/>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2924CB42-87BB-4EC6-B18D-86310EDBCEC8}"/>
    <cellStyle name="Comma 4 2 2 3 5 2 3" xfId="12203" xr:uid="{A37E15A3-4421-4977-9CA7-A675A3E9F96A}"/>
    <cellStyle name="Comma 4 2 2 3 5 3" xfId="5847" xr:uid="{00000000-0005-0000-0000-000020080000}"/>
    <cellStyle name="Comma 4 2 2 3 5 3 2" xfId="14276" xr:uid="{177E4176-DBFE-4CC6-AF9D-B19DCDD035D5}"/>
    <cellStyle name="Comma 4 2 2 3 5 4" xfId="10058" xr:uid="{BC6E7D17-86AD-430B-99A3-F2CAF4597067}"/>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422F0246-00D2-47AA-94AA-28930F5F9AEB}"/>
    <cellStyle name="Comma 4 2 2 3 6 2 3" xfId="12616" xr:uid="{AABFBC0F-4E88-4540-8864-9177580CF869}"/>
    <cellStyle name="Comma 4 2 2 3 6 3" xfId="6260" xr:uid="{00000000-0005-0000-0000-000024080000}"/>
    <cellStyle name="Comma 4 2 2 3 6 3 2" xfId="14689" xr:uid="{7A80EA93-FE82-41EB-9599-F22F32157A03}"/>
    <cellStyle name="Comma 4 2 2 3 6 4" xfId="10471" xr:uid="{52EE825F-3DA0-4FBA-BBF9-2729C4A6CF4C}"/>
    <cellStyle name="Comma 4 2 2 3 7" xfId="2387" xr:uid="{00000000-0005-0000-0000-000025080000}"/>
    <cellStyle name="Comma 4 2 2 3 7 2" xfId="6673" xr:uid="{00000000-0005-0000-0000-000026080000}"/>
    <cellStyle name="Comma 4 2 2 3 7 2 2" xfId="15102" xr:uid="{885F93BB-718B-4471-BDBD-61F760771E8C}"/>
    <cellStyle name="Comma 4 2 2 3 7 3" xfId="10884" xr:uid="{C1A965FE-AE0D-4478-98E6-74D4AC8D117E}"/>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D50A99AA-655D-4CC5-A999-D7803FB8CF1E}"/>
    <cellStyle name="Comma 4 2 2 3 9 3" xfId="11201" xr:uid="{CA26AC89-5493-42B9-9E2A-30B569382A00}"/>
    <cellStyle name="Comma 4 2 2 4" xfId="134" xr:uid="{00000000-0005-0000-0000-00002A080000}"/>
    <cellStyle name="Comma 4 2 2 4 10" xfId="8820" xr:uid="{15FEF553-2612-40FE-934C-FD476FA77657}"/>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0913212A-0A6F-4211-B641-CB1D74073B4B}"/>
    <cellStyle name="Comma 4 2 2 4 2 2 3" xfId="11379" xr:uid="{A5FA6215-7E55-4B00-B2D4-268DC12D5C20}"/>
    <cellStyle name="Comma 4 2 2 4 2 3" xfId="5023" xr:uid="{00000000-0005-0000-0000-00002E080000}"/>
    <cellStyle name="Comma 4 2 2 4 2 3 2" xfId="13452" xr:uid="{80F9E731-2802-4E7E-B0B1-4AD0774A82D8}"/>
    <cellStyle name="Comma 4 2 2 4 2 4" xfId="9234" xr:uid="{90C857A3-CDA4-4AC2-BE43-E378921CE10E}"/>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EA9D1F11-1EC4-4AAE-BD7D-BCB186A23641}"/>
    <cellStyle name="Comma 4 2 2 4 3 2 3" xfId="11792" xr:uid="{D845AA6C-F45E-4145-9138-8B507FA38360}"/>
    <cellStyle name="Comma 4 2 2 4 3 3" xfId="5436" xr:uid="{00000000-0005-0000-0000-000032080000}"/>
    <cellStyle name="Comma 4 2 2 4 3 3 2" xfId="13865" xr:uid="{D69A00CD-54CB-4ACC-9496-77D71C21486A}"/>
    <cellStyle name="Comma 4 2 2 4 3 4" xfId="9647" xr:uid="{8044F28D-43A1-47DB-B6AC-AD3B9C588C30}"/>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C7ED5B16-23FE-47E8-84C6-9CF7F38189CF}"/>
    <cellStyle name="Comma 4 2 2 4 4 2 3" xfId="12205" xr:uid="{DE99BF37-021F-4B97-A1D6-0D389AFE41B4}"/>
    <cellStyle name="Comma 4 2 2 4 4 3" xfId="5849" xr:uid="{00000000-0005-0000-0000-000036080000}"/>
    <cellStyle name="Comma 4 2 2 4 4 3 2" xfId="14278" xr:uid="{BA099C42-EACF-424E-84D0-2C918CFF4410}"/>
    <cellStyle name="Comma 4 2 2 4 4 4" xfId="10060" xr:uid="{AF7467E1-29EC-47EF-9F0F-2FFA45FC3268}"/>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66F386C1-6FE6-4A38-A360-FFEAEF92ED0D}"/>
    <cellStyle name="Comma 4 2 2 4 5 2 3" xfId="12618" xr:uid="{AE58ED4E-9B1F-48D9-BD82-733E50515F42}"/>
    <cellStyle name="Comma 4 2 2 4 5 3" xfId="6262" xr:uid="{00000000-0005-0000-0000-00003A080000}"/>
    <cellStyle name="Comma 4 2 2 4 5 3 2" xfId="14691" xr:uid="{8811B35C-65AB-4F77-B9EF-0B91667FD503}"/>
    <cellStyle name="Comma 4 2 2 4 5 4" xfId="10473" xr:uid="{D4EE670C-0643-4827-BF2A-2F30BEBD4491}"/>
    <cellStyle name="Comma 4 2 2 4 6" xfId="2389" xr:uid="{00000000-0005-0000-0000-00003B080000}"/>
    <cellStyle name="Comma 4 2 2 4 6 2" xfId="6675" xr:uid="{00000000-0005-0000-0000-00003C080000}"/>
    <cellStyle name="Comma 4 2 2 4 6 2 2" xfId="15104" xr:uid="{42E74E93-5C21-4BEA-8D3E-BDCA0C8E8008}"/>
    <cellStyle name="Comma 4 2 2 4 6 3" xfId="10886" xr:uid="{997C7449-3041-4394-8B7B-F4CB012537B5}"/>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0A7E8503-1C5B-422F-98E7-F2E3513AAE41}"/>
    <cellStyle name="Comma 4 2 2 4 8 3" xfId="11203" xr:uid="{C46BA5BF-CF12-43B0-B219-71B9FC402A39}"/>
    <cellStyle name="Comma 4 2 2 4 9" xfId="4609" xr:uid="{00000000-0005-0000-0000-000040080000}"/>
    <cellStyle name="Comma 4 2 2 4 9 2" xfId="13038" xr:uid="{06A8FD08-2F8E-4DD9-BEFC-F3688FC4E167}"/>
    <cellStyle name="Comma 4 2 2 5" xfId="135" xr:uid="{00000000-0005-0000-0000-000041080000}"/>
    <cellStyle name="Comma 4 2 2 5 10" xfId="8821" xr:uid="{6E0D95B5-AECC-472D-B336-FFD938559A65}"/>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143454E3-6485-42EE-B9EB-C53D7D1A0373}"/>
    <cellStyle name="Comma 4 2 2 5 2 2 3" xfId="11380" xr:uid="{7F178E41-010E-4ED7-81FB-D5E4E67B6C1F}"/>
    <cellStyle name="Comma 4 2 2 5 2 3" xfId="5024" xr:uid="{00000000-0005-0000-0000-000045080000}"/>
    <cellStyle name="Comma 4 2 2 5 2 3 2" xfId="13453" xr:uid="{3151C51A-6A5C-4CC1-93E4-053C57E278A0}"/>
    <cellStyle name="Comma 4 2 2 5 2 4" xfId="9235" xr:uid="{351544C4-4D27-4950-8F23-EFBD27B750EE}"/>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87CB603-38FF-47AD-9574-3D0410159BCB}"/>
    <cellStyle name="Comma 4 2 2 5 3 2 3" xfId="11793" xr:uid="{B412037F-E9F5-4DB9-86CA-1F2BB33E689E}"/>
    <cellStyle name="Comma 4 2 2 5 3 3" xfId="5437" xr:uid="{00000000-0005-0000-0000-000049080000}"/>
    <cellStyle name="Comma 4 2 2 5 3 3 2" xfId="13866" xr:uid="{DBB54234-7346-4AA1-B7DD-36E3AC81B6AD}"/>
    <cellStyle name="Comma 4 2 2 5 3 4" xfId="9648" xr:uid="{FB0E3052-E4E3-4AC3-B8C3-3502384C89A0}"/>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F33D379F-F73E-4BC6-A86E-EC3E613AA15F}"/>
    <cellStyle name="Comma 4 2 2 5 4 2 3" xfId="12206" xr:uid="{A17F0D51-2D27-4D6E-B94D-B186FF2122E9}"/>
    <cellStyle name="Comma 4 2 2 5 4 3" xfId="5850" xr:uid="{00000000-0005-0000-0000-00004D080000}"/>
    <cellStyle name="Comma 4 2 2 5 4 3 2" xfId="14279" xr:uid="{C30D2394-5F0F-4B11-A17A-05212712E665}"/>
    <cellStyle name="Comma 4 2 2 5 4 4" xfId="10061" xr:uid="{89095127-6578-4F83-9E53-1C9A0FD9DF5F}"/>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8F939C00-F452-4ED6-BD35-37D5BE999D69}"/>
    <cellStyle name="Comma 4 2 2 5 5 2 3" xfId="12619" xr:uid="{4C62A377-E666-4324-B935-FDCA4C086632}"/>
    <cellStyle name="Comma 4 2 2 5 5 3" xfId="6263" xr:uid="{00000000-0005-0000-0000-000051080000}"/>
    <cellStyle name="Comma 4 2 2 5 5 3 2" xfId="14692" xr:uid="{0694FB97-CB7C-4B48-99AE-8757D656195B}"/>
    <cellStyle name="Comma 4 2 2 5 5 4" xfId="10474" xr:uid="{03FFA9F7-918B-46E2-AE6F-CEC19059C137}"/>
    <cellStyle name="Comma 4 2 2 5 6" xfId="2390" xr:uid="{00000000-0005-0000-0000-000052080000}"/>
    <cellStyle name="Comma 4 2 2 5 6 2" xfId="6676" xr:uid="{00000000-0005-0000-0000-000053080000}"/>
    <cellStyle name="Comma 4 2 2 5 6 2 2" xfId="15105" xr:uid="{3DD531F5-F7D8-49FF-8DD7-82D3641CBB8E}"/>
    <cellStyle name="Comma 4 2 2 5 6 3" xfId="10887" xr:uid="{D0BA620B-8FAF-49A6-86B9-B81079E1CDA7}"/>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282BE85C-9D7F-4E2F-9265-25D18220DED4}"/>
    <cellStyle name="Comma 4 2 2 5 8 3" xfId="11204" xr:uid="{777373A4-0689-4BFA-A63D-D2290F2FF4F6}"/>
    <cellStyle name="Comma 4 2 2 5 9" xfId="4610" xr:uid="{00000000-0005-0000-0000-000057080000}"/>
    <cellStyle name="Comma 4 2 2 5 9 2" xfId="13039" xr:uid="{91728BC1-A383-409A-9F36-43799DB5B5CE}"/>
    <cellStyle name="Comma 4 2 3" xfId="136" xr:uid="{00000000-0005-0000-0000-000058080000}"/>
    <cellStyle name="Comma 4 2 3 10" xfId="2769" xr:uid="{00000000-0005-0000-0000-000059080000}"/>
    <cellStyle name="Comma 4 2 3 10 2" xfId="6994" xr:uid="{00000000-0005-0000-0000-00005A080000}"/>
    <cellStyle name="Comma 4 2 3 10 2 2" xfId="15423" xr:uid="{2616352C-83C6-4A33-BD84-1EC906E51B26}"/>
    <cellStyle name="Comma 4 2 3 10 3" xfId="11205" xr:uid="{CF8ABE0D-0129-476A-994E-5904EC67D4EE}"/>
    <cellStyle name="Comma 4 2 3 11" xfId="4611" xr:uid="{00000000-0005-0000-0000-00005B080000}"/>
    <cellStyle name="Comma 4 2 3 11 2" xfId="13040" xr:uid="{A9F17AF2-6DF7-4E5D-964B-112C3EA1C037}"/>
    <cellStyle name="Comma 4 2 3 12" xfId="8822" xr:uid="{90FE9DCB-718E-4431-B095-E180F53A1353}"/>
    <cellStyle name="Comma 4 2 3 2" xfId="137" xr:uid="{00000000-0005-0000-0000-00005C080000}"/>
    <cellStyle name="Comma 4 2 3 2 10" xfId="4612" xr:uid="{00000000-0005-0000-0000-00005D080000}"/>
    <cellStyle name="Comma 4 2 3 2 10 2" xfId="13041" xr:uid="{7398879B-0D32-4A93-8271-3BED0044E9D2}"/>
    <cellStyle name="Comma 4 2 3 2 11" xfId="8823" xr:uid="{063F0E6E-7487-471C-A0E8-46DDD75484E2}"/>
    <cellStyle name="Comma 4 2 3 2 2" xfId="138" xr:uid="{00000000-0005-0000-0000-00005E080000}"/>
    <cellStyle name="Comma 4 2 3 2 2 10" xfId="8824" xr:uid="{A52892DE-B7FE-445D-8C42-D1532CA2AD40}"/>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BB0C0121-57BF-4650-88E3-87AE5B482E7F}"/>
    <cellStyle name="Comma 4 2 3 2 2 2 2 3" xfId="11383" xr:uid="{0D748F16-4371-4297-8A2D-0B50C3C8AE33}"/>
    <cellStyle name="Comma 4 2 3 2 2 2 3" xfId="5027" xr:uid="{00000000-0005-0000-0000-000062080000}"/>
    <cellStyle name="Comma 4 2 3 2 2 2 3 2" xfId="13456" xr:uid="{A5690B88-39F8-41BF-856D-FAD342440306}"/>
    <cellStyle name="Comma 4 2 3 2 2 2 4" xfId="9238" xr:uid="{87F0AC5D-28BB-42C4-B139-892E0A947525}"/>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174FB463-CAFF-4695-9BDD-E5874886D827}"/>
    <cellStyle name="Comma 4 2 3 2 2 3 2 3" xfId="11796" xr:uid="{9AC2BB71-CF52-46EE-A8F9-AF532C2B4EAC}"/>
    <cellStyle name="Comma 4 2 3 2 2 3 3" xfId="5440" xr:uid="{00000000-0005-0000-0000-000066080000}"/>
    <cellStyle name="Comma 4 2 3 2 2 3 3 2" xfId="13869" xr:uid="{5C3D893D-7698-4F20-ADDD-A2053062A297}"/>
    <cellStyle name="Comma 4 2 3 2 2 3 4" xfId="9651" xr:uid="{33BC5A66-AA23-42DD-960B-76F85CCDB7DE}"/>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D6E4744A-910B-48C6-9E4C-BE526F247228}"/>
    <cellStyle name="Comma 4 2 3 2 2 4 2 3" xfId="12209" xr:uid="{76A0E529-A161-404B-B2E5-AA3E4A866B87}"/>
    <cellStyle name="Comma 4 2 3 2 2 4 3" xfId="5853" xr:uid="{00000000-0005-0000-0000-00006A080000}"/>
    <cellStyle name="Comma 4 2 3 2 2 4 3 2" xfId="14282" xr:uid="{B89FA314-E59D-40EC-872C-F9C8C143664A}"/>
    <cellStyle name="Comma 4 2 3 2 2 4 4" xfId="10064" xr:uid="{4F25A00E-92D2-45AB-863A-FBB9F3054A7A}"/>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D41CF29B-01F3-4ED9-9C6E-035AF4F334ED}"/>
    <cellStyle name="Comma 4 2 3 2 2 5 2 3" xfId="12622" xr:uid="{DED69FA3-9DB9-4D8A-BE5C-8967294900E1}"/>
    <cellStyle name="Comma 4 2 3 2 2 5 3" xfId="6266" xr:uid="{00000000-0005-0000-0000-00006E080000}"/>
    <cellStyle name="Comma 4 2 3 2 2 5 3 2" xfId="14695" xr:uid="{5771AB75-4369-4AE2-A4AB-C30074ACFDB0}"/>
    <cellStyle name="Comma 4 2 3 2 2 5 4" xfId="10477" xr:uid="{55E79E4F-EDA4-49EB-BC61-175CAE097790}"/>
    <cellStyle name="Comma 4 2 3 2 2 6" xfId="2393" xr:uid="{00000000-0005-0000-0000-00006F080000}"/>
    <cellStyle name="Comma 4 2 3 2 2 6 2" xfId="6679" xr:uid="{00000000-0005-0000-0000-000070080000}"/>
    <cellStyle name="Comma 4 2 3 2 2 6 2 2" xfId="15108" xr:uid="{21EF7160-07D6-4A4C-8096-4033E1D77325}"/>
    <cellStyle name="Comma 4 2 3 2 2 6 3" xfId="10890" xr:uid="{3893F3E6-4600-44CA-9691-5205B6408ACC}"/>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BBB134FE-2F30-45A5-9ED7-8AF129964358}"/>
    <cellStyle name="Comma 4 2 3 2 2 8 3" xfId="11207" xr:uid="{0A951425-3D20-497D-B066-161D7C100987}"/>
    <cellStyle name="Comma 4 2 3 2 2 9" xfId="4613" xr:uid="{00000000-0005-0000-0000-000074080000}"/>
    <cellStyle name="Comma 4 2 3 2 2 9 2" xfId="13042" xr:uid="{A816B81B-EC1C-4013-9AA4-99D59EAFB9C0}"/>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61CA981B-A34A-413A-B505-509D34C86730}"/>
    <cellStyle name="Comma 4 2 3 2 3 2 3" xfId="11382" xr:uid="{4C31A451-EABA-44B2-BDFF-C98F2857B9FF}"/>
    <cellStyle name="Comma 4 2 3 2 3 3" xfId="5026" xr:uid="{00000000-0005-0000-0000-000078080000}"/>
    <cellStyle name="Comma 4 2 3 2 3 3 2" xfId="13455" xr:uid="{8223C119-54CA-4892-A6A2-E4D466B5DBBC}"/>
    <cellStyle name="Comma 4 2 3 2 3 4" xfId="9237" xr:uid="{1DCA61FA-DCEB-4E77-9D10-BB1FA70D517C}"/>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4D28FB09-7B88-49D7-99A0-42C8A7AC7071}"/>
    <cellStyle name="Comma 4 2 3 2 4 2 3" xfId="11795" xr:uid="{BD5B78BC-5912-46C5-AB5B-4832F0FD6154}"/>
    <cellStyle name="Comma 4 2 3 2 4 3" xfId="5439" xr:uid="{00000000-0005-0000-0000-00007C080000}"/>
    <cellStyle name="Comma 4 2 3 2 4 3 2" xfId="13868" xr:uid="{61046E1D-617B-4D91-AA31-63A208F960CE}"/>
    <cellStyle name="Comma 4 2 3 2 4 4" xfId="9650" xr:uid="{CBE1582C-BA2C-4DF4-AECD-954862CA5E70}"/>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408003E2-37D2-4C7E-B3E0-D218DC48F0D4}"/>
    <cellStyle name="Comma 4 2 3 2 5 2 3" xfId="12208" xr:uid="{73800157-D4F1-49E9-9E43-529F1EB50EB8}"/>
    <cellStyle name="Comma 4 2 3 2 5 3" xfId="5852" xr:uid="{00000000-0005-0000-0000-000080080000}"/>
    <cellStyle name="Comma 4 2 3 2 5 3 2" xfId="14281" xr:uid="{8CB6383D-7926-4B59-865D-67CF454BA320}"/>
    <cellStyle name="Comma 4 2 3 2 5 4" xfId="10063" xr:uid="{779B75EF-3968-48C4-B9BB-E2B09B488178}"/>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BDFF2DB3-33CA-4B0C-83D4-5F6A54115B0E}"/>
    <cellStyle name="Comma 4 2 3 2 6 2 3" xfId="12621" xr:uid="{30EE922F-D442-4B60-AF38-E331A5D08599}"/>
    <cellStyle name="Comma 4 2 3 2 6 3" xfId="6265" xr:uid="{00000000-0005-0000-0000-000084080000}"/>
    <cellStyle name="Comma 4 2 3 2 6 3 2" xfId="14694" xr:uid="{3EF98E4E-9F05-463C-A298-0BAFB038E09F}"/>
    <cellStyle name="Comma 4 2 3 2 6 4" xfId="10476" xr:uid="{D0E7984B-D0D0-4421-88F1-B939BF20912E}"/>
    <cellStyle name="Comma 4 2 3 2 7" xfId="2392" xr:uid="{00000000-0005-0000-0000-000085080000}"/>
    <cellStyle name="Comma 4 2 3 2 7 2" xfId="6678" xr:uid="{00000000-0005-0000-0000-000086080000}"/>
    <cellStyle name="Comma 4 2 3 2 7 2 2" xfId="15107" xr:uid="{2D379705-BD92-4538-AA04-33F2E84373CF}"/>
    <cellStyle name="Comma 4 2 3 2 7 3" xfId="10889" xr:uid="{0F245D0E-9F5A-4CEC-B982-1A6F7BA32371}"/>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EAF7168F-81B6-418A-A262-6F3853DEA621}"/>
    <cellStyle name="Comma 4 2 3 2 9 3" xfId="11206" xr:uid="{B173E325-4E9A-4E80-9F5C-BE3D1A412474}"/>
    <cellStyle name="Comma 4 2 3 3" xfId="139" xr:uid="{00000000-0005-0000-0000-00008A080000}"/>
    <cellStyle name="Comma 4 2 3 3 10" xfId="8825" xr:uid="{890F6CFF-1075-4683-B5CF-0753E8A02D60}"/>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C5AD2816-D357-481C-BF3E-D208024842BF}"/>
    <cellStyle name="Comma 4 2 3 3 2 2 3" xfId="11384" xr:uid="{EEB02156-BDA2-4412-B39A-CCE5F9D44CA3}"/>
    <cellStyle name="Comma 4 2 3 3 2 3" xfId="5028" xr:uid="{00000000-0005-0000-0000-00008E080000}"/>
    <cellStyle name="Comma 4 2 3 3 2 3 2" xfId="13457" xr:uid="{F79C031A-7522-4338-8BD2-57ABAA1444BA}"/>
    <cellStyle name="Comma 4 2 3 3 2 4" xfId="9239" xr:uid="{4453F1A3-F098-4FC8-8A7F-3C9CD47F3F75}"/>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0D952FCE-7A8F-416B-BDB4-D97C71CEF404}"/>
    <cellStyle name="Comma 4 2 3 3 3 2 3" xfId="11797" xr:uid="{08BD9CFF-62F6-4DD9-B204-6038E26AFD8A}"/>
    <cellStyle name="Comma 4 2 3 3 3 3" xfId="5441" xr:uid="{00000000-0005-0000-0000-000092080000}"/>
    <cellStyle name="Comma 4 2 3 3 3 3 2" xfId="13870" xr:uid="{E88E3CEB-D049-45D9-84C5-BD0325EFFE19}"/>
    <cellStyle name="Comma 4 2 3 3 3 4" xfId="9652" xr:uid="{9A3635D7-E6DC-4353-BA18-12B4DDC1136E}"/>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176465E7-139C-428E-B284-C5307D7A5FF3}"/>
    <cellStyle name="Comma 4 2 3 3 4 2 3" xfId="12210" xr:uid="{EAE3A222-CF5F-4F79-9FF5-0CA41997C85C}"/>
    <cellStyle name="Comma 4 2 3 3 4 3" xfId="5854" xr:uid="{00000000-0005-0000-0000-000096080000}"/>
    <cellStyle name="Comma 4 2 3 3 4 3 2" xfId="14283" xr:uid="{CC1C233D-7D29-469D-9E72-B22F55203BB8}"/>
    <cellStyle name="Comma 4 2 3 3 4 4" xfId="10065" xr:uid="{B096EDA9-EE2A-4E59-880A-5E74BCDC11E7}"/>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34F3FF64-86FB-4C31-8F81-4601A7B813A6}"/>
    <cellStyle name="Comma 4 2 3 3 5 2 3" xfId="12623" xr:uid="{703D6341-D8B6-452A-95CA-C67F9D0E8FEF}"/>
    <cellStyle name="Comma 4 2 3 3 5 3" xfId="6267" xr:uid="{00000000-0005-0000-0000-00009A080000}"/>
    <cellStyle name="Comma 4 2 3 3 5 3 2" xfId="14696" xr:uid="{46CC1497-53C5-47E8-B2D3-58C8C55FF138}"/>
    <cellStyle name="Comma 4 2 3 3 5 4" xfId="10478" xr:uid="{95080D83-3867-4ADA-BECD-09B57074B742}"/>
    <cellStyle name="Comma 4 2 3 3 6" xfId="2394" xr:uid="{00000000-0005-0000-0000-00009B080000}"/>
    <cellStyle name="Comma 4 2 3 3 6 2" xfId="6680" xr:uid="{00000000-0005-0000-0000-00009C080000}"/>
    <cellStyle name="Comma 4 2 3 3 6 2 2" xfId="15109" xr:uid="{A4638716-D333-465B-B828-DE73B72E3C5E}"/>
    <cellStyle name="Comma 4 2 3 3 6 3" xfId="10891" xr:uid="{8F32F444-768B-4C69-A115-FA454EE056EE}"/>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E10EFD02-4CAA-4877-949D-D64A26B92726}"/>
    <cellStyle name="Comma 4 2 3 3 8 3" xfId="11208" xr:uid="{DF2D0A12-A6A7-4C23-8AEA-DE372B67BDD0}"/>
    <cellStyle name="Comma 4 2 3 3 9" xfId="4614" xr:uid="{00000000-0005-0000-0000-0000A0080000}"/>
    <cellStyle name="Comma 4 2 3 3 9 2" xfId="13043" xr:uid="{30087BD4-6445-4393-82AA-E458FD3B4F20}"/>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CA87B3F7-FA07-4D75-9FAD-9DED3EA53D41}"/>
    <cellStyle name="Comma 4 2 3 4 2 3" xfId="11381" xr:uid="{FE0DA1F3-7954-4508-85F6-7C6A1EAD94A8}"/>
    <cellStyle name="Comma 4 2 3 4 3" xfId="5025" xr:uid="{00000000-0005-0000-0000-0000A4080000}"/>
    <cellStyle name="Comma 4 2 3 4 3 2" xfId="13454" xr:uid="{53CD7148-AB0A-4A6E-9131-15982D5A26E9}"/>
    <cellStyle name="Comma 4 2 3 4 4" xfId="9236" xr:uid="{160129B1-B42C-441D-B943-3FFCCD1B9FB1}"/>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48F33423-C9B9-40BE-BEA5-90CE5332C002}"/>
    <cellStyle name="Comma 4 2 3 5 2 3" xfId="11794" xr:uid="{87EE2312-34C2-4E38-9D97-A7487C4C1133}"/>
    <cellStyle name="Comma 4 2 3 5 3" xfId="5438" xr:uid="{00000000-0005-0000-0000-0000A8080000}"/>
    <cellStyle name="Comma 4 2 3 5 3 2" xfId="13867" xr:uid="{195CC5E2-A85A-4607-AAB2-A82988C4E706}"/>
    <cellStyle name="Comma 4 2 3 5 4" xfId="9649" xr:uid="{8623E430-E5AB-47C7-9A1C-AEB655D5E934}"/>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0800CA13-B21A-42F6-BAA7-5887CA58D203}"/>
    <cellStyle name="Comma 4 2 3 6 2 3" xfId="12207" xr:uid="{7B90F252-A9E6-4F78-B4D8-0E95E50F9A17}"/>
    <cellStyle name="Comma 4 2 3 6 3" xfId="5851" xr:uid="{00000000-0005-0000-0000-0000AC080000}"/>
    <cellStyle name="Comma 4 2 3 6 3 2" xfId="14280" xr:uid="{910BE66E-B93C-4F34-B44D-DB2710DA6D84}"/>
    <cellStyle name="Comma 4 2 3 6 4" xfId="10062" xr:uid="{3C4B5FCF-5124-4433-BA76-F95068BECAC7}"/>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6C77552B-686B-422A-84CD-CDAA07B718EC}"/>
    <cellStyle name="Comma 4 2 3 7 2 3" xfId="12620" xr:uid="{BAA30B9A-B184-4574-8A08-787A0431C80F}"/>
    <cellStyle name="Comma 4 2 3 7 3" xfId="6264" xr:uid="{00000000-0005-0000-0000-0000B0080000}"/>
    <cellStyle name="Comma 4 2 3 7 3 2" xfId="14693" xr:uid="{9B1F15D7-CA6D-4BC2-9F0F-543A49EA4B27}"/>
    <cellStyle name="Comma 4 2 3 7 4" xfId="10475" xr:uid="{215163F2-35DB-487F-85EB-BFD362219B87}"/>
    <cellStyle name="Comma 4 2 3 8" xfId="2391" xr:uid="{00000000-0005-0000-0000-0000B1080000}"/>
    <cellStyle name="Comma 4 2 3 8 2" xfId="6677" xr:uid="{00000000-0005-0000-0000-0000B2080000}"/>
    <cellStyle name="Comma 4 2 3 8 2 2" xfId="15106" xr:uid="{E627836B-136B-45B8-BA48-1ACDBE451612}"/>
    <cellStyle name="Comma 4 2 3 8 3" xfId="10888" xr:uid="{C59570F2-AE47-44AB-BEF0-B09A0513D9E8}"/>
    <cellStyle name="Comma 4 2 3 9" xfId="2374" xr:uid="{00000000-0005-0000-0000-0000B3080000}"/>
    <cellStyle name="Comma 4 2 4" xfId="140" xr:uid="{00000000-0005-0000-0000-0000B4080000}"/>
    <cellStyle name="Comma 4 2 4 10" xfId="4615" xr:uid="{00000000-0005-0000-0000-0000B5080000}"/>
    <cellStyle name="Comma 4 2 4 10 2" xfId="13044" xr:uid="{41BA3A5B-9EB6-4E54-81FE-A7E6D4753F80}"/>
    <cellStyle name="Comma 4 2 4 11" xfId="8826" xr:uid="{2FDF4D04-1448-4654-8556-EF3A93C96CA9}"/>
    <cellStyle name="Comma 4 2 4 2" xfId="141" xr:uid="{00000000-0005-0000-0000-0000B6080000}"/>
    <cellStyle name="Comma 4 2 4 2 10" xfId="8827" xr:uid="{979D63EB-D80A-495A-862A-1C5BF442E0A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EFFB657C-44FF-47E5-9C91-1ECE06F438F3}"/>
    <cellStyle name="Comma 4 2 4 2 2 2 3" xfId="11386" xr:uid="{EF26B3EE-A0C9-4BB7-82E5-D88DA32D5365}"/>
    <cellStyle name="Comma 4 2 4 2 2 3" xfId="5030" xr:uid="{00000000-0005-0000-0000-0000BA080000}"/>
    <cellStyle name="Comma 4 2 4 2 2 3 2" xfId="13459" xr:uid="{6FCDE61C-3592-4C17-BEE4-C73EB26544F9}"/>
    <cellStyle name="Comma 4 2 4 2 2 4" xfId="9241" xr:uid="{FE2D2B56-A65A-4E2F-A16B-8A437307EF3C}"/>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5C98481B-EEAD-41AE-B0DB-7BB77C0F20D4}"/>
    <cellStyle name="Comma 4 2 4 2 3 2 3" xfId="11799" xr:uid="{3D2960CC-469A-42B3-9D66-0C2A21D2C282}"/>
    <cellStyle name="Comma 4 2 4 2 3 3" xfId="5443" xr:uid="{00000000-0005-0000-0000-0000BE080000}"/>
    <cellStyle name="Comma 4 2 4 2 3 3 2" xfId="13872" xr:uid="{F5716A60-D399-4DFA-AA60-EACC226A6323}"/>
    <cellStyle name="Comma 4 2 4 2 3 4" xfId="9654" xr:uid="{C3086F66-9C4E-4ACE-9CD6-236E124A8D0D}"/>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0AEC71A1-A4E2-4BBE-BF8A-55F47E0F62C9}"/>
    <cellStyle name="Comma 4 2 4 2 4 2 3" xfId="12212" xr:uid="{27CCEB38-636A-422C-9751-877678766A4F}"/>
    <cellStyle name="Comma 4 2 4 2 4 3" xfId="5856" xr:uid="{00000000-0005-0000-0000-0000C2080000}"/>
    <cellStyle name="Comma 4 2 4 2 4 3 2" xfId="14285" xr:uid="{37198962-DD78-4BF1-BEEF-D5520AA1F295}"/>
    <cellStyle name="Comma 4 2 4 2 4 4" xfId="10067" xr:uid="{EE398ADD-1614-479E-A1E2-8AC266DFFB07}"/>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72D0459E-817E-4B83-8A07-F74F8AACEEF8}"/>
    <cellStyle name="Comma 4 2 4 2 5 2 3" xfId="12625" xr:uid="{B374E948-A602-4B80-A7B0-A702FB81555E}"/>
    <cellStyle name="Comma 4 2 4 2 5 3" xfId="6269" xr:uid="{00000000-0005-0000-0000-0000C6080000}"/>
    <cellStyle name="Comma 4 2 4 2 5 3 2" xfId="14698" xr:uid="{BB3BA611-CBE4-4391-9465-389FC7564A93}"/>
    <cellStyle name="Comma 4 2 4 2 5 4" xfId="10480" xr:uid="{C613BBBB-6C97-4C72-B423-019BAC19466F}"/>
    <cellStyle name="Comma 4 2 4 2 6" xfId="2396" xr:uid="{00000000-0005-0000-0000-0000C7080000}"/>
    <cellStyle name="Comma 4 2 4 2 6 2" xfId="6682" xr:uid="{00000000-0005-0000-0000-0000C8080000}"/>
    <cellStyle name="Comma 4 2 4 2 6 2 2" xfId="15111" xr:uid="{76B66122-BD8D-4677-B5AE-B9DD3A302C70}"/>
    <cellStyle name="Comma 4 2 4 2 6 3" xfId="10893" xr:uid="{2111499E-CEC3-4BD3-ACBA-6E4A02617DB7}"/>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4721F154-444F-42D1-9C1F-50FD12F84A8D}"/>
    <cellStyle name="Comma 4 2 4 2 8 3" xfId="11210" xr:uid="{508233F9-5E90-4104-B871-1DCF70099F1B}"/>
    <cellStyle name="Comma 4 2 4 2 9" xfId="4616" xr:uid="{00000000-0005-0000-0000-0000CC080000}"/>
    <cellStyle name="Comma 4 2 4 2 9 2" xfId="13045" xr:uid="{0931EA5B-F6D5-4BCC-AEFD-B4BDFAF6B5C3}"/>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7D4151E0-F50E-496E-AF46-D609A0E1AA62}"/>
    <cellStyle name="Comma 4 2 4 3 2 3" xfId="11385" xr:uid="{50EEE6D0-E53E-49E3-98CB-7F0334A9BE2D}"/>
    <cellStyle name="Comma 4 2 4 3 3" xfId="5029" xr:uid="{00000000-0005-0000-0000-0000D0080000}"/>
    <cellStyle name="Comma 4 2 4 3 3 2" xfId="13458" xr:uid="{8E4251FA-A138-41BC-81CF-429D52469D38}"/>
    <cellStyle name="Comma 4 2 4 3 4" xfId="9240" xr:uid="{633A42E3-628C-48BA-A81C-943FCADDBB9D}"/>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D4AB97C9-528E-4684-ADE1-C802B856CA6F}"/>
    <cellStyle name="Comma 4 2 4 4 2 3" xfId="11798" xr:uid="{1B85188A-64B9-484D-AC30-E504A08A2879}"/>
    <cellStyle name="Comma 4 2 4 4 3" xfId="5442" xr:uid="{00000000-0005-0000-0000-0000D4080000}"/>
    <cellStyle name="Comma 4 2 4 4 3 2" xfId="13871" xr:uid="{4B9B1759-D0CF-4BF8-A4CB-7401B8DD4CC1}"/>
    <cellStyle name="Comma 4 2 4 4 4" xfId="9653" xr:uid="{C802C5CC-42A7-48D5-87C1-F89D8DB6490B}"/>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D01183DE-91D6-4131-9484-933F29BE3E5C}"/>
    <cellStyle name="Comma 4 2 4 5 2 3" xfId="12211" xr:uid="{5C6CA83E-6774-4EB2-ADE9-9479A965AA53}"/>
    <cellStyle name="Comma 4 2 4 5 3" xfId="5855" xr:uid="{00000000-0005-0000-0000-0000D8080000}"/>
    <cellStyle name="Comma 4 2 4 5 3 2" xfId="14284" xr:uid="{F1862B42-961B-4B32-9678-0A0707AB94B4}"/>
    <cellStyle name="Comma 4 2 4 5 4" xfId="10066" xr:uid="{D593A6D9-1046-4578-94EF-10E36B360C66}"/>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7DF627AD-A955-4F6B-9E3E-0EFF6A1BC275}"/>
    <cellStyle name="Comma 4 2 4 6 2 3" xfId="12624" xr:uid="{3F3346DE-96E8-4F12-AB25-8EBAD4179A6D}"/>
    <cellStyle name="Comma 4 2 4 6 3" xfId="6268" xr:uid="{00000000-0005-0000-0000-0000DC080000}"/>
    <cellStyle name="Comma 4 2 4 6 3 2" xfId="14697" xr:uid="{E71C70E6-DA26-47F6-AFD8-4C24D0756EC6}"/>
    <cellStyle name="Comma 4 2 4 6 4" xfId="10479" xr:uid="{96A4B109-52D1-4068-A2DE-7E1C115C1449}"/>
    <cellStyle name="Comma 4 2 4 7" xfId="2395" xr:uid="{00000000-0005-0000-0000-0000DD080000}"/>
    <cellStyle name="Comma 4 2 4 7 2" xfId="6681" xr:uid="{00000000-0005-0000-0000-0000DE080000}"/>
    <cellStyle name="Comma 4 2 4 7 2 2" xfId="15110" xr:uid="{FB95F4F5-C4E2-4E34-B7BC-9D386A6E0D3B}"/>
    <cellStyle name="Comma 4 2 4 7 3" xfId="10892" xr:uid="{D5785612-5C89-406C-8E20-473DD0C535CC}"/>
    <cellStyle name="Comma 4 2 4 8" xfId="2370" xr:uid="{00000000-0005-0000-0000-0000DF080000}"/>
    <cellStyle name="Comma 4 2 4 9" xfId="2773" xr:uid="{00000000-0005-0000-0000-0000E0080000}"/>
    <cellStyle name="Comma 4 2 4 9 2" xfId="6998" xr:uid="{00000000-0005-0000-0000-0000E1080000}"/>
    <cellStyle name="Comma 4 2 4 9 2 2" xfId="15427" xr:uid="{22FD927B-5208-4C0D-8CA9-1518537F9213}"/>
    <cellStyle name="Comma 4 2 4 9 3" xfId="11209" xr:uid="{1FF59C82-BC67-4DD9-A6AB-55D15DE59541}"/>
    <cellStyle name="Comma 4 2 5" xfId="142" xr:uid="{00000000-0005-0000-0000-0000E2080000}"/>
    <cellStyle name="Comma 4 2 5 10" xfId="8828" xr:uid="{5E0427E4-CC39-4D76-A7DB-E6806FA04E2C}"/>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CD6412D6-81ED-489D-8B05-67CBE2059462}"/>
    <cellStyle name="Comma 4 2 5 2 2 3" xfId="11387" xr:uid="{D1BEFE64-DA54-4043-88E4-1536111793A2}"/>
    <cellStyle name="Comma 4 2 5 2 3" xfId="5031" xr:uid="{00000000-0005-0000-0000-0000E6080000}"/>
    <cellStyle name="Comma 4 2 5 2 3 2" xfId="13460" xr:uid="{73586BE4-950C-4E17-9E1A-B90179F37C9C}"/>
    <cellStyle name="Comma 4 2 5 2 4" xfId="9242" xr:uid="{733143EF-F331-4858-B336-DD807946DE4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3636457D-365F-4867-A4F7-F8D598041B73}"/>
    <cellStyle name="Comma 4 2 5 3 2 3" xfId="11800" xr:uid="{C2EC84ED-1FD1-4324-8D5D-B35ADCDF4D69}"/>
    <cellStyle name="Comma 4 2 5 3 3" xfId="5444" xr:uid="{00000000-0005-0000-0000-0000EA080000}"/>
    <cellStyle name="Comma 4 2 5 3 3 2" xfId="13873" xr:uid="{8B34A101-A66A-4778-AFDD-BACD5E199378}"/>
    <cellStyle name="Comma 4 2 5 3 4" xfId="9655" xr:uid="{A0118201-01F1-44AC-B76A-D012A55AB148}"/>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D7F2E03C-E440-4359-9A90-A70B30775B2A}"/>
    <cellStyle name="Comma 4 2 5 4 2 3" xfId="12213" xr:uid="{927B5E6A-E10F-41F7-8983-CA1B145E1FEA}"/>
    <cellStyle name="Comma 4 2 5 4 3" xfId="5857" xr:uid="{00000000-0005-0000-0000-0000EE080000}"/>
    <cellStyle name="Comma 4 2 5 4 3 2" xfId="14286" xr:uid="{80562D65-58E5-445D-9815-CD940CD774C0}"/>
    <cellStyle name="Comma 4 2 5 4 4" xfId="10068" xr:uid="{A4BEF013-B9F5-41E8-BBEC-D3FA46607A8B}"/>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374CBE70-845E-4794-AF95-55FE14B37B57}"/>
    <cellStyle name="Comma 4 2 5 5 2 3" xfId="12626" xr:uid="{BCF48C12-C2A7-459C-9460-A0815C1F41B7}"/>
    <cellStyle name="Comma 4 2 5 5 3" xfId="6270" xr:uid="{00000000-0005-0000-0000-0000F2080000}"/>
    <cellStyle name="Comma 4 2 5 5 3 2" xfId="14699" xr:uid="{26133D51-059B-47F1-A38E-EE952649007C}"/>
    <cellStyle name="Comma 4 2 5 5 4" xfId="10481" xr:uid="{46AA565A-1DD8-4830-9DB5-A0770DC48AF4}"/>
    <cellStyle name="Comma 4 2 5 6" xfId="2397" xr:uid="{00000000-0005-0000-0000-0000F3080000}"/>
    <cellStyle name="Comma 4 2 5 6 2" xfId="6683" xr:uid="{00000000-0005-0000-0000-0000F4080000}"/>
    <cellStyle name="Comma 4 2 5 6 2 2" xfId="15112" xr:uid="{C095B74F-9DA0-47FC-8FE2-B3F6587BF291}"/>
    <cellStyle name="Comma 4 2 5 6 3" xfId="10894" xr:uid="{5DEEC422-D927-48DC-98F5-0CD0C13DF50E}"/>
    <cellStyle name="Comma 4 2 5 7" xfId="2368" xr:uid="{00000000-0005-0000-0000-0000F5080000}"/>
    <cellStyle name="Comma 4 2 5 8" xfId="2775" xr:uid="{00000000-0005-0000-0000-0000F6080000}"/>
    <cellStyle name="Comma 4 2 5 8 2" xfId="7000" xr:uid="{00000000-0005-0000-0000-0000F7080000}"/>
    <cellStyle name="Comma 4 2 5 8 2 2" xfId="15429" xr:uid="{3DAFD911-90D9-4CD5-81BE-7C2EE5A1A8D0}"/>
    <cellStyle name="Comma 4 2 5 8 3" xfId="11211" xr:uid="{FF27AC9A-B0EE-4B7C-9687-6760DED466A0}"/>
    <cellStyle name="Comma 4 2 5 9" xfId="4617" xr:uid="{00000000-0005-0000-0000-0000F8080000}"/>
    <cellStyle name="Comma 4 2 5 9 2" xfId="13046" xr:uid="{DB093900-2AAF-4B1B-A49F-560E523495D9}"/>
    <cellStyle name="Comma 4 2 6" xfId="143" xr:uid="{00000000-0005-0000-0000-0000F9080000}"/>
    <cellStyle name="Comma 4 2 6 10" xfId="8829" xr:uid="{5A216EF4-8E7F-4376-9498-5AC234053433}"/>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E4FB863B-A871-472D-B35B-C74A6F50E680}"/>
    <cellStyle name="Comma 4 2 6 2 2 3" xfId="11388" xr:uid="{29CF01A4-A7A0-428D-AE21-053EF1A41E14}"/>
    <cellStyle name="Comma 4 2 6 2 3" xfId="5032" xr:uid="{00000000-0005-0000-0000-0000FD080000}"/>
    <cellStyle name="Comma 4 2 6 2 3 2" xfId="13461" xr:uid="{8C5955E5-99DD-4FA7-9397-A30520470B53}"/>
    <cellStyle name="Comma 4 2 6 2 4" xfId="9243" xr:uid="{0269C884-D198-4881-8470-22C4E8C934F1}"/>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D1021DDF-456E-4D6E-B7F8-D5F73BF1EBDF}"/>
    <cellStyle name="Comma 4 2 6 3 2 3" xfId="11801" xr:uid="{05005708-0B92-427B-BF45-32345B004D5A}"/>
    <cellStyle name="Comma 4 2 6 3 3" xfId="5445" xr:uid="{00000000-0005-0000-0000-000001090000}"/>
    <cellStyle name="Comma 4 2 6 3 3 2" xfId="13874" xr:uid="{AB8376F7-463A-4A84-8C69-59BFD72EC336}"/>
    <cellStyle name="Comma 4 2 6 3 4" xfId="9656" xr:uid="{9CD48FEA-8757-4F9E-8A28-782978408FA2}"/>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E31F529F-7F39-4CA2-A005-289DF97FD887}"/>
    <cellStyle name="Comma 4 2 6 4 2 3" xfId="12214" xr:uid="{0842521F-2B9A-4C1D-B6E9-B4C6295AD5D2}"/>
    <cellStyle name="Comma 4 2 6 4 3" xfId="5858" xr:uid="{00000000-0005-0000-0000-000005090000}"/>
    <cellStyle name="Comma 4 2 6 4 3 2" xfId="14287" xr:uid="{3F8CB5EA-8E1D-4646-AD39-66E6011F2F68}"/>
    <cellStyle name="Comma 4 2 6 4 4" xfId="10069" xr:uid="{9DA67875-C1BC-49FB-B5C6-7D4ECFF7DB6D}"/>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246C200A-07CB-423F-9B6B-3E90AC1826E6}"/>
    <cellStyle name="Comma 4 2 6 5 2 3" xfId="12627" xr:uid="{E3D357A2-56CB-4E82-8DA8-6B2F313EF311}"/>
    <cellStyle name="Comma 4 2 6 5 3" xfId="6271" xr:uid="{00000000-0005-0000-0000-000009090000}"/>
    <cellStyle name="Comma 4 2 6 5 3 2" xfId="14700" xr:uid="{5B843819-AF7B-4950-8A6C-BB283EA4DA1E}"/>
    <cellStyle name="Comma 4 2 6 5 4" xfId="10482" xr:uid="{9116B3AE-25CA-4D73-BAEA-F0CEBD321039}"/>
    <cellStyle name="Comma 4 2 6 6" xfId="2398" xr:uid="{00000000-0005-0000-0000-00000A090000}"/>
    <cellStyle name="Comma 4 2 6 6 2" xfId="6684" xr:uid="{00000000-0005-0000-0000-00000B090000}"/>
    <cellStyle name="Comma 4 2 6 6 2 2" xfId="15113" xr:uid="{8AF68A38-C52B-4846-BA94-246CA1FF9DFB}"/>
    <cellStyle name="Comma 4 2 6 6 3" xfId="10895" xr:uid="{A90D15D6-88B6-4A0B-BEEC-4FE4EE7915F8}"/>
    <cellStyle name="Comma 4 2 6 7" xfId="2367" xr:uid="{00000000-0005-0000-0000-00000C090000}"/>
    <cellStyle name="Comma 4 2 6 8" xfId="2776" xr:uid="{00000000-0005-0000-0000-00000D090000}"/>
    <cellStyle name="Comma 4 2 6 8 2" xfId="7001" xr:uid="{00000000-0005-0000-0000-00000E090000}"/>
    <cellStyle name="Comma 4 2 6 8 2 2" xfId="15430" xr:uid="{2BEF0D7D-9FAE-4CFE-BB9D-B848C740F8FD}"/>
    <cellStyle name="Comma 4 2 6 8 3" xfId="11212" xr:uid="{192F4B7A-2440-4135-B081-3BED5C73157D}"/>
    <cellStyle name="Comma 4 2 6 9" xfId="4618" xr:uid="{00000000-0005-0000-0000-00000F090000}"/>
    <cellStyle name="Comma 4 2 6 9 2" xfId="13047" xr:uid="{33D801E8-0D3F-4F73-B56C-B3368863793E}"/>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FA2F0477-725F-404C-85FF-E65CFCC7925F}"/>
    <cellStyle name="Comma 4 3 2 10 3" xfId="11213" xr:uid="{B5D65DFA-86FC-4B6C-94F2-59B0394A47A0}"/>
    <cellStyle name="Comma 4 3 2 11" xfId="4619" xr:uid="{00000000-0005-0000-0000-000014090000}"/>
    <cellStyle name="Comma 4 3 2 11 2" xfId="13048" xr:uid="{8513A4FB-F426-4F38-A4BB-C88CC088BBEE}"/>
    <cellStyle name="Comma 4 3 2 12" xfId="8830" xr:uid="{98FCD49D-F6C4-4C30-8DD1-3195FC952AC3}"/>
    <cellStyle name="Comma 4 3 2 2" xfId="146" xr:uid="{00000000-0005-0000-0000-000015090000}"/>
    <cellStyle name="Comma 4 3 2 2 10" xfId="4620" xr:uid="{00000000-0005-0000-0000-000016090000}"/>
    <cellStyle name="Comma 4 3 2 2 10 2" xfId="13049" xr:uid="{A1A2D1A3-182E-415B-9598-DE700CAC2E56}"/>
    <cellStyle name="Comma 4 3 2 2 11" xfId="8831" xr:uid="{285D1C84-F37A-42D2-AD0E-D05B549CA990}"/>
    <cellStyle name="Comma 4 3 2 2 2" xfId="147" xr:uid="{00000000-0005-0000-0000-000017090000}"/>
    <cellStyle name="Comma 4 3 2 2 2 10" xfId="8832" xr:uid="{86A174D9-31B3-41EE-95C2-AF92536E4B6D}"/>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BA7C2AD4-2D13-4E28-A3FC-5862DA5B7B01}"/>
    <cellStyle name="Comma 4 3 2 2 2 2 2 3" xfId="11391" xr:uid="{797CE12D-F1B3-4F2E-BA05-5091BBFF425F}"/>
    <cellStyle name="Comma 4 3 2 2 2 2 3" xfId="5035" xr:uid="{00000000-0005-0000-0000-00001B090000}"/>
    <cellStyle name="Comma 4 3 2 2 2 2 3 2" xfId="13464" xr:uid="{8998DF74-59BB-43CB-BF77-2A55E632213E}"/>
    <cellStyle name="Comma 4 3 2 2 2 2 4" xfId="9246" xr:uid="{A50F453F-1070-4DCB-87E4-2830937B7F8B}"/>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E947DB72-62AC-465B-8570-69B2CEBBEB2F}"/>
    <cellStyle name="Comma 4 3 2 2 2 3 2 3" xfId="11804" xr:uid="{270F13C4-A130-4D9C-9B42-95AA7108F22A}"/>
    <cellStyle name="Comma 4 3 2 2 2 3 3" xfId="5448" xr:uid="{00000000-0005-0000-0000-00001F090000}"/>
    <cellStyle name="Comma 4 3 2 2 2 3 3 2" xfId="13877" xr:uid="{EEF3B2ED-84C9-4FB2-A4F3-F20889BC9E17}"/>
    <cellStyle name="Comma 4 3 2 2 2 3 4" xfId="9659" xr:uid="{662A5FCD-0218-4D03-A480-80721C30195A}"/>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EE49A059-85FA-4B7D-A8CD-B2FD8523C4DB}"/>
    <cellStyle name="Comma 4 3 2 2 2 4 2 3" xfId="12217" xr:uid="{7D7EA4B7-B42B-4CFC-802F-3F418C2126B1}"/>
    <cellStyle name="Comma 4 3 2 2 2 4 3" xfId="5861" xr:uid="{00000000-0005-0000-0000-000023090000}"/>
    <cellStyle name="Comma 4 3 2 2 2 4 3 2" xfId="14290" xr:uid="{8C38B494-08CB-4C1C-9E9B-4B1DE94A310C}"/>
    <cellStyle name="Comma 4 3 2 2 2 4 4" xfId="10072" xr:uid="{6273E510-BEE8-4045-AAF2-06097C68059B}"/>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6A785492-7B98-47DA-B615-9E81AD14BC2D}"/>
    <cellStyle name="Comma 4 3 2 2 2 5 2 3" xfId="12630" xr:uid="{E2495364-612F-4176-A18F-4194DFBA65A6}"/>
    <cellStyle name="Comma 4 3 2 2 2 5 3" xfId="6274" xr:uid="{00000000-0005-0000-0000-000027090000}"/>
    <cellStyle name="Comma 4 3 2 2 2 5 3 2" xfId="14703" xr:uid="{E3E45DB7-51F8-4F14-BD60-958918963750}"/>
    <cellStyle name="Comma 4 3 2 2 2 5 4" xfId="10485" xr:uid="{055DAEE5-3CD4-44AE-AC7D-F34FB1EC4376}"/>
    <cellStyle name="Comma 4 3 2 2 2 6" xfId="2401" xr:uid="{00000000-0005-0000-0000-000028090000}"/>
    <cellStyle name="Comma 4 3 2 2 2 6 2" xfId="6687" xr:uid="{00000000-0005-0000-0000-000029090000}"/>
    <cellStyle name="Comma 4 3 2 2 2 6 2 2" xfId="15116" xr:uid="{BD5F9DC2-903D-4979-9A25-763CB39C81E0}"/>
    <cellStyle name="Comma 4 3 2 2 2 6 3" xfId="10898" xr:uid="{1D39DA55-BB4E-4B82-B1D6-EB3B93C52F69}"/>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3C143DF3-7F5B-40F3-BA53-E2F2523ED73D}"/>
    <cellStyle name="Comma 4 3 2 2 2 8 3" xfId="11215" xr:uid="{BAA705C3-2942-4BAA-B5F0-6CAA9E8F5415}"/>
    <cellStyle name="Comma 4 3 2 2 2 9" xfId="4621" xr:uid="{00000000-0005-0000-0000-00002D090000}"/>
    <cellStyle name="Comma 4 3 2 2 2 9 2" xfId="13050" xr:uid="{52D17064-C10C-4F24-8B1A-44A40DE913DF}"/>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2EBFE96D-7BC7-49A3-83F6-53855E3D6825}"/>
    <cellStyle name="Comma 4 3 2 2 3 2 3" xfId="11390" xr:uid="{1A5EBC4C-B1E1-4A0E-888B-B507DA01399E}"/>
    <cellStyle name="Comma 4 3 2 2 3 3" xfId="5034" xr:uid="{00000000-0005-0000-0000-000031090000}"/>
    <cellStyle name="Comma 4 3 2 2 3 3 2" xfId="13463" xr:uid="{3137ED9F-3C33-4A10-9A32-6C4C61F5D95B}"/>
    <cellStyle name="Comma 4 3 2 2 3 4" xfId="9245" xr:uid="{9058966D-A2CC-4CB1-BF49-C0A718DD51B1}"/>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2A2C70F1-64D1-4C77-BE5F-A61A2FAF7EE8}"/>
    <cellStyle name="Comma 4 3 2 2 4 2 3" xfId="11803" xr:uid="{A8B00353-2F50-4795-B222-3EEDBABDE757}"/>
    <cellStyle name="Comma 4 3 2 2 4 3" xfId="5447" xr:uid="{00000000-0005-0000-0000-000035090000}"/>
    <cellStyle name="Comma 4 3 2 2 4 3 2" xfId="13876" xr:uid="{CE18E1BA-8354-4D50-9BAD-C46D8670C411}"/>
    <cellStyle name="Comma 4 3 2 2 4 4" xfId="9658" xr:uid="{9A82DE33-29C2-47A2-8D50-B1828DD5FB5E}"/>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63F3AB72-F82D-405F-B789-54C0556486A2}"/>
    <cellStyle name="Comma 4 3 2 2 5 2 3" xfId="12216" xr:uid="{ACE40A29-6988-42E9-9029-4A33C1A31F95}"/>
    <cellStyle name="Comma 4 3 2 2 5 3" xfId="5860" xr:uid="{00000000-0005-0000-0000-000039090000}"/>
    <cellStyle name="Comma 4 3 2 2 5 3 2" xfId="14289" xr:uid="{EBD1C5AE-3737-4904-869E-0D0A1008BB01}"/>
    <cellStyle name="Comma 4 3 2 2 5 4" xfId="10071" xr:uid="{B30A27B0-4221-437B-AFA1-65F4B8226484}"/>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BA1C15B6-1848-4E4D-8C43-84854EEF7197}"/>
    <cellStyle name="Comma 4 3 2 2 6 2 3" xfId="12629" xr:uid="{E2C106FF-293E-4E36-ADDB-6B331187C72A}"/>
    <cellStyle name="Comma 4 3 2 2 6 3" xfId="6273" xr:uid="{00000000-0005-0000-0000-00003D090000}"/>
    <cellStyle name="Comma 4 3 2 2 6 3 2" xfId="14702" xr:uid="{70814DF8-0AB3-46F5-AD81-A593BA06CD55}"/>
    <cellStyle name="Comma 4 3 2 2 6 4" xfId="10484" xr:uid="{7E5978D6-3FC1-427B-8CDA-8A26F3AF8499}"/>
    <cellStyle name="Comma 4 3 2 2 7" xfId="2400" xr:uid="{00000000-0005-0000-0000-00003E090000}"/>
    <cellStyle name="Comma 4 3 2 2 7 2" xfId="6686" xr:uid="{00000000-0005-0000-0000-00003F090000}"/>
    <cellStyle name="Comma 4 3 2 2 7 2 2" xfId="15115" xr:uid="{9475DA2E-0A18-4854-BFDB-129905FEB96E}"/>
    <cellStyle name="Comma 4 3 2 2 7 3" xfId="10897" xr:uid="{C5EDC0E8-45E9-4250-BC4B-C25F2604A5EB}"/>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64D89F24-FE15-4545-B46D-1EF3BD2EE273}"/>
    <cellStyle name="Comma 4 3 2 2 9 3" xfId="11214" xr:uid="{5C29B7B4-CB94-4F55-8E3C-DB7CEDDA922A}"/>
    <cellStyle name="Comma 4 3 2 3" xfId="148" xr:uid="{00000000-0005-0000-0000-000043090000}"/>
    <cellStyle name="Comma 4 3 2 3 10" xfId="8833" xr:uid="{8F2C3848-D8CF-41B6-9288-20897C7AD264}"/>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3424DEB2-2021-4617-B467-90CC79F1A7F5}"/>
    <cellStyle name="Comma 4 3 2 3 2 2 3" xfId="11392" xr:uid="{9950256F-44FB-4D5D-9451-8100B421DF01}"/>
    <cellStyle name="Comma 4 3 2 3 2 3" xfId="5036" xr:uid="{00000000-0005-0000-0000-000047090000}"/>
    <cellStyle name="Comma 4 3 2 3 2 3 2" xfId="13465" xr:uid="{D2A0AB82-D54E-43A1-9062-65B7C327C5D8}"/>
    <cellStyle name="Comma 4 3 2 3 2 4" xfId="9247" xr:uid="{BB755951-AF85-410B-85D4-25428DF3B18A}"/>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92053A0D-CD8F-4F7F-9751-F4C35C044403}"/>
    <cellStyle name="Comma 4 3 2 3 3 2 3" xfId="11805" xr:uid="{42DB9734-D02F-485B-ADAA-C0C437B34C02}"/>
    <cellStyle name="Comma 4 3 2 3 3 3" xfId="5449" xr:uid="{00000000-0005-0000-0000-00004B090000}"/>
    <cellStyle name="Comma 4 3 2 3 3 3 2" xfId="13878" xr:uid="{E7BC3405-CBE0-413B-8110-D4DD23EA78D3}"/>
    <cellStyle name="Comma 4 3 2 3 3 4" xfId="9660" xr:uid="{EA6CC051-7230-478B-BBC5-A03978C46F9A}"/>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3EEECB46-F974-4B0C-AE44-B852AD7FFE20}"/>
    <cellStyle name="Comma 4 3 2 3 4 2 3" xfId="12218" xr:uid="{184CCB54-479C-4C1A-A666-A75EB5F7EAD4}"/>
    <cellStyle name="Comma 4 3 2 3 4 3" xfId="5862" xr:uid="{00000000-0005-0000-0000-00004F090000}"/>
    <cellStyle name="Comma 4 3 2 3 4 3 2" xfId="14291" xr:uid="{C6FAE98A-374C-425D-95EA-D5E50D4EC3F3}"/>
    <cellStyle name="Comma 4 3 2 3 4 4" xfId="10073" xr:uid="{952884EF-9E71-464A-AC82-DCD63A0D2F82}"/>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6BF962C2-2BC8-4D78-9768-37E42FA8907F}"/>
    <cellStyle name="Comma 4 3 2 3 5 2 3" xfId="12631" xr:uid="{6806CE68-FFC3-4A06-9F40-DCDDFEF9C716}"/>
    <cellStyle name="Comma 4 3 2 3 5 3" xfId="6275" xr:uid="{00000000-0005-0000-0000-000053090000}"/>
    <cellStyle name="Comma 4 3 2 3 5 3 2" xfId="14704" xr:uid="{BC9F71F7-4AD5-4258-BEF0-3B335FBE8D8A}"/>
    <cellStyle name="Comma 4 3 2 3 5 4" xfId="10486" xr:uid="{91F51968-F99F-461C-915E-D0F8092C8003}"/>
    <cellStyle name="Comma 4 3 2 3 6" xfId="2402" xr:uid="{00000000-0005-0000-0000-000054090000}"/>
    <cellStyle name="Comma 4 3 2 3 6 2" xfId="6688" xr:uid="{00000000-0005-0000-0000-000055090000}"/>
    <cellStyle name="Comma 4 3 2 3 6 2 2" xfId="15117" xr:uid="{543259B7-A3EF-4779-92A2-87EBF8DD4C2A}"/>
    <cellStyle name="Comma 4 3 2 3 6 3" xfId="10899" xr:uid="{F0E5DD04-F0A8-4641-8D4E-B6F44AED36F3}"/>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1EB17C89-2DC6-4773-A072-2BB55FFA030B}"/>
    <cellStyle name="Comma 4 3 2 3 8 3" xfId="11216" xr:uid="{912321C2-B460-4974-B667-267BEBA450C4}"/>
    <cellStyle name="Comma 4 3 2 3 9" xfId="4622" xr:uid="{00000000-0005-0000-0000-000059090000}"/>
    <cellStyle name="Comma 4 3 2 3 9 2" xfId="13051" xr:uid="{809E9E04-2641-47CE-A851-8C5040ADA53B}"/>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255FA717-0575-475C-B12D-46CB5B3EAC83}"/>
    <cellStyle name="Comma 4 3 2 4 2 3" xfId="11389" xr:uid="{C96F60DB-5C61-4762-8681-6EEECF1BA3EA}"/>
    <cellStyle name="Comma 4 3 2 4 3" xfId="5033" xr:uid="{00000000-0005-0000-0000-00005D090000}"/>
    <cellStyle name="Comma 4 3 2 4 3 2" xfId="13462" xr:uid="{CD5A98BB-9419-4BD9-9457-E4115A4946E0}"/>
    <cellStyle name="Comma 4 3 2 4 4" xfId="9244" xr:uid="{03296BEF-7FE6-444A-8D79-CBE827F0C5F8}"/>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744E9542-CECC-4B19-BAF5-994964A6C8AF}"/>
    <cellStyle name="Comma 4 3 2 5 2 3" xfId="11802" xr:uid="{0C67080C-716C-4478-83DC-A0F1C733C9A0}"/>
    <cellStyle name="Comma 4 3 2 5 3" xfId="5446" xr:uid="{00000000-0005-0000-0000-000061090000}"/>
    <cellStyle name="Comma 4 3 2 5 3 2" xfId="13875" xr:uid="{675D472B-A128-44C6-A59C-ED7D629A553A}"/>
    <cellStyle name="Comma 4 3 2 5 4" xfId="9657" xr:uid="{6F67408C-D1CE-4589-AE65-48E2372D3CF8}"/>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0C685D94-0700-45C0-9F84-9F8AFB91B9D8}"/>
    <cellStyle name="Comma 4 3 2 6 2 3" xfId="12215" xr:uid="{85A50D6E-EE34-4F42-8186-982FB6CEEB20}"/>
    <cellStyle name="Comma 4 3 2 6 3" xfId="5859" xr:uid="{00000000-0005-0000-0000-000065090000}"/>
    <cellStyle name="Comma 4 3 2 6 3 2" xfId="14288" xr:uid="{CFC1AD5C-4987-4A7B-965E-F16FFEB900F4}"/>
    <cellStyle name="Comma 4 3 2 6 4" xfId="10070" xr:uid="{524FA40C-566C-460A-9375-8688ACF385DE}"/>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770CD28D-23A2-4A48-B414-94045C19621F}"/>
    <cellStyle name="Comma 4 3 2 7 2 3" xfId="12628" xr:uid="{BBD74EF3-8991-4B74-9BFA-93F1A5F0BB82}"/>
    <cellStyle name="Comma 4 3 2 7 3" xfId="6272" xr:uid="{00000000-0005-0000-0000-000069090000}"/>
    <cellStyle name="Comma 4 3 2 7 3 2" xfId="14701" xr:uid="{FA4D9442-BDC9-4AB2-8F46-8C04DB2320E3}"/>
    <cellStyle name="Comma 4 3 2 7 4" xfId="10483" xr:uid="{CA1C91C3-33B1-4C9D-862C-D874AF44FDB7}"/>
    <cellStyle name="Comma 4 3 2 8" xfId="2399" xr:uid="{00000000-0005-0000-0000-00006A090000}"/>
    <cellStyle name="Comma 4 3 2 8 2" xfId="6685" xr:uid="{00000000-0005-0000-0000-00006B090000}"/>
    <cellStyle name="Comma 4 3 2 8 2 2" xfId="15114" xr:uid="{C3B64FBD-FDF1-4E6B-A6AF-0F9C73F57BD2}"/>
    <cellStyle name="Comma 4 3 2 8 3" xfId="10896" xr:uid="{781FA260-EB7B-42DE-BDEE-F2883CF9C267}"/>
    <cellStyle name="Comma 4 3 2 9" xfId="2366" xr:uid="{00000000-0005-0000-0000-00006C090000}"/>
    <cellStyle name="Comma 4 3 3" xfId="149" xr:uid="{00000000-0005-0000-0000-00006D090000}"/>
    <cellStyle name="Comma 4 3 3 10" xfId="4623" xr:uid="{00000000-0005-0000-0000-00006E090000}"/>
    <cellStyle name="Comma 4 3 3 10 2" xfId="13052" xr:uid="{DA4B590E-C8E8-4CBE-BB86-19888424FF0D}"/>
    <cellStyle name="Comma 4 3 3 11" xfId="8834" xr:uid="{B2439B3C-282A-40F4-914E-3F1BE3F5B747}"/>
    <cellStyle name="Comma 4 3 3 2" xfId="150" xr:uid="{00000000-0005-0000-0000-00006F090000}"/>
    <cellStyle name="Comma 4 3 3 2 10" xfId="8835" xr:uid="{8A847522-B87F-4E7C-8929-E5F314592FEE}"/>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377B22D9-1FF6-45CF-8E13-A5DCBEAA044D}"/>
    <cellStyle name="Comma 4 3 3 2 2 2 3" xfId="11394" xr:uid="{97EDD115-A3A1-403B-AA87-D19371CD91CE}"/>
    <cellStyle name="Comma 4 3 3 2 2 3" xfId="5038" xr:uid="{00000000-0005-0000-0000-000073090000}"/>
    <cellStyle name="Comma 4 3 3 2 2 3 2" xfId="13467" xr:uid="{92B166C1-0810-4369-81F1-D1D430058DB9}"/>
    <cellStyle name="Comma 4 3 3 2 2 4" xfId="9249" xr:uid="{EACFE6A2-FFC8-404B-B52F-DCE642800236}"/>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045C5D17-27BC-401D-B9B2-3AC04486BC5E}"/>
    <cellStyle name="Comma 4 3 3 2 3 2 3" xfId="11807" xr:uid="{0033C2CC-ECF9-4AC5-B66D-3966B4AFB769}"/>
    <cellStyle name="Comma 4 3 3 2 3 3" xfId="5451" xr:uid="{00000000-0005-0000-0000-000077090000}"/>
    <cellStyle name="Comma 4 3 3 2 3 3 2" xfId="13880" xr:uid="{C4E7A09D-099B-4BFC-ACC3-F7350437E3BE}"/>
    <cellStyle name="Comma 4 3 3 2 3 4" xfId="9662" xr:uid="{A033B99E-679B-40A5-BBEF-7E4918DD5D0D}"/>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75E2028C-D5E6-4184-950A-D6ED0C18164C}"/>
    <cellStyle name="Comma 4 3 3 2 4 2 3" xfId="12220" xr:uid="{2E3451B5-BD36-4523-B265-727195885CED}"/>
    <cellStyle name="Comma 4 3 3 2 4 3" xfId="5864" xr:uid="{00000000-0005-0000-0000-00007B090000}"/>
    <cellStyle name="Comma 4 3 3 2 4 3 2" xfId="14293" xr:uid="{FC06AA34-0657-48D0-899B-AAFEFE0D1E44}"/>
    <cellStyle name="Comma 4 3 3 2 4 4" xfId="10075" xr:uid="{6BDD7812-5ABE-44CA-B87C-7D49A22F90F3}"/>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5B464C10-3337-476A-A1BE-A2B83734F6A1}"/>
    <cellStyle name="Comma 4 3 3 2 5 2 3" xfId="12633" xr:uid="{1BE2D901-DED8-4CD5-BDF1-EDFDECFBD912}"/>
    <cellStyle name="Comma 4 3 3 2 5 3" xfId="6277" xr:uid="{00000000-0005-0000-0000-00007F090000}"/>
    <cellStyle name="Comma 4 3 3 2 5 3 2" xfId="14706" xr:uid="{A3543A49-72AF-401B-8726-104F462FE867}"/>
    <cellStyle name="Comma 4 3 3 2 5 4" xfId="10488" xr:uid="{FD5AB6F6-BBF7-44F9-9E40-456543570A86}"/>
    <cellStyle name="Comma 4 3 3 2 6" xfId="2404" xr:uid="{00000000-0005-0000-0000-000080090000}"/>
    <cellStyle name="Comma 4 3 3 2 6 2" xfId="6690" xr:uid="{00000000-0005-0000-0000-000081090000}"/>
    <cellStyle name="Comma 4 3 3 2 6 2 2" xfId="15119" xr:uid="{81B65C78-0458-4535-968C-04E2C953A4F5}"/>
    <cellStyle name="Comma 4 3 3 2 6 3" xfId="10901" xr:uid="{C6AB2244-2FB0-4E34-B494-717A4B2F3FB9}"/>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0426411C-88FE-48C1-B092-47B13A3C0648}"/>
    <cellStyle name="Comma 4 3 3 2 8 3" xfId="11218" xr:uid="{DBA8EE74-E785-4FDB-A34F-F05640E5CFDB}"/>
    <cellStyle name="Comma 4 3 3 2 9" xfId="4624" xr:uid="{00000000-0005-0000-0000-000085090000}"/>
    <cellStyle name="Comma 4 3 3 2 9 2" xfId="13053" xr:uid="{217930B9-82D7-4566-B750-E6365E602E2C}"/>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58784BBC-E4B7-4B29-BF9F-99DFEF8FD323}"/>
    <cellStyle name="Comma 4 3 3 3 2 3" xfId="11393" xr:uid="{F1F99FE4-9764-4BD1-8E62-F8526A8D794C}"/>
    <cellStyle name="Comma 4 3 3 3 3" xfId="5037" xr:uid="{00000000-0005-0000-0000-000089090000}"/>
    <cellStyle name="Comma 4 3 3 3 3 2" xfId="13466" xr:uid="{FA65E9A5-6174-4C8E-B36E-7E02AD8566A6}"/>
    <cellStyle name="Comma 4 3 3 3 4" xfId="9248" xr:uid="{39B97D11-13C3-4592-A8C4-C6A50000DA44}"/>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FB6CE61A-DE24-45BB-9154-F6665347F8B5}"/>
    <cellStyle name="Comma 4 3 3 4 2 3" xfId="11806" xr:uid="{6219A79B-C859-4E03-B00C-10CE94144788}"/>
    <cellStyle name="Comma 4 3 3 4 3" xfId="5450" xr:uid="{00000000-0005-0000-0000-00008D090000}"/>
    <cellStyle name="Comma 4 3 3 4 3 2" xfId="13879" xr:uid="{53ACE5E1-7D62-4663-B4E8-324ED7379349}"/>
    <cellStyle name="Comma 4 3 3 4 4" xfId="9661" xr:uid="{64903411-EF36-4A4E-8223-853771802478}"/>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90A914E9-07A4-4445-AE4D-CAAAF9509E30}"/>
    <cellStyle name="Comma 4 3 3 5 2 3" xfId="12219" xr:uid="{666D9CEE-626F-47DF-9ADC-5E4EEFE8437E}"/>
    <cellStyle name="Comma 4 3 3 5 3" xfId="5863" xr:uid="{00000000-0005-0000-0000-000091090000}"/>
    <cellStyle name="Comma 4 3 3 5 3 2" xfId="14292" xr:uid="{F1CA8B5A-A81F-42A7-8E3D-F4190C062A8B}"/>
    <cellStyle name="Comma 4 3 3 5 4" xfId="10074" xr:uid="{D5255C43-4737-4994-A3FA-BAF012004FA7}"/>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050274AE-17FA-414F-9990-CA4CD695C9A3}"/>
    <cellStyle name="Comma 4 3 3 6 2 3" xfId="12632" xr:uid="{5F04AF20-902D-46D3-9366-FA1895B6D223}"/>
    <cellStyle name="Comma 4 3 3 6 3" xfId="6276" xr:uid="{00000000-0005-0000-0000-000095090000}"/>
    <cellStyle name="Comma 4 3 3 6 3 2" xfId="14705" xr:uid="{35107EA6-D22C-4239-B39E-4D95AE66EA14}"/>
    <cellStyle name="Comma 4 3 3 6 4" xfId="10487" xr:uid="{A7DEDD29-D346-4E6B-80DF-8F6D0C21BE63}"/>
    <cellStyle name="Comma 4 3 3 7" xfId="2403" xr:uid="{00000000-0005-0000-0000-000096090000}"/>
    <cellStyle name="Comma 4 3 3 7 2" xfId="6689" xr:uid="{00000000-0005-0000-0000-000097090000}"/>
    <cellStyle name="Comma 4 3 3 7 2 2" xfId="15118" xr:uid="{64BE208E-D616-4E9A-A903-BB01921C6FF5}"/>
    <cellStyle name="Comma 4 3 3 7 3" xfId="10900" xr:uid="{5CBA6369-1DC7-4A3C-990B-5F9EA60708BD}"/>
    <cellStyle name="Comma 4 3 3 8" xfId="2362" xr:uid="{00000000-0005-0000-0000-000098090000}"/>
    <cellStyle name="Comma 4 3 3 9" xfId="2781" xr:uid="{00000000-0005-0000-0000-000099090000}"/>
    <cellStyle name="Comma 4 3 3 9 2" xfId="7006" xr:uid="{00000000-0005-0000-0000-00009A090000}"/>
    <cellStyle name="Comma 4 3 3 9 2 2" xfId="15435" xr:uid="{54951A5A-C98F-4EB2-A305-5B09A39A2961}"/>
    <cellStyle name="Comma 4 3 3 9 3" xfId="11217" xr:uid="{CEBF260A-12A5-46CE-AB99-8603507FDBCC}"/>
    <cellStyle name="Comma 4 3 4" xfId="151" xr:uid="{00000000-0005-0000-0000-00009B090000}"/>
    <cellStyle name="Comma 4 3 4 10" xfId="8836" xr:uid="{20C53164-19D1-41A5-87BB-12AF87C55AF2}"/>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F9012225-3D55-4122-B4BA-2F8D6C264F45}"/>
    <cellStyle name="Comma 4 3 4 2 2 3" xfId="11395" xr:uid="{F342EE5B-42B4-499F-818C-DDC5144B4EB0}"/>
    <cellStyle name="Comma 4 3 4 2 3" xfId="5039" xr:uid="{00000000-0005-0000-0000-00009F090000}"/>
    <cellStyle name="Comma 4 3 4 2 3 2" xfId="13468" xr:uid="{AC509295-AA98-45D0-9A91-0943EC3B077C}"/>
    <cellStyle name="Comma 4 3 4 2 4" xfId="9250" xr:uid="{00D8D64F-A2BD-4612-8A5A-A49AC4C35DD6}"/>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E2D89312-A1FF-4A23-94EA-D0B22A32DE76}"/>
    <cellStyle name="Comma 4 3 4 3 2 3" xfId="11808" xr:uid="{989643DD-8696-414D-8F4F-69DBFED22CFA}"/>
    <cellStyle name="Comma 4 3 4 3 3" xfId="5452" xr:uid="{00000000-0005-0000-0000-0000A3090000}"/>
    <cellStyle name="Comma 4 3 4 3 3 2" xfId="13881" xr:uid="{03E3F296-F068-46B9-9C9A-3872FB341FB5}"/>
    <cellStyle name="Comma 4 3 4 3 4" xfId="9663" xr:uid="{350CC8CA-D59F-42E6-9B7E-4FA30472CBA8}"/>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E5AA998D-F47D-4BED-A983-A1E8AF5A9700}"/>
    <cellStyle name="Comma 4 3 4 4 2 3" xfId="12221" xr:uid="{FD0F024E-9656-47CE-9F70-0D0ADF53E693}"/>
    <cellStyle name="Comma 4 3 4 4 3" xfId="5865" xr:uid="{00000000-0005-0000-0000-0000A7090000}"/>
    <cellStyle name="Comma 4 3 4 4 3 2" xfId="14294" xr:uid="{44F0CB11-C3F8-476F-9A64-B12A2D7F4C2D}"/>
    <cellStyle name="Comma 4 3 4 4 4" xfId="10076" xr:uid="{F783C708-20FF-43CD-8E0C-8D5822A0445B}"/>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BC13D957-3B0D-48DF-AF03-4A2C96D99D07}"/>
    <cellStyle name="Comma 4 3 4 5 2 3" xfId="12634" xr:uid="{1FE02200-4B65-44C5-A648-211E77551458}"/>
    <cellStyle name="Comma 4 3 4 5 3" xfId="6278" xr:uid="{00000000-0005-0000-0000-0000AB090000}"/>
    <cellStyle name="Comma 4 3 4 5 3 2" xfId="14707" xr:uid="{A2ECAF59-2BC3-4B99-B168-31CB3C71AAC7}"/>
    <cellStyle name="Comma 4 3 4 5 4" xfId="10489" xr:uid="{5F3E42DF-B0A5-42A3-BC0C-4E4632F36977}"/>
    <cellStyle name="Comma 4 3 4 6" xfId="2405" xr:uid="{00000000-0005-0000-0000-0000AC090000}"/>
    <cellStyle name="Comma 4 3 4 6 2" xfId="6691" xr:uid="{00000000-0005-0000-0000-0000AD090000}"/>
    <cellStyle name="Comma 4 3 4 6 2 2" xfId="15120" xr:uid="{2EC54EE2-243B-4B32-91FC-B32602D47663}"/>
    <cellStyle name="Comma 4 3 4 6 3" xfId="10902" xr:uid="{10BD1F93-9E33-4699-BC18-1DBB86DA7D7A}"/>
    <cellStyle name="Comma 4 3 4 7" xfId="2701" xr:uid="{00000000-0005-0000-0000-0000AE090000}"/>
    <cellStyle name="Comma 4 3 4 8" xfId="2783" xr:uid="{00000000-0005-0000-0000-0000AF090000}"/>
    <cellStyle name="Comma 4 3 4 8 2" xfId="7008" xr:uid="{00000000-0005-0000-0000-0000B0090000}"/>
    <cellStyle name="Comma 4 3 4 8 2 2" xfId="15437" xr:uid="{02EA1770-FC3F-4D84-9F03-ED1B9308E93B}"/>
    <cellStyle name="Comma 4 3 4 8 3" xfId="11219" xr:uid="{721E6407-37FA-4972-A68D-6604AED4F894}"/>
    <cellStyle name="Comma 4 3 4 9" xfId="4625" xr:uid="{00000000-0005-0000-0000-0000B1090000}"/>
    <cellStyle name="Comma 4 3 4 9 2" xfId="13054" xr:uid="{5D796C35-8BBC-4308-A9B0-BC7B737EB911}"/>
    <cellStyle name="Comma 4 3 5" xfId="152" xr:uid="{00000000-0005-0000-0000-0000B2090000}"/>
    <cellStyle name="Comma 4 3 5 10" xfId="8837" xr:uid="{EF180835-5561-4DE0-9AB1-50F23DC37BE1}"/>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F4606C98-1394-4348-8FB1-D18504CB24A3}"/>
    <cellStyle name="Comma 4 3 5 2 2 3" xfId="11396" xr:uid="{574B631E-77C0-41C6-98E3-51C726178F00}"/>
    <cellStyle name="Comma 4 3 5 2 3" xfId="5040" xr:uid="{00000000-0005-0000-0000-0000B6090000}"/>
    <cellStyle name="Comma 4 3 5 2 3 2" xfId="13469" xr:uid="{D5DDA7C5-1218-4D72-8A9D-A046C2EA8EEC}"/>
    <cellStyle name="Comma 4 3 5 2 4" xfId="9251" xr:uid="{DC0B58D6-A1EB-4553-86B2-6C5703DBAAE8}"/>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1C77987F-B02F-4419-8FB3-C7AAE50E960E}"/>
    <cellStyle name="Comma 4 3 5 3 2 3" xfId="11809" xr:uid="{34725596-9707-441D-8328-4846189D9483}"/>
    <cellStyle name="Comma 4 3 5 3 3" xfId="5453" xr:uid="{00000000-0005-0000-0000-0000BA090000}"/>
    <cellStyle name="Comma 4 3 5 3 3 2" xfId="13882" xr:uid="{8455C873-B975-4EEF-9D85-89A24401E0B6}"/>
    <cellStyle name="Comma 4 3 5 3 4" xfId="9664" xr:uid="{A6218697-3D62-4002-96A7-DE4EF439E2FD}"/>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66B98771-69F2-4BAD-941D-4EBE930BE82E}"/>
    <cellStyle name="Comma 4 3 5 4 2 3" xfId="12222" xr:uid="{0D966A8D-0733-467C-BB96-A1EDA970A0CD}"/>
    <cellStyle name="Comma 4 3 5 4 3" xfId="5866" xr:uid="{00000000-0005-0000-0000-0000BE090000}"/>
    <cellStyle name="Comma 4 3 5 4 3 2" xfId="14295" xr:uid="{8548F504-E89E-4644-A511-0CBB105EE9BC}"/>
    <cellStyle name="Comma 4 3 5 4 4" xfId="10077" xr:uid="{2B7D1864-E5CA-43E4-9624-D6071A0090B3}"/>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59A78577-6C04-4CB0-A154-64708B3FF862}"/>
    <cellStyle name="Comma 4 3 5 5 2 3" xfId="12635" xr:uid="{BB271556-9409-4FDF-A4BE-9180B7957FC1}"/>
    <cellStyle name="Comma 4 3 5 5 3" xfId="6279" xr:uid="{00000000-0005-0000-0000-0000C2090000}"/>
    <cellStyle name="Comma 4 3 5 5 3 2" xfId="14708" xr:uid="{B12C197E-9158-40D8-8595-CD7FD31F841A}"/>
    <cellStyle name="Comma 4 3 5 5 4" xfId="10490" xr:uid="{B6B02293-C581-4806-8EFC-9E6A4FC29649}"/>
    <cellStyle name="Comma 4 3 5 6" xfId="2406" xr:uid="{00000000-0005-0000-0000-0000C3090000}"/>
    <cellStyle name="Comma 4 3 5 6 2" xfId="6692" xr:uid="{00000000-0005-0000-0000-0000C4090000}"/>
    <cellStyle name="Comma 4 3 5 6 2 2" xfId="15121" xr:uid="{A8E1C766-1964-423D-AA18-4EFCE01E0C9C}"/>
    <cellStyle name="Comma 4 3 5 6 3" xfId="10903" xr:uid="{42666395-8D57-4202-B70B-F8B1AF8ADD0E}"/>
    <cellStyle name="Comma 4 3 5 7" xfId="2702" xr:uid="{00000000-0005-0000-0000-0000C5090000}"/>
    <cellStyle name="Comma 4 3 5 8" xfId="2784" xr:uid="{00000000-0005-0000-0000-0000C6090000}"/>
    <cellStyle name="Comma 4 3 5 8 2" xfId="7009" xr:uid="{00000000-0005-0000-0000-0000C7090000}"/>
    <cellStyle name="Comma 4 3 5 8 2 2" xfId="15438" xr:uid="{0EBE92F6-A8CB-46E9-879A-03A0FBDCBFFA}"/>
    <cellStyle name="Comma 4 3 5 8 3" xfId="11220" xr:uid="{BEC0D891-DCD9-4A8B-BEB9-F90FCF8B187E}"/>
    <cellStyle name="Comma 4 3 5 9" xfId="4626" xr:uid="{00000000-0005-0000-0000-0000C8090000}"/>
    <cellStyle name="Comma 4 3 5 9 2" xfId="13055" xr:uid="{720D705A-A5DC-4CCE-A6F0-74EB321830AE}"/>
    <cellStyle name="Comma 4 4" xfId="153" xr:uid="{00000000-0005-0000-0000-0000C9090000}"/>
    <cellStyle name="Comma 4 4 10" xfId="2785" xr:uid="{00000000-0005-0000-0000-0000CA090000}"/>
    <cellStyle name="Comma 4 4 10 2" xfId="7010" xr:uid="{00000000-0005-0000-0000-0000CB090000}"/>
    <cellStyle name="Comma 4 4 10 2 2" xfId="15439" xr:uid="{4CA51B98-EEB7-484D-8A72-D0D08BD05787}"/>
    <cellStyle name="Comma 4 4 10 3" xfId="11221" xr:uid="{47F046AD-E3A5-47DD-B7F6-D82E0A0A413B}"/>
    <cellStyle name="Comma 4 4 11" xfId="4627" xr:uid="{00000000-0005-0000-0000-0000CC090000}"/>
    <cellStyle name="Comma 4 4 11 2" xfId="13056" xr:uid="{29C64B12-8EF2-433D-A119-A4519B7FE7FF}"/>
    <cellStyle name="Comma 4 4 12" xfId="8838" xr:uid="{FE27B380-C6E8-40C4-9E4D-00C42D67FC54}"/>
    <cellStyle name="Comma 4 4 2" xfId="154" xr:uid="{00000000-0005-0000-0000-0000CD090000}"/>
    <cellStyle name="Comma 4 4 2 10" xfId="4628" xr:uid="{00000000-0005-0000-0000-0000CE090000}"/>
    <cellStyle name="Comma 4 4 2 10 2" xfId="13057" xr:uid="{E733C2B4-58FA-4AC7-90D0-161B53545FCA}"/>
    <cellStyle name="Comma 4 4 2 11" xfId="8839" xr:uid="{748C0DD3-2D96-4BE6-84F5-663B470AD8E2}"/>
    <cellStyle name="Comma 4 4 2 2" xfId="155" xr:uid="{00000000-0005-0000-0000-0000CF090000}"/>
    <cellStyle name="Comma 4 4 2 2 10" xfId="8840" xr:uid="{09B9D797-3CDE-44E2-9368-26FC204D7B5A}"/>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07D7210F-1B5F-4C8F-B4BF-8F00DBD2230D}"/>
    <cellStyle name="Comma 4 4 2 2 2 2 3" xfId="11399" xr:uid="{CB3F48A9-9782-448D-9633-D95FC4210449}"/>
    <cellStyle name="Comma 4 4 2 2 2 3" xfId="5043" xr:uid="{00000000-0005-0000-0000-0000D3090000}"/>
    <cellStyle name="Comma 4 4 2 2 2 3 2" xfId="13472" xr:uid="{E1D7BAE0-FC5D-4B64-A202-7C3275520E5B}"/>
    <cellStyle name="Comma 4 4 2 2 2 4" xfId="9254" xr:uid="{6C714E07-D767-46F2-9A08-4A83109EE144}"/>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F177EE1-069A-49DE-AC74-BF5724514E10}"/>
    <cellStyle name="Comma 4 4 2 2 3 2 3" xfId="11812" xr:uid="{251DB196-C924-438B-85B7-166E11D0E79B}"/>
    <cellStyle name="Comma 4 4 2 2 3 3" xfId="5456" xr:uid="{00000000-0005-0000-0000-0000D7090000}"/>
    <cellStyle name="Comma 4 4 2 2 3 3 2" xfId="13885" xr:uid="{E34C7B42-68C9-470B-836B-6E47D327F1AE}"/>
    <cellStyle name="Comma 4 4 2 2 3 4" xfId="9667" xr:uid="{B15DA1D1-5213-4298-9FE0-39FE37B98A20}"/>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1D4C7E53-B022-402C-A556-B2D18BCCC8D8}"/>
    <cellStyle name="Comma 4 4 2 2 4 2 3" xfId="12225" xr:uid="{F6FDBFF2-215A-4CA0-BFB5-2C6ED66991C2}"/>
    <cellStyle name="Comma 4 4 2 2 4 3" xfId="5869" xr:uid="{00000000-0005-0000-0000-0000DB090000}"/>
    <cellStyle name="Comma 4 4 2 2 4 3 2" xfId="14298" xr:uid="{BBB25720-1967-4092-91A5-8087A5156A32}"/>
    <cellStyle name="Comma 4 4 2 2 4 4" xfId="10080" xr:uid="{601A066B-1FE4-4E89-BDD5-60BA309BD585}"/>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B87C48A2-9C67-46EB-9A7D-5246871E332A}"/>
    <cellStyle name="Comma 4 4 2 2 5 2 3" xfId="12638" xr:uid="{7703715C-E26E-409E-B1F2-123C58D988BE}"/>
    <cellStyle name="Comma 4 4 2 2 5 3" xfId="6282" xr:uid="{00000000-0005-0000-0000-0000DF090000}"/>
    <cellStyle name="Comma 4 4 2 2 5 3 2" xfId="14711" xr:uid="{70EF3B6B-3453-445E-B196-D15322F4C76A}"/>
    <cellStyle name="Comma 4 4 2 2 5 4" xfId="10493" xr:uid="{9188E1D6-48DC-41E9-94E7-F1C9148614E8}"/>
    <cellStyle name="Comma 4 4 2 2 6" xfId="2409" xr:uid="{00000000-0005-0000-0000-0000E0090000}"/>
    <cellStyle name="Comma 4 4 2 2 6 2" xfId="6695" xr:uid="{00000000-0005-0000-0000-0000E1090000}"/>
    <cellStyle name="Comma 4 4 2 2 6 2 2" xfId="15124" xr:uid="{B5BD8C30-F634-443E-8B8C-8334AE2C1F11}"/>
    <cellStyle name="Comma 4 4 2 2 6 3" xfId="10906" xr:uid="{95C2BCF8-A8CE-4043-A963-7DD1054E85C9}"/>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DE5A351A-CFAE-4464-9BF8-DD8ED960CDD4}"/>
    <cellStyle name="Comma 4 4 2 2 8 3" xfId="11223" xr:uid="{1B22722C-6AD1-4353-A037-22D83172D666}"/>
    <cellStyle name="Comma 4 4 2 2 9" xfId="4629" xr:uid="{00000000-0005-0000-0000-0000E5090000}"/>
    <cellStyle name="Comma 4 4 2 2 9 2" xfId="13058" xr:uid="{E95CB8BA-7AD0-4079-A4D0-2C681BAED7AD}"/>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255F5273-6E42-4503-9C99-4096E0A2F612}"/>
    <cellStyle name="Comma 4 4 2 3 2 3" xfId="11398" xr:uid="{F7C79A08-4090-4773-998D-9068FA257F0C}"/>
    <cellStyle name="Comma 4 4 2 3 3" xfId="5042" xr:uid="{00000000-0005-0000-0000-0000E9090000}"/>
    <cellStyle name="Comma 4 4 2 3 3 2" xfId="13471" xr:uid="{5B482D6D-49CF-4D2A-BD1F-520936AF2B3C}"/>
    <cellStyle name="Comma 4 4 2 3 4" xfId="9253" xr:uid="{8F33DE63-3BB1-4E87-9BB9-FD5DCAE0AAD9}"/>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541EB689-9C46-4538-9A2E-1B64F32C03B3}"/>
    <cellStyle name="Comma 4 4 2 4 2 3" xfId="11811" xr:uid="{C9DA9971-6E23-480E-A70D-DBFD65513BE5}"/>
    <cellStyle name="Comma 4 4 2 4 3" xfId="5455" xr:uid="{00000000-0005-0000-0000-0000ED090000}"/>
    <cellStyle name="Comma 4 4 2 4 3 2" xfId="13884" xr:uid="{FA7E1BBD-48A6-424F-9102-1174E04A7F11}"/>
    <cellStyle name="Comma 4 4 2 4 4" xfId="9666" xr:uid="{CB60DEBE-9B91-48B7-B618-0BF843EFF4BE}"/>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7F065FDF-3B28-42C7-9CAC-A7CC242EC338}"/>
    <cellStyle name="Comma 4 4 2 5 2 3" xfId="12224" xr:uid="{0C670155-BEF1-4DA2-A24E-E161257A3513}"/>
    <cellStyle name="Comma 4 4 2 5 3" xfId="5868" xr:uid="{00000000-0005-0000-0000-0000F1090000}"/>
    <cellStyle name="Comma 4 4 2 5 3 2" xfId="14297" xr:uid="{013C44CF-0E68-468D-A0A2-F4C4F6473959}"/>
    <cellStyle name="Comma 4 4 2 5 4" xfId="10079" xr:uid="{6708C1FB-32F8-44D0-B0CC-458138699584}"/>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A917C23B-9937-4355-B5C3-03EA0705FD9E}"/>
    <cellStyle name="Comma 4 4 2 6 2 3" xfId="12637" xr:uid="{FF2859E6-8505-4BCA-92F1-ED42A0566978}"/>
    <cellStyle name="Comma 4 4 2 6 3" xfId="6281" xr:uid="{00000000-0005-0000-0000-0000F5090000}"/>
    <cellStyle name="Comma 4 4 2 6 3 2" xfId="14710" xr:uid="{B6C93620-9563-41E2-A821-A926CCF23625}"/>
    <cellStyle name="Comma 4 4 2 6 4" xfId="10492" xr:uid="{EEF2D7E6-F411-4A7B-BF44-169D93783B84}"/>
    <cellStyle name="Comma 4 4 2 7" xfId="2408" xr:uid="{00000000-0005-0000-0000-0000F6090000}"/>
    <cellStyle name="Comma 4 4 2 7 2" xfId="6694" xr:uid="{00000000-0005-0000-0000-0000F7090000}"/>
    <cellStyle name="Comma 4 4 2 7 2 2" xfId="15123" xr:uid="{6AC0B3BA-408F-4812-B973-21C38586DD97}"/>
    <cellStyle name="Comma 4 4 2 7 3" xfId="10905" xr:uid="{B03D8F7E-BDEF-4F14-B72E-C0E4FBCBB75F}"/>
    <cellStyle name="Comma 4 4 2 8" xfId="2704" xr:uid="{00000000-0005-0000-0000-0000F8090000}"/>
    <cellStyle name="Comma 4 4 2 9" xfId="2786" xr:uid="{00000000-0005-0000-0000-0000F9090000}"/>
    <cellStyle name="Comma 4 4 2 9 2" xfId="7011" xr:uid="{00000000-0005-0000-0000-0000FA090000}"/>
    <cellStyle name="Comma 4 4 2 9 2 2" xfId="15440" xr:uid="{0C8F6C88-68C0-4C0D-915C-2D91399DF140}"/>
    <cellStyle name="Comma 4 4 2 9 3" xfId="11222" xr:uid="{8418EEFA-0562-457F-BF07-6441BA346A25}"/>
    <cellStyle name="Comma 4 4 3" xfId="156" xr:uid="{00000000-0005-0000-0000-0000FB090000}"/>
    <cellStyle name="Comma 4 4 3 10" xfId="8841" xr:uid="{4F4B6848-2BE5-4571-9259-50635EF4D06C}"/>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122B2D31-D87E-4B34-A61F-AB3C70E87A49}"/>
    <cellStyle name="Comma 4 4 3 2 2 3" xfId="11400" xr:uid="{B0A6D9C6-A728-401F-9286-C1D8D404B408}"/>
    <cellStyle name="Comma 4 4 3 2 3" xfId="5044" xr:uid="{00000000-0005-0000-0000-0000FF090000}"/>
    <cellStyle name="Comma 4 4 3 2 3 2" xfId="13473" xr:uid="{CF8D944F-A0B5-48FB-9138-80FA48CD96FA}"/>
    <cellStyle name="Comma 4 4 3 2 4" xfId="9255" xr:uid="{9F5EFB11-3C59-4F49-968D-0C8582D1E71C}"/>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DF419991-036C-4701-A7A2-25426A1F2B0A}"/>
    <cellStyle name="Comma 4 4 3 3 2 3" xfId="11813" xr:uid="{0884E46A-66DF-45C5-8162-74F3FA993789}"/>
    <cellStyle name="Comma 4 4 3 3 3" xfId="5457" xr:uid="{00000000-0005-0000-0000-0000030A0000}"/>
    <cellStyle name="Comma 4 4 3 3 3 2" xfId="13886" xr:uid="{B9C7C919-1CDE-4F11-9166-87331BFCE5E3}"/>
    <cellStyle name="Comma 4 4 3 3 4" xfId="9668" xr:uid="{F9C7AA18-4A61-4293-ADBA-A6C3C019D5B8}"/>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7103F027-5399-4D2D-8A4B-7CFAD4AA88FA}"/>
    <cellStyle name="Comma 4 4 3 4 2 3" xfId="12226" xr:uid="{FDA3ACE0-8878-4624-A079-3969FA958141}"/>
    <cellStyle name="Comma 4 4 3 4 3" xfId="5870" xr:uid="{00000000-0005-0000-0000-0000070A0000}"/>
    <cellStyle name="Comma 4 4 3 4 3 2" xfId="14299" xr:uid="{22725FA4-58FA-4A8D-BC88-003E3CC85E85}"/>
    <cellStyle name="Comma 4 4 3 4 4" xfId="10081" xr:uid="{CAAB36E3-4797-48F6-9AE3-8D715170925F}"/>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DAD13C1-FF25-4B4A-B571-33D776BD7595}"/>
    <cellStyle name="Comma 4 4 3 5 2 3" xfId="12639" xr:uid="{72A29FDA-4DFD-4C06-9405-BD55D7329A19}"/>
    <cellStyle name="Comma 4 4 3 5 3" xfId="6283" xr:uid="{00000000-0005-0000-0000-00000B0A0000}"/>
    <cellStyle name="Comma 4 4 3 5 3 2" xfId="14712" xr:uid="{75CC8377-F625-4287-B1FA-D0F61FE36E29}"/>
    <cellStyle name="Comma 4 4 3 5 4" xfId="10494" xr:uid="{86DC0311-BC3B-4C7E-9E18-A68B7CA1AF91}"/>
    <cellStyle name="Comma 4 4 3 6" xfId="2410" xr:uid="{00000000-0005-0000-0000-00000C0A0000}"/>
    <cellStyle name="Comma 4 4 3 6 2" xfId="6696" xr:uid="{00000000-0005-0000-0000-00000D0A0000}"/>
    <cellStyle name="Comma 4 4 3 6 2 2" xfId="15125" xr:uid="{A7906D50-A16A-4721-B883-347A56918DAF}"/>
    <cellStyle name="Comma 4 4 3 6 3" xfId="10907" xr:uid="{7F494025-10C4-4F5E-B151-0C34C1E73BE9}"/>
    <cellStyle name="Comma 4 4 3 7" xfId="2706" xr:uid="{00000000-0005-0000-0000-00000E0A0000}"/>
    <cellStyle name="Comma 4 4 3 8" xfId="2788" xr:uid="{00000000-0005-0000-0000-00000F0A0000}"/>
    <cellStyle name="Comma 4 4 3 8 2" xfId="7013" xr:uid="{00000000-0005-0000-0000-0000100A0000}"/>
    <cellStyle name="Comma 4 4 3 8 2 2" xfId="15442" xr:uid="{60D9E837-09B6-4091-9D15-77E073A1AA32}"/>
    <cellStyle name="Comma 4 4 3 8 3" xfId="11224" xr:uid="{990BCADF-C760-4872-9CCC-E88D700A331F}"/>
    <cellStyle name="Comma 4 4 3 9" xfId="4630" xr:uid="{00000000-0005-0000-0000-0000110A0000}"/>
    <cellStyle name="Comma 4 4 3 9 2" xfId="13059" xr:uid="{A4DCEE98-FE3A-4F0F-8385-255DE4298525}"/>
    <cellStyle name="Comma 4 4 4" xfId="691" xr:uid="{00000000-0005-0000-0000-0000120A0000}"/>
    <cellStyle name="Comma 4 4 4 2" xfId="2962" xr:uid="{00000000-0005-0000-0000-0000130A0000}"/>
    <cellStyle name="Comma 4 4 4 2 2" xfId="7186" xr:uid="{00000000-0005-0000-0000-0000140A0000}"/>
    <cellStyle name="Comma 4 4 4 2 2 2" xfId="15615" xr:uid="{FF47DF03-E42B-4B03-AFC4-D6774C759EC5}"/>
    <cellStyle name="Comma 4 4 4 2 3" xfId="11397" xr:uid="{953C9C9B-6833-4859-A7EF-D097FA03A096}"/>
    <cellStyle name="Comma 4 4 4 3" xfId="5041" xr:uid="{00000000-0005-0000-0000-0000150A0000}"/>
    <cellStyle name="Comma 4 4 4 3 2" xfId="13470" xr:uid="{F96F837F-9D4A-4853-BA9D-30DD1CAAA98C}"/>
    <cellStyle name="Comma 4 4 4 4" xfId="9252" xr:uid="{52F2E35C-8AB0-4212-A588-565D4E61BEC4}"/>
    <cellStyle name="Comma 4 4 5" xfId="1144" xr:uid="{00000000-0005-0000-0000-0000160A0000}"/>
    <cellStyle name="Comma 4 4 5 2" xfId="3375" xr:uid="{00000000-0005-0000-0000-0000170A0000}"/>
    <cellStyle name="Comma 4 4 5 2 2" xfId="7599" xr:uid="{00000000-0005-0000-0000-0000180A0000}"/>
    <cellStyle name="Comma 4 4 5 2 2 2" xfId="16028" xr:uid="{1168DCB2-E9E2-489D-B831-BF803431C96C}"/>
    <cellStyle name="Comma 4 4 5 2 3" xfId="11810" xr:uid="{EE8357A9-FD8C-41BE-BD3D-DCC6A32D1A8E}"/>
    <cellStyle name="Comma 4 4 5 3" xfId="5454" xr:uid="{00000000-0005-0000-0000-0000190A0000}"/>
    <cellStyle name="Comma 4 4 5 3 2" xfId="13883" xr:uid="{80AAA829-A067-46F5-A0A1-C4FD29508438}"/>
    <cellStyle name="Comma 4 4 5 4" xfId="9665" xr:uid="{F6DB1EEF-32E0-44A2-8F3F-8D3D03694807}"/>
    <cellStyle name="Comma 4 4 6" xfId="1558" xr:uid="{00000000-0005-0000-0000-00001A0A0000}"/>
    <cellStyle name="Comma 4 4 6 2" xfId="3788" xr:uid="{00000000-0005-0000-0000-00001B0A0000}"/>
    <cellStyle name="Comma 4 4 6 2 2" xfId="8012" xr:uid="{00000000-0005-0000-0000-00001C0A0000}"/>
    <cellStyle name="Comma 4 4 6 2 2 2" xfId="16441" xr:uid="{F0EB5107-A395-459A-967A-BBBAF8758A46}"/>
    <cellStyle name="Comma 4 4 6 2 3" xfId="12223" xr:uid="{2BA4882C-1137-4BA8-91E7-9F19A0767039}"/>
    <cellStyle name="Comma 4 4 6 3" xfId="5867" xr:uid="{00000000-0005-0000-0000-00001D0A0000}"/>
    <cellStyle name="Comma 4 4 6 3 2" xfId="14296" xr:uid="{26BA5BAD-349C-4F72-B616-AA1ED4E588FD}"/>
    <cellStyle name="Comma 4 4 6 4" xfId="10078" xr:uid="{D8F632EB-C612-4543-BD67-DACF4220402F}"/>
    <cellStyle name="Comma 4 4 7" xfId="1972" xr:uid="{00000000-0005-0000-0000-00001E0A0000}"/>
    <cellStyle name="Comma 4 4 7 2" xfId="4201" xr:uid="{00000000-0005-0000-0000-00001F0A0000}"/>
    <cellStyle name="Comma 4 4 7 2 2" xfId="8425" xr:uid="{00000000-0005-0000-0000-0000200A0000}"/>
    <cellStyle name="Comma 4 4 7 2 2 2" xfId="16854" xr:uid="{F83C3869-A694-42A4-B86C-EC2296E06B27}"/>
    <cellStyle name="Comma 4 4 7 2 3" xfId="12636" xr:uid="{937B6F0E-F097-4033-976C-93DE29BE9346}"/>
    <cellStyle name="Comma 4 4 7 3" xfId="6280" xr:uid="{00000000-0005-0000-0000-0000210A0000}"/>
    <cellStyle name="Comma 4 4 7 3 2" xfId="14709" xr:uid="{9919A73F-8535-4CC6-B3D6-B60519BA5198}"/>
    <cellStyle name="Comma 4 4 7 4" xfId="10491" xr:uid="{6BBC561C-A220-480C-AE77-69D04DD9BC08}"/>
    <cellStyle name="Comma 4 4 8" xfId="2407" xr:uid="{00000000-0005-0000-0000-0000220A0000}"/>
    <cellStyle name="Comma 4 4 8 2" xfId="6693" xr:uid="{00000000-0005-0000-0000-0000230A0000}"/>
    <cellStyle name="Comma 4 4 8 2 2" xfId="15122" xr:uid="{18271081-25A2-48E6-BB8D-5EABACE3CA2A}"/>
    <cellStyle name="Comma 4 4 8 3" xfId="10904" xr:uid="{D4752D4F-3791-4987-A4DF-9E34404BE98A}"/>
    <cellStyle name="Comma 4 4 9" xfId="2703" xr:uid="{00000000-0005-0000-0000-0000240A0000}"/>
    <cellStyle name="Comma 4 5" xfId="157" xr:uid="{00000000-0005-0000-0000-0000250A0000}"/>
    <cellStyle name="Comma 4 5 10" xfId="4631" xr:uid="{00000000-0005-0000-0000-0000260A0000}"/>
    <cellStyle name="Comma 4 5 10 2" xfId="13060" xr:uid="{63300751-DA07-40F5-84DC-8AD8D5783747}"/>
    <cellStyle name="Comma 4 5 11" xfId="8842" xr:uid="{0F31702B-DED9-4731-AEA2-688ADFF8EE9E}"/>
    <cellStyle name="Comma 4 5 2" xfId="158" xr:uid="{00000000-0005-0000-0000-0000270A0000}"/>
    <cellStyle name="Comma 4 5 2 10" xfId="8843" xr:uid="{D12FF2B4-CFEF-4114-AA3A-DB1A3BBBF985}"/>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05B9E539-5449-4643-AFE8-05C9C0E1644F}"/>
    <cellStyle name="Comma 4 5 2 2 2 3" xfId="11402" xr:uid="{33EFABC3-811B-4046-BD1D-2ADE6EF58BF2}"/>
    <cellStyle name="Comma 4 5 2 2 3" xfId="5046" xr:uid="{00000000-0005-0000-0000-00002B0A0000}"/>
    <cellStyle name="Comma 4 5 2 2 3 2" xfId="13475" xr:uid="{D5C9D8A4-3BC6-414C-8A23-494BD4D5DB80}"/>
    <cellStyle name="Comma 4 5 2 2 4" xfId="9257" xr:uid="{C93750AB-5E52-4BA0-A205-09881BB6E7EA}"/>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7603E6A3-B74D-4E27-A0FB-C570982732F4}"/>
    <cellStyle name="Comma 4 5 2 3 2 3" xfId="11815" xr:uid="{072DB5B0-2EDA-4E21-9D22-F00A658435D4}"/>
    <cellStyle name="Comma 4 5 2 3 3" xfId="5459" xr:uid="{00000000-0005-0000-0000-00002F0A0000}"/>
    <cellStyle name="Comma 4 5 2 3 3 2" xfId="13888" xr:uid="{DA078E6D-38AD-45DB-9CDD-CD25F59446EF}"/>
    <cellStyle name="Comma 4 5 2 3 4" xfId="9670" xr:uid="{A3C05EB6-1F9B-4642-839F-156D60F818A2}"/>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91FDF866-E9BA-4C9B-A454-CDFE050796C5}"/>
    <cellStyle name="Comma 4 5 2 4 2 3" xfId="12228" xr:uid="{330BC96F-3823-4A18-A87F-BCC6CE8323E4}"/>
    <cellStyle name="Comma 4 5 2 4 3" xfId="5872" xr:uid="{00000000-0005-0000-0000-0000330A0000}"/>
    <cellStyle name="Comma 4 5 2 4 3 2" xfId="14301" xr:uid="{13CB9A8D-7A03-415E-8A14-C69A784F807D}"/>
    <cellStyle name="Comma 4 5 2 4 4" xfId="10083" xr:uid="{42296776-0475-4991-90C5-C70CBE23BFCB}"/>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7BF8D706-560A-45E0-88C4-998491BCDACE}"/>
    <cellStyle name="Comma 4 5 2 5 2 3" xfId="12641" xr:uid="{D0FF4FAE-0A0F-45B3-A2D6-571D6D5E5281}"/>
    <cellStyle name="Comma 4 5 2 5 3" xfId="6285" xr:uid="{00000000-0005-0000-0000-0000370A0000}"/>
    <cellStyle name="Comma 4 5 2 5 3 2" xfId="14714" xr:uid="{42A542C4-DAFE-4991-AF82-E6F2ED51A188}"/>
    <cellStyle name="Comma 4 5 2 5 4" xfId="10496" xr:uid="{4CCB39F6-8E89-4BE9-8DDD-735817449C1E}"/>
    <cellStyle name="Comma 4 5 2 6" xfId="2412" xr:uid="{00000000-0005-0000-0000-0000380A0000}"/>
    <cellStyle name="Comma 4 5 2 6 2" xfId="6698" xr:uid="{00000000-0005-0000-0000-0000390A0000}"/>
    <cellStyle name="Comma 4 5 2 6 2 2" xfId="15127" xr:uid="{36B4219F-8450-4AE0-81AB-263652F02D23}"/>
    <cellStyle name="Comma 4 5 2 6 3" xfId="10909" xr:uid="{C10881E4-31B7-4095-A994-8C6785D68B87}"/>
    <cellStyle name="Comma 4 5 2 7" xfId="2708" xr:uid="{00000000-0005-0000-0000-00003A0A0000}"/>
    <cellStyle name="Comma 4 5 2 8" xfId="2790" xr:uid="{00000000-0005-0000-0000-00003B0A0000}"/>
    <cellStyle name="Comma 4 5 2 8 2" xfId="7015" xr:uid="{00000000-0005-0000-0000-00003C0A0000}"/>
    <cellStyle name="Comma 4 5 2 8 2 2" xfId="15444" xr:uid="{2A87150C-8015-4447-A6CB-68C1E3836217}"/>
    <cellStyle name="Comma 4 5 2 8 3" xfId="11226" xr:uid="{5F39242A-203F-4C66-A3B5-2805230EB12B}"/>
    <cellStyle name="Comma 4 5 2 9" xfId="4632" xr:uid="{00000000-0005-0000-0000-00003D0A0000}"/>
    <cellStyle name="Comma 4 5 2 9 2" xfId="13061" xr:uid="{2831CFD9-3AB5-47C8-88EB-FB629BB90369}"/>
    <cellStyle name="Comma 4 5 3" xfId="695" xr:uid="{00000000-0005-0000-0000-00003E0A0000}"/>
    <cellStyle name="Comma 4 5 3 2" xfId="2966" xr:uid="{00000000-0005-0000-0000-00003F0A0000}"/>
    <cellStyle name="Comma 4 5 3 2 2" xfId="7190" xr:uid="{00000000-0005-0000-0000-0000400A0000}"/>
    <cellStyle name="Comma 4 5 3 2 2 2" xfId="15619" xr:uid="{F72EB320-151A-4262-8BFE-0A4FF49AC669}"/>
    <cellStyle name="Comma 4 5 3 2 3" xfId="11401" xr:uid="{24F9BFC3-D159-451F-99CB-0D39D80E96DC}"/>
    <cellStyle name="Comma 4 5 3 3" xfId="5045" xr:uid="{00000000-0005-0000-0000-0000410A0000}"/>
    <cellStyle name="Comma 4 5 3 3 2" xfId="13474" xr:uid="{9CFDD439-546D-4041-83A7-AA78146F8F7A}"/>
    <cellStyle name="Comma 4 5 3 4" xfId="9256" xr:uid="{1492DAD2-FDBA-4813-AD88-BDBF1A9A8006}"/>
    <cellStyle name="Comma 4 5 4" xfId="1148" xr:uid="{00000000-0005-0000-0000-0000420A0000}"/>
    <cellStyle name="Comma 4 5 4 2" xfId="3379" xr:uid="{00000000-0005-0000-0000-0000430A0000}"/>
    <cellStyle name="Comma 4 5 4 2 2" xfId="7603" xr:uid="{00000000-0005-0000-0000-0000440A0000}"/>
    <cellStyle name="Comma 4 5 4 2 2 2" xfId="16032" xr:uid="{ADCB9C8D-6D13-48C6-A037-C81BE60E814C}"/>
    <cellStyle name="Comma 4 5 4 2 3" xfId="11814" xr:uid="{FF2289A4-8219-40D9-8B74-1ADCC4476C0D}"/>
    <cellStyle name="Comma 4 5 4 3" xfId="5458" xr:uid="{00000000-0005-0000-0000-0000450A0000}"/>
    <cellStyle name="Comma 4 5 4 3 2" xfId="13887" xr:uid="{3E2B0E1C-CB68-46FC-8159-F80EBBDB0E49}"/>
    <cellStyle name="Comma 4 5 4 4" xfId="9669" xr:uid="{51D70DFA-8765-4EF6-86CD-E5D178D3F0FB}"/>
    <cellStyle name="Comma 4 5 5" xfId="1562" xr:uid="{00000000-0005-0000-0000-0000460A0000}"/>
    <cellStyle name="Comma 4 5 5 2" xfId="3792" xr:uid="{00000000-0005-0000-0000-0000470A0000}"/>
    <cellStyle name="Comma 4 5 5 2 2" xfId="8016" xr:uid="{00000000-0005-0000-0000-0000480A0000}"/>
    <cellStyle name="Comma 4 5 5 2 2 2" xfId="16445" xr:uid="{0A545F78-80C2-4394-A4C3-E820366A51D2}"/>
    <cellStyle name="Comma 4 5 5 2 3" xfId="12227" xr:uid="{863002AD-9070-42E7-843D-2C7B76D81FC6}"/>
    <cellStyle name="Comma 4 5 5 3" xfId="5871" xr:uid="{00000000-0005-0000-0000-0000490A0000}"/>
    <cellStyle name="Comma 4 5 5 3 2" xfId="14300" xr:uid="{FA6EA9D9-F5A8-4C6B-A77C-7C7D893F5939}"/>
    <cellStyle name="Comma 4 5 5 4" xfId="10082" xr:uid="{37B511AC-6EB8-460F-ACB9-070D21E82879}"/>
    <cellStyle name="Comma 4 5 6" xfId="1976" xr:uid="{00000000-0005-0000-0000-00004A0A0000}"/>
    <cellStyle name="Comma 4 5 6 2" xfId="4205" xr:uid="{00000000-0005-0000-0000-00004B0A0000}"/>
    <cellStyle name="Comma 4 5 6 2 2" xfId="8429" xr:uid="{00000000-0005-0000-0000-00004C0A0000}"/>
    <cellStyle name="Comma 4 5 6 2 2 2" xfId="16858" xr:uid="{48385954-2E43-4EFA-9399-F855D3B088A7}"/>
    <cellStyle name="Comma 4 5 6 2 3" xfId="12640" xr:uid="{D26D8FE8-EEA4-4220-87A3-63DE19A95BF6}"/>
    <cellStyle name="Comma 4 5 6 3" xfId="6284" xr:uid="{00000000-0005-0000-0000-00004D0A0000}"/>
    <cellStyle name="Comma 4 5 6 3 2" xfId="14713" xr:uid="{F36B477C-7B53-476F-80A4-0BD7462B617D}"/>
    <cellStyle name="Comma 4 5 6 4" xfId="10495" xr:uid="{C164A24D-4E19-4A2B-B186-03470E78C712}"/>
    <cellStyle name="Comma 4 5 7" xfId="2411" xr:uid="{00000000-0005-0000-0000-00004E0A0000}"/>
    <cellStyle name="Comma 4 5 7 2" xfId="6697" xr:uid="{00000000-0005-0000-0000-00004F0A0000}"/>
    <cellStyle name="Comma 4 5 7 2 2" xfId="15126" xr:uid="{85E0F6E3-52D4-4147-9832-6F7FEC712A60}"/>
    <cellStyle name="Comma 4 5 7 3" xfId="10908" xr:uid="{228A56CB-9748-4033-B63C-0EB23CF40524}"/>
    <cellStyle name="Comma 4 5 8" xfId="2707" xr:uid="{00000000-0005-0000-0000-0000500A0000}"/>
    <cellStyle name="Comma 4 5 9" xfId="2789" xr:uid="{00000000-0005-0000-0000-0000510A0000}"/>
    <cellStyle name="Comma 4 5 9 2" xfId="7014" xr:uid="{00000000-0005-0000-0000-0000520A0000}"/>
    <cellStyle name="Comma 4 5 9 2 2" xfId="15443" xr:uid="{9A13B6CA-F914-4E60-AB7E-1D699BBCD88F}"/>
    <cellStyle name="Comma 4 5 9 3" xfId="11225" xr:uid="{DCD5B50B-2EAA-41AB-BD73-BA2D2451A9D9}"/>
    <cellStyle name="Comma 4 6" xfId="159" xr:uid="{00000000-0005-0000-0000-0000530A0000}"/>
    <cellStyle name="Comma 4 6 10" xfId="8844" xr:uid="{BB6E2CAF-72AB-4C0B-B2AD-AEAC28920D4E}"/>
    <cellStyle name="Comma 4 6 2" xfId="697" xr:uid="{00000000-0005-0000-0000-0000540A0000}"/>
    <cellStyle name="Comma 4 6 2 2" xfId="2968" xr:uid="{00000000-0005-0000-0000-0000550A0000}"/>
    <cellStyle name="Comma 4 6 2 2 2" xfId="7192" xr:uid="{00000000-0005-0000-0000-0000560A0000}"/>
    <cellStyle name="Comma 4 6 2 2 2 2" xfId="15621" xr:uid="{9D947B99-39D8-4931-BE1F-286F6174CB36}"/>
    <cellStyle name="Comma 4 6 2 2 3" xfId="11403" xr:uid="{93CF711E-76E4-4E1C-9BAB-9DF22CC05084}"/>
    <cellStyle name="Comma 4 6 2 3" xfId="5047" xr:uid="{00000000-0005-0000-0000-0000570A0000}"/>
    <cellStyle name="Comma 4 6 2 3 2" xfId="13476" xr:uid="{9C64CF0D-43B2-4D27-B37B-407A8BF272ED}"/>
    <cellStyle name="Comma 4 6 2 4" xfId="9258" xr:uid="{B062A11D-1AFC-42B3-8B57-EDC6EE8F772A}"/>
    <cellStyle name="Comma 4 6 3" xfId="1150" xr:uid="{00000000-0005-0000-0000-0000580A0000}"/>
    <cellStyle name="Comma 4 6 3 2" xfId="3381" xr:uid="{00000000-0005-0000-0000-0000590A0000}"/>
    <cellStyle name="Comma 4 6 3 2 2" xfId="7605" xr:uid="{00000000-0005-0000-0000-00005A0A0000}"/>
    <cellStyle name="Comma 4 6 3 2 2 2" xfId="16034" xr:uid="{16E727F4-6EE8-45DE-8711-48CEFF8DB765}"/>
    <cellStyle name="Comma 4 6 3 2 3" xfId="11816" xr:uid="{97BAB516-F234-4FD6-A52A-ECF1E6E38E82}"/>
    <cellStyle name="Comma 4 6 3 3" xfId="5460" xr:uid="{00000000-0005-0000-0000-00005B0A0000}"/>
    <cellStyle name="Comma 4 6 3 3 2" xfId="13889" xr:uid="{BA67767A-CDD3-455C-8690-879BC4D9EFBE}"/>
    <cellStyle name="Comma 4 6 3 4" xfId="9671" xr:uid="{7546A078-7AF0-4993-A590-1F466C0057BA}"/>
    <cellStyle name="Comma 4 6 4" xfId="1564" xr:uid="{00000000-0005-0000-0000-00005C0A0000}"/>
    <cellStyle name="Comma 4 6 4 2" xfId="3794" xr:uid="{00000000-0005-0000-0000-00005D0A0000}"/>
    <cellStyle name="Comma 4 6 4 2 2" xfId="8018" xr:uid="{00000000-0005-0000-0000-00005E0A0000}"/>
    <cellStyle name="Comma 4 6 4 2 2 2" xfId="16447" xr:uid="{1BAE3F02-4861-4256-A963-D9F465DD4179}"/>
    <cellStyle name="Comma 4 6 4 2 3" xfId="12229" xr:uid="{DEBADD08-7C13-4FC1-9018-162C233386C6}"/>
    <cellStyle name="Comma 4 6 4 3" xfId="5873" xr:uid="{00000000-0005-0000-0000-00005F0A0000}"/>
    <cellStyle name="Comma 4 6 4 3 2" xfId="14302" xr:uid="{1CE94803-98C6-41C2-84D2-B0E24B0B19A4}"/>
    <cellStyle name="Comma 4 6 4 4" xfId="10084" xr:uid="{1F459A84-048E-4A7E-B78D-78374217B106}"/>
    <cellStyle name="Comma 4 6 5" xfId="1978" xr:uid="{00000000-0005-0000-0000-0000600A0000}"/>
    <cellStyle name="Comma 4 6 5 2" xfId="4207" xr:uid="{00000000-0005-0000-0000-0000610A0000}"/>
    <cellStyle name="Comma 4 6 5 2 2" xfId="8431" xr:uid="{00000000-0005-0000-0000-0000620A0000}"/>
    <cellStyle name="Comma 4 6 5 2 2 2" xfId="16860" xr:uid="{91CD6B5E-E1C5-4FE6-AD31-3573F79F1E4E}"/>
    <cellStyle name="Comma 4 6 5 2 3" xfId="12642" xr:uid="{663ABDD8-AB26-455B-8B4D-E8E168008B30}"/>
    <cellStyle name="Comma 4 6 5 3" xfId="6286" xr:uid="{00000000-0005-0000-0000-0000630A0000}"/>
    <cellStyle name="Comma 4 6 5 3 2" xfId="14715" xr:uid="{FBB3E62F-95A0-4E59-BC0D-8382CDE1D738}"/>
    <cellStyle name="Comma 4 6 5 4" xfId="10497" xr:uid="{5058463F-2F92-4877-891A-72A7A34FE2FE}"/>
    <cellStyle name="Comma 4 6 6" xfId="2413" xr:uid="{00000000-0005-0000-0000-0000640A0000}"/>
    <cellStyle name="Comma 4 6 6 2" xfId="6699" xr:uid="{00000000-0005-0000-0000-0000650A0000}"/>
    <cellStyle name="Comma 4 6 6 2 2" xfId="15128" xr:uid="{DD7BA62F-42C7-4DBE-80B4-D88F16C857B3}"/>
    <cellStyle name="Comma 4 6 6 3" xfId="10910" xr:uid="{38241ED8-AA9B-4461-86AB-F0398EF6048F}"/>
    <cellStyle name="Comma 4 6 7" xfId="2709" xr:uid="{00000000-0005-0000-0000-0000660A0000}"/>
    <cellStyle name="Comma 4 6 8" xfId="2791" xr:uid="{00000000-0005-0000-0000-0000670A0000}"/>
    <cellStyle name="Comma 4 6 8 2" xfId="7016" xr:uid="{00000000-0005-0000-0000-0000680A0000}"/>
    <cellStyle name="Comma 4 6 8 2 2" xfId="15445" xr:uid="{81AFB233-0899-45DE-BC0D-966207A7E432}"/>
    <cellStyle name="Comma 4 6 8 3" xfId="11227" xr:uid="{C66AB923-EC7D-4DBB-A6C2-D55C4D5574FB}"/>
    <cellStyle name="Comma 4 6 9" xfId="4633" xr:uid="{00000000-0005-0000-0000-0000690A0000}"/>
    <cellStyle name="Comma 4 6 9 2" xfId="13062" xr:uid="{8E3C4505-1E81-4304-8EBD-3E915EE23026}"/>
    <cellStyle name="Comma 4 7" xfId="160" xr:uid="{00000000-0005-0000-0000-00006A0A0000}"/>
    <cellStyle name="Comma 4 7 10" xfId="8845" xr:uid="{4ABBFE13-9048-4C2D-BA7A-39C0C52A382F}"/>
    <cellStyle name="Comma 4 7 2" xfId="698" xr:uid="{00000000-0005-0000-0000-00006B0A0000}"/>
    <cellStyle name="Comma 4 7 2 2" xfId="2969" xr:uid="{00000000-0005-0000-0000-00006C0A0000}"/>
    <cellStyle name="Comma 4 7 2 2 2" xfId="7193" xr:uid="{00000000-0005-0000-0000-00006D0A0000}"/>
    <cellStyle name="Comma 4 7 2 2 2 2" xfId="15622" xr:uid="{0C52C22A-71A4-4A09-9858-9E87FC279225}"/>
    <cellStyle name="Comma 4 7 2 2 3" xfId="11404" xr:uid="{00BF9C5E-28F3-4B6F-BDA8-4BF14584D699}"/>
    <cellStyle name="Comma 4 7 2 3" xfId="5048" xr:uid="{00000000-0005-0000-0000-00006E0A0000}"/>
    <cellStyle name="Comma 4 7 2 3 2" xfId="13477" xr:uid="{3DAD9D93-3D0A-4CCF-8225-7B4287BE077B}"/>
    <cellStyle name="Comma 4 7 2 4" xfId="9259" xr:uid="{89B43E4F-6D7F-4631-8B43-502928A8217E}"/>
    <cellStyle name="Comma 4 7 3" xfId="1151" xr:uid="{00000000-0005-0000-0000-00006F0A0000}"/>
    <cellStyle name="Comma 4 7 3 2" xfId="3382" xr:uid="{00000000-0005-0000-0000-0000700A0000}"/>
    <cellStyle name="Comma 4 7 3 2 2" xfId="7606" xr:uid="{00000000-0005-0000-0000-0000710A0000}"/>
    <cellStyle name="Comma 4 7 3 2 2 2" xfId="16035" xr:uid="{5020126F-F38F-4FB0-B083-BFF03206E1AE}"/>
    <cellStyle name="Comma 4 7 3 2 3" xfId="11817" xr:uid="{92732C12-C113-4765-BE1D-27425A1DA5E7}"/>
    <cellStyle name="Comma 4 7 3 3" xfId="5461" xr:uid="{00000000-0005-0000-0000-0000720A0000}"/>
    <cellStyle name="Comma 4 7 3 3 2" xfId="13890" xr:uid="{FA4298DF-B472-4631-BC44-A74B347E334D}"/>
    <cellStyle name="Comma 4 7 3 4" xfId="9672" xr:uid="{E5ADF9DE-A50B-4583-A3DB-ABA6A81C2BFD}"/>
    <cellStyle name="Comma 4 7 4" xfId="1565" xr:uid="{00000000-0005-0000-0000-0000730A0000}"/>
    <cellStyle name="Comma 4 7 4 2" xfId="3795" xr:uid="{00000000-0005-0000-0000-0000740A0000}"/>
    <cellStyle name="Comma 4 7 4 2 2" xfId="8019" xr:uid="{00000000-0005-0000-0000-0000750A0000}"/>
    <cellStyle name="Comma 4 7 4 2 2 2" xfId="16448" xr:uid="{94D5ABB0-A5E3-4A96-90C9-92F268D85BF9}"/>
    <cellStyle name="Comma 4 7 4 2 3" xfId="12230" xr:uid="{FA661740-C15A-42FA-9860-FE139DF083A6}"/>
    <cellStyle name="Comma 4 7 4 3" xfId="5874" xr:uid="{00000000-0005-0000-0000-0000760A0000}"/>
    <cellStyle name="Comma 4 7 4 3 2" xfId="14303" xr:uid="{B3FA3808-65FF-43AA-AF03-5B5BC6A1BC8E}"/>
    <cellStyle name="Comma 4 7 4 4" xfId="10085" xr:uid="{C0332C2E-EBA4-4455-86BD-9246576CD321}"/>
    <cellStyle name="Comma 4 7 5" xfId="1979" xr:uid="{00000000-0005-0000-0000-0000770A0000}"/>
    <cellStyle name="Comma 4 7 5 2" xfId="4208" xr:uid="{00000000-0005-0000-0000-0000780A0000}"/>
    <cellStyle name="Comma 4 7 5 2 2" xfId="8432" xr:uid="{00000000-0005-0000-0000-0000790A0000}"/>
    <cellStyle name="Comma 4 7 5 2 2 2" xfId="16861" xr:uid="{54B7B002-5DCC-4481-BF2E-B5A285E8810A}"/>
    <cellStyle name="Comma 4 7 5 2 3" xfId="12643" xr:uid="{F6A46247-DAED-4BCF-A9DD-B1538404FABC}"/>
    <cellStyle name="Comma 4 7 5 3" xfId="6287" xr:uid="{00000000-0005-0000-0000-00007A0A0000}"/>
    <cellStyle name="Comma 4 7 5 3 2" xfId="14716" xr:uid="{B0F951A4-916E-4C5E-94DF-BAE4FF6BEB10}"/>
    <cellStyle name="Comma 4 7 5 4" xfId="10498" xr:uid="{8387A695-38BC-4F49-B3C3-CDD5BE19F4BB}"/>
    <cellStyle name="Comma 4 7 6" xfId="2414" xr:uid="{00000000-0005-0000-0000-00007B0A0000}"/>
    <cellStyle name="Comma 4 7 6 2" xfId="6700" xr:uid="{00000000-0005-0000-0000-00007C0A0000}"/>
    <cellStyle name="Comma 4 7 6 2 2" xfId="15129" xr:uid="{B96B086C-2890-4C06-AC90-BF38792D2C9A}"/>
    <cellStyle name="Comma 4 7 6 3" xfId="10911" xr:uid="{01847A90-62D5-4097-8EB3-1C89A70982D7}"/>
    <cellStyle name="Comma 4 7 7" xfId="2710" xr:uid="{00000000-0005-0000-0000-00007D0A0000}"/>
    <cellStyle name="Comma 4 7 8" xfId="2792" xr:uid="{00000000-0005-0000-0000-00007E0A0000}"/>
    <cellStyle name="Comma 4 7 8 2" xfId="7017" xr:uid="{00000000-0005-0000-0000-00007F0A0000}"/>
    <cellStyle name="Comma 4 7 8 2 2" xfId="15446" xr:uid="{BABD2781-22E2-4E0A-A656-3B2B9069B9B3}"/>
    <cellStyle name="Comma 4 7 8 3" xfId="11228" xr:uid="{01D7E0FD-AE03-4911-9246-69337E21B164}"/>
    <cellStyle name="Comma 4 7 9" xfId="4634" xr:uid="{00000000-0005-0000-0000-0000800A0000}"/>
    <cellStyle name="Comma 4 7 9 2" xfId="13063" xr:uid="{11E5B1A2-B711-459E-99D0-D5B4A023B6FE}"/>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B06E7C19-FACD-49EE-87E3-E9058739A9B9}"/>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A6E94B88-1D5F-4C33-B57F-3E0D72E3775A}"/>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6CB1DC1E-556C-4D8B-B178-F833A6F1681D}"/>
    <cellStyle name="Currency 3 2 2 10 3" xfId="11229" xr:uid="{58DFDF2A-357E-4563-B342-8476E8E54522}"/>
    <cellStyle name="Currency 3 2 2 11" xfId="4635" xr:uid="{00000000-0005-0000-0000-0000A50A0000}"/>
    <cellStyle name="Currency 3 2 2 11 2" xfId="13064" xr:uid="{F7415B7E-ED34-4836-A620-6D90114228F6}"/>
    <cellStyle name="Currency 3 2 2 12" xfId="8846" xr:uid="{478B1AD1-CB71-4E3E-A7E3-A258387957EA}"/>
    <cellStyle name="Currency 3 2 2 2" xfId="179" xr:uid="{00000000-0005-0000-0000-0000A60A0000}"/>
    <cellStyle name="Currency 3 2 2 2 10" xfId="4636" xr:uid="{00000000-0005-0000-0000-0000A70A0000}"/>
    <cellStyle name="Currency 3 2 2 2 10 2" xfId="13065" xr:uid="{DCEDD9F0-2717-4530-A031-82E41451C9B3}"/>
    <cellStyle name="Currency 3 2 2 2 11" xfId="8847" xr:uid="{3D8A69AA-D1EC-4B0F-A01E-414BC1605410}"/>
    <cellStyle name="Currency 3 2 2 2 2" xfId="180" xr:uid="{00000000-0005-0000-0000-0000A80A0000}"/>
    <cellStyle name="Currency 3 2 2 2 2 10" xfId="8848" xr:uid="{00F99C8A-692F-4BDB-B797-50A8A1F1298F}"/>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44E1B144-3A65-496D-9D3F-3C5F42646CAE}"/>
    <cellStyle name="Currency 3 2 2 2 2 2 2 3" xfId="11407" xr:uid="{A199D698-8CB6-4CA9-B9B7-7C5832892A1C}"/>
    <cellStyle name="Currency 3 2 2 2 2 2 3" xfId="5051" xr:uid="{00000000-0005-0000-0000-0000AC0A0000}"/>
    <cellStyle name="Currency 3 2 2 2 2 2 3 2" xfId="13480" xr:uid="{0A3BAC31-AEC0-479C-B6AE-5324BB1972FF}"/>
    <cellStyle name="Currency 3 2 2 2 2 2 4" xfId="9262" xr:uid="{0C1D3B76-B1A3-4F98-B32F-9783D687E63B}"/>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A8BFEBC4-79E1-4D34-82B1-C407CEFB609B}"/>
    <cellStyle name="Currency 3 2 2 2 2 3 2 3" xfId="11820" xr:uid="{C1F2DCC8-0912-4375-9CEF-8557CF7053AD}"/>
    <cellStyle name="Currency 3 2 2 2 2 3 3" xfId="5464" xr:uid="{00000000-0005-0000-0000-0000B00A0000}"/>
    <cellStyle name="Currency 3 2 2 2 2 3 3 2" xfId="13893" xr:uid="{5616A51B-5F1C-49EC-8DC8-94A911CE1D46}"/>
    <cellStyle name="Currency 3 2 2 2 2 3 4" xfId="9675" xr:uid="{F351107D-494B-4506-8562-A66E1E0778ED}"/>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24136328-7C10-4176-8A8A-A8B4860399C8}"/>
    <cellStyle name="Currency 3 2 2 2 2 4 2 3" xfId="12233" xr:uid="{4864E4B5-997C-42F4-91C6-80E7DE721AFB}"/>
    <cellStyle name="Currency 3 2 2 2 2 4 3" xfId="5877" xr:uid="{00000000-0005-0000-0000-0000B40A0000}"/>
    <cellStyle name="Currency 3 2 2 2 2 4 3 2" xfId="14306" xr:uid="{5EE98D40-9902-4834-AB97-A12BA2959032}"/>
    <cellStyle name="Currency 3 2 2 2 2 4 4" xfId="10088" xr:uid="{B8BD9B46-E989-4103-9ADA-17A0D7A05AF6}"/>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015AD9DB-C320-4E4F-873B-9222C8B44834}"/>
    <cellStyle name="Currency 3 2 2 2 2 5 2 3" xfId="12646" xr:uid="{C99D8B27-C4A6-48DD-A658-1B24D70205D5}"/>
    <cellStyle name="Currency 3 2 2 2 2 5 3" xfId="6290" xr:uid="{00000000-0005-0000-0000-0000B80A0000}"/>
    <cellStyle name="Currency 3 2 2 2 2 5 3 2" xfId="14719" xr:uid="{9A24B4E9-2D5E-4289-9E02-87DD820DD838}"/>
    <cellStyle name="Currency 3 2 2 2 2 5 4" xfId="10501" xr:uid="{614F6495-E77E-405C-AF13-B6C787E386AC}"/>
    <cellStyle name="Currency 3 2 2 2 2 6" xfId="2417" xr:uid="{00000000-0005-0000-0000-0000B90A0000}"/>
    <cellStyle name="Currency 3 2 2 2 2 6 2" xfId="6703" xr:uid="{00000000-0005-0000-0000-0000BA0A0000}"/>
    <cellStyle name="Currency 3 2 2 2 2 6 2 2" xfId="15132" xr:uid="{D056325A-B7FF-4B58-B2E0-4D1937A97724}"/>
    <cellStyle name="Currency 3 2 2 2 2 6 3" xfId="10914" xr:uid="{A422D74D-352B-4FF0-A17F-8F1C863B9397}"/>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FB7C4D34-F5F2-4752-8621-90FA98FAEF6A}"/>
    <cellStyle name="Currency 3 2 2 2 2 8 3" xfId="11231" xr:uid="{9F7C4998-7577-4F98-8559-9AABD3B70A45}"/>
    <cellStyle name="Currency 3 2 2 2 2 9" xfId="4637" xr:uid="{00000000-0005-0000-0000-0000BE0A0000}"/>
    <cellStyle name="Currency 3 2 2 2 2 9 2" xfId="13066" xr:uid="{700B53EF-E621-4108-930E-8D9B78C0FF0F}"/>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AAAFDA28-E748-4E49-BCD0-B6530061F458}"/>
    <cellStyle name="Currency 3 2 2 2 3 2 3" xfId="11406" xr:uid="{9FBCA22E-05FF-4656-9A06-48A834073A0A}"/>
    <cellStyle name="Currency 3 2 2 2 3 3" xfId="5050" xr:uid="{00000000-0005-0000-0000-0000C20A0000}"/>
    <cellStyle name="Currency 3 2 2 2 3 3 2" xfId="13479" xr:uid="{E8A5A847-C3B5-4AEE-BA6C-5C26866CF476}"/>
    <cellStyle name="Currency 3 2 2 2 3 4" xfId="9261" xr:uid="{C93B9231-AEDE-44CB-82CE-D59619DE833E}"/>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CB46365D-65E1-499E-BD97-C7188CAB8E60}"/>
    <cellStyle name="Currency 3 2 2 2 4 2 3" xfId="11819" xr:uid="{4CB48FD9-2410-4518-A1C6-7E64777FBBEB}"/>
    <cellStyle name="Currency 3 2 2 2 4 3" xfId="5463" xr:uid="{00000000-0005-0000-0000-0000C60A0000}"/>
    <cellStyle name="Currency 3 2 2 2 4 3 2" xfId="13892" xr:uid="{24AF4C3A-ACB4-48BA-BAC7-675ED51956F7}"/>
    <cellStyle name="Currency 3 2 2 2 4 4" xfId="9674" xr:uid="{41489F4A-3348-48AB-8FCC-896D97433B9C}"/>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94D63917-1E2B-4C38-8CCD-712CAB6228FD}"/>
    <cellStyle name="Currency 3 2 2 2 5 2 3" xfId="12232" xr:uid="{98EB6A3A-77F3-4DB3-8F1D-559BDB177ED4}"/>
    <cellStyle name="Currency 3 2 2 2 5 3" xfId="5876" xr:uid="{00000000-0005-0000-0000-0000CA0A0000}"/>
    <cellStyle name="Currency 3 2 2 2 5 3 2" xfId="14305" xr:uid="{5C1761B8-DDED-4997-AA7B-0CB1D5646D6F}"/>
    <cellStyle name="Currency 3 2 2 2 5 4" xfId="10087" xr:uid="{682C200A-49C2-4040-8EA4-816804B8D2A2}"/>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184E19A4-8A5E-4C41-B69F-A33ADD51FFB5}"/>
    <cellStyle name="Currency 3 2 2 2 6 2 3" xfId="12645" xr:uid="{A46E2DE1-1D6E-4CD6-B214-FA7EBD0C1921}"/>
    <cellStyle name="Currency 3 2 2 2 6 3" xfId="6289" xr:uid="{00000000-0005-0000-0000-0000CE0A0000}"/>
    <cellStyle name="Currency 3 2 2 2 6 3 2" xfId="14718" xr:uid="{FDE32436-A989-4770-AB02-B6AB23A76085}"/>
    <cellStyle name="Currency 3 2 2 2 6 4" xfId="10500" xr:uid="{4682FA1C-76A9-4540-8E67-B454FB0AED3C}"/>
    <cellStyle name="Currency 3 2 2 2 7" xfId="2416" xr:uid="{00000000-0005-0000-0000-0000CF0A0000}"/>
    <cellStyle name="Currency 3 2 2 2 7 2" xfId="6702" xr:uid="{00000000-0005-0000-0000-0000D00A0000}"/>
    <cellStyle name="Currency 3 2 2 2 7 2 2" xfId="15131" xr:uid="{0495A3BC-B048-48E9-8993-652CB5B18A9A}"/>
    <cellStyle name="Currency 3 2 2 2 7 3" xfId="10913" xr:uid="{6470E533-5767-454A-93DF-8E7B9654E987}"/>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A6047A48-8FE0-4B37-B0E2-93D1B1F0957B}"/>
    <cellStyle name="Currency 3 2 2 2 9 3" xfId="11230" xr:uid="{1C2EE094-C02E-462D-9F1B-363EDEDCB43B}"/>
    <cellStyle name="Currency 3 2 2 3" xfId="181" xr:uid="{00000000-0005-0000-0000-0000D40A0000}"/>
    <cellStyle name="Currency 3 2 2 3 10" xfId="8849" xr:uid="{1F8F1299-60CE-40E3-80FD-5E195EA27BAA}"/>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B8629390-86D0-4CF9-80D4-E5C48F75C0E2}"/>
    <cellStyle name="Currency 3 2 2 3 2 2 3" xfId="11408" xr:uid="{30626015-33DB-4761-80FA-224075D1EA3C}"/>
    <cellStyle name="Currency 3 2 2 3 2 3" xfId="5052" xr:uid="{00000000-0005-0000-0000-0000D80A0000}"/>
    <cellStyle name="Currency 3 2 2 3 2 3 2" xfId="13481" xr:uid="{A6676FAE-D35C-44DE-A394-F8C872513034}"/>
    <cellStyle name="Currency 3 2 2 3 2 4" xfId="9263" xr:uid="{53A97F10-5C15-4F2E-9B44-C0431D379311}"/>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6FD7DF1A-DB3E-483F-AACD-A59326B55074}"/>
    <cellStyle name="Currency 3 2 2 3 3 2 3" xfId="11821" xr:uid="{6FFB25C9-45EB-4D9F-A0F2-161E0BC9F34B}"/>
    <cellStyle name="Currency 3 2 2 3 3 3" xfId="5465" xr:uid="{00000000-0005-0000-0000-0000DC0A0000}"/>
    <cellStyle name="Currency 3 2 2 3 3 3 2" xfId="13894" xr:uid="{DAD2E9ED-63B5-45BB-99C8-CE9999508F22}"/>
    <cellStyle name="Currency 3 2 2 3 3 4" xfId="9676" xr:uid="{F273D812-EE93-4A2B-8A91-05A42F892E0F}"/>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7DD5A65B-79F7-46C5-8BAC-58CF8B69AA71}"/>
    <cellStyle name="Currency 3 2 2 3 4 2 3" xfId="12234" xr:uid="{8336314B-D696-4AA5-AC10-49E3612141DE}"/>
    <cellStyle name="Currency 3 2 2 3 4 3" xfId="5878" xr:uid="{00000000-0005-0000-0000-0000E00A0000}"/>
    <cellStyle name="Currency 3 2 2 3 4 3 2" xfId="14307" xr:uid="{7C758DAF-72AD-4611-A951-6C858A6C64ED}"/>
    <cellStyle name="Currency 3 2 2 3 4 4" xfId="10089" xr:uid="{980DDC20-4248-43EC-9C5F-F72B0C007A8A}"/>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2BCBBE53-DBA7-486B-A679-2BC9608A543E}"/>
    <cellStyle name="Currency 3 2 2 3 5 2 3" xfId="12647" xr:uid="{8EDFF37A-C0AC-40E4-8A43-93C02F443863}"/>
    <cellStyle name="Currency 3 2 2 3 5 3" xfId="6291" xr:uid="{00000000-0005-0000-0000-0000E40A0000}"/>
    <cellStyle name="Currency 3 2 2 3 5 3 2" xfId="14720" xr:uid="{2992FFF5-A785-40C5-B08C-7253F5F7D453}"/>
    <cellStyle name="Currency 3 2 2 3 5 4" xfId="10502" xr:uid="{2540C942-4845-4E00-9FE5-C6B8C3E04E22}"/>
    <cellStyle name="Currency 3 2 2 3 6" xfId="2418" xr:uid="{00000000-0005-0000-0000-0000E50A0000}"/>
    <cellStyle name="Currency 3 2 2 3 6 2" xfId="6704" xr:uid="{00000000-0005-0000-0000-0000E60A0000}"/>
    <cellStyle name="Currency 3 2 2 3 6 2 2" xfId="15133" xr:uid="{F5E6BB47-DEB0-495F-8692-A26790F6A938}"/>
    <cellStyle name="Currency 3 2 2 3 6 3" xfId="10915" xr:uid="{5B56FF9E-09E6-4A43-ADD9-DF5512EFEC76}"/>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2CA8FBC2-BCFB-441D-B500-9FC137F26BA2}"/>
    <cellStyle name="Currency 3 2 2 3 8 3" xfId="11232" xr:uid="{DA3F87C9-D492-448E-9B0D-BFBBF594B105}"/>
    <cellStyle name="Currency 3 2 2 3 9" xfId="4638" xr:uid="{00000000-0005-0000-0000-0000EA0A0000}"/>
    <cellStyle name="Currency 3 2 2 3 9 2" xfId="13067" xr:uid="{C9E4EB70-5131-4996-97BA-C256A2173652}"/>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407A9AFB-D319-4E48-AFFD-B220746A3768}"/>
    <cellStyle name="Currency 3 2 2 4 2 3" xfId="11405" xr:uid="{51449666-D7FB-463B-8F6B-5DD07FB1F023}"/>
    <cellStyle name="Currency 3 2 2 4 3" xfId="5049" xr:uid="{00000000-0005-0000-0000-0000EE0A0000}"/>
    <cellStyle name="Currency 3 2 2 4 3 2" xfId="13478" xr:uid="{285A3BD8-A8E7-4747-A268-3D2405445EBF}"/>
    <cellStyle name="Currency 3 2 2 4 4" xfId="9260" xr:uid="{D8043124-8B60-4502-86B4-F4C9A8FF1A1B}"/>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C937E2F5-E2FC-4779-A7A3-25AEA30A9D4B}"/>
    <cellStyle name="Currency 3 2 2 5 2 3" xfId="11818" xr:uid="{F3C63ED6-F541-4442-9BE8-7895EFA5CA97}"/>
    <cellStyle name="Currency 3 2 2 5 3" xfId="5462" xr:uid="{00000000-0005-0000-0000-0000F20A0000}"/>
    <cellStyle name="Currency 3 2 2 5 3 2" xfId="13891" xr:uid="{16381A1D-226F-4FD8-8143-4A17B1CD33DA}"/>
    <cellStyle name="Currency 3 2 2 5 4" xfId="9673" xr:uid="{27113E9F-0BE6-459A-9C8E-C8374ED4C049}"/>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25D1A28A-507D-4B33-A675-F844B58021DB}"/>
    <cellStyle name="Currency 3 2 2 6 2 3" xfId="12231" xr:uid="{08DCDB28-F068-4DFE-B14F-605D880CA773}"/>
    <cellStyle name="Currency 3 2 2 6 3" xfId="5875" xr:uid="{00000000-0005-0000-0000-0000F60A0000}"/>
    <cellStyle name="Currency 3 2 2 6 3 2" xfId="14304" xr:uid="{3BA4C0D1-EBC8-4D19-A885-A1CC88FEBD03}"/>
    <cellStyle name="Currency 3 2 2 6 4" xfId="10086" xr:uid="{945CF8A5-176E-4AD6-BE1B-44E4AC609424}"/>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4AFD79C6-953B-43FA-9D6B-45247E79E5E6}"/>
    <cellStyle name="Currency 3 2 2 7 2 3" xfId="12644" xr:uid="{8F307F38-902F-491E-8652-C44EE54D8950}"/>
    <cellStyle name="Currency 3 2 2 7 3" xfId="6288" xr:uid="{00000000-0005-0000-0000-0000FA0A0000}"/>
    <cellStyle name="Currency 3 2 2 7 3 2" xfId="14717" xr:uid="{7E533BA5-BEB3-420F-8D4B-E5E0BE75DCF2}"/>
    <cellStyle name="Currency 3 2 2 7 4" xfId="10499" xr:uid="{90992F3F-EF81-4389-89E1-4BE318178117}"/>
    <cellStyle name="Currency 3 2 2 8" xfId="2415" xr:uid="{00000000-0005-0000-0000-0000FB0A0000}"/>
    <cellStyle name="Currency 3 2 2 8 2" xfId="6701" xr:uid="{00000000-0005-0000-0000-0000FC0A0000}"/>
    <cellStyle name="Currency 3 2 2 8 2 2" xfId="15130" xr:uid="{6903A4D8-DD00-41A9-8039-FE7B01F11988}"/>
    <cellStyle name="Currency 3 2 2 8 3" xfId="10912" xr:uid="{C58AB7AB-B8CC-4970-99D1-66D2D50D3ACD}"/>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E14764E8-1BE8-493B-B25B-AC483855F4A5}"/>
    <cellStyle name="Currency 3 2 3 11" xfId="8850" xr:uid="{B2F1878E-46C1-432F-946C-09B6BF431D3D}"/>
    <cellStyle name="Currency 3 2 3 2" xfId="183" xr:uid="{00000000-0005-0000-0000-0000000B0000}"/>
    <cellStyle name="Currency 3 2 3 2 10" xfId="8851" xr:uid="{B02AE688-E9F1-4C5F-859C-7C0F41D15D2E}"/>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D84869B8-9F8B-4CAD-AF76-384A16FD0951}"/>
    <cellStyle name="Currency 3 2 3 2 2 2 3" xfId="11410" xr:uid="{7AB543A8-4F79-453C-80A3-5AC674280C35}"/>
    <cellStyle name="Currency 3 2 3 2 2 3" xfId="5054" xr:uid="{00000000-0005-0000-0000-0000040B0000}"/>
    <cellStyle name="Currency 3 2 3 2 2 3 2" xfId="13483" xr:uid="{9205E55E-8E13-444D-8878-2A8BF8BE5F50}"/>
    <cellStyle name="Currency 3 2 3 2 2 4" xfId="9265" xr:uid="{D040C128-D714-4962-8389-19FB4B70E9F2}"/>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FAE7E2C6-2ECD-4F9C-8F3A-66FA813EBF7F}"/>
    <cellStyle name="Currency 3 2 3 2 3 2 3" xfId="11823" xr:uid="{375C9C62-3D83-42D4-8EDC-0B3D29F2CB2F}"/>
    <cellStyle name="Currency 3 2 3 2 3 3" xfId="5467" xr:uid="{00000000-0005-0000-0000-0000080B0000}"/>
    <cellStyle name="Currency 3 2 3 2 3 3 2" xfId="13896" xr:uid="{07EED4D9-B48B-415A-8645-C491E1D7D456}"/>
    <cellStyle name="Currency 3 2 3 2 3 4" xfId="9678" xr:uid="{ADBD5200-CBDF-4107-9840-8DD194457538}"/>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BC3B6899-3879-4258-AA7B-6C6AF5D05C85}"/>
    <cellStyle name="Currency 3 2 3 2 4 2 3" xfId="12236" xr:uid="{ACC32809-D6EA-4F9C-9198-38E3D4234629}"/>
    <cellStyle name="Currency 3 2 3 2 4 3" xfId="5880" xr:uid="{00000000-0005-0000-0000-00000C0B0000}"/>
    <cellStyle name="Currency 3 2 3 2 4 3 2" xfId="14309" xr:uid="{CFF0508C-EB8A-4A8E-BF65-111612786240}"/>
    <cellStyle name="Currency 3 2 3 2 4 4" xfId="10091" xr:uid="{A1015C3D-6DBA-4996-A519-9CB3EF03DE69}"/>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23AA70E2-B0DC-4652-ACFC-A4D5047D471A}"/>
    <cellStyle name="Currency 3 2 3 2 5 2 3" xfId="12649" xr:uid="{74DDA2EF-BEFB-4E63-89E1-10B866005BBF}"/>
    <cellStyle name="Currency 3 2 3 2 5 3" xfId="6293" xr:uid="{00000000-0005-0000-0000-0000100B0000}"/>
    <cellStyle name="Currency 3 2 3 2 5 3 2" xfId="14722" xr:uid="{1CA7F156-C94E-461F-97DD-74AF1093A035}"/>
    <cellStyle name="Currency 3 2 3 2 5 4" xfId="10504" xr:uid="{782AFA11-E25C-4A1A-A0A7-2FEFC243E75D}"/>
    <cellStyle name="Currency 3 2 3 2 6" xfId="2420" xr:uid="{00000000-0005-0000-0000-0000110B0000}"/>
    <cellStyle name="Currency 3 2 3 2 6 2" xfId="6706" xr:uid="{00000000-0005-0000-0000-0000120B0000}"/>
    <cellStyle name="Currency 3 2 3 2 6 2 2" xfId="15135" xr:uid="{F2F8EC90-3D4B-4281-8F52-656B26B41538}"/>
    <cellStyle name="Currency 3 2 3 2 6 3" xfId="10917" xr:uid="{9C041B6A-B299-426F-90A9-B2B00C23121B}"/>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448D89E3-69FB-479C-B617-D88F8ED2EC4B}"/>
    <cellStyle name="Currency 3 2 3 2 8 3" xfId="11234" xr:uid="{A5F5AD70-55EE-4699-8138-3DFB7DCEC029}"/>
    <cellStyle name="Currency 3 2 3 2 9" xfId="4640" xr:uid="{00000000-0005-0000-0000-0000160B0000}"/>
    <cellStyle name="Currency 3 2 3 2 9 2" xfId="13069" xr:uid="{5E56B21C-9B0C-406E-B103-33D6787F327A}"/>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04E4CF39-57C3-44CE-872F-FE208EFCDDD3}"/>
    <cellStyle name="Currency 3 2 3 3 2 3" xfId="11409" xr:uid="{5F9CDDE4-933B-44FA-8F96-8BAEB528E997}"/>
    <cellStyle name="Currency 3 2 3 3 3" xfId="5053" xr:uid="{00000000-0005-0000-0000-00001A0B0000}"/>
    <cellStyle name="Currency 3 2 3 3 3 2" xfId="13482" xr:uid="{790B334F-9E9C-41C3-8796-F10B0E571F14}"/>
    <cellStyle name="Currency 3 2 3 3 4" xfId="9264" xr:uid="{E9CA67FF-328E-4FFC-A575-3902C510FA72}"/>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1DC93795-CDF2-4EF3-9FF3-F5751A8A5E28}"/>
    <cellStyle name="Currency 3 2 3 4 2 3" xfId="11822" xr:uid="{4492CE86-2ACD-4C04-A0C7-389A2D2E094F}"/>
    <cellStyle name="Currency 3 2 3 4 3" xfId="5466" xr:uid="{00000000-0005-0000-0000-00001E0B0000}"/>
    <cellStyle name="Currency 3 2 3 4 3 2" xfId="13895" xr:uid="{13AF51B1-30E7-4C2E-BB14-47219146F815}"/>
    <cellStyle name="Currency 3 2 3 4 4" xfId="9677" xr:uid="{6A2BC922-73CE-4993-BD35-FD13EB7FC47F}"/>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8B82D159-261B-4A10-8ED4-F38CF77A66BA}"/>
    <cellStyle name="Currency 3 2 3 5 2 3" xfId="12235" xr:uid="{193B3734-581D-4C9B-B422-C5CC9FF563B9}"/>
    <cellStyle name="Currency 3 2 3 5 3" xfId="5879" xr:uid="{00000000-0005-0000-0000-0000220B0000}"/>
    <cellStyle name="Currency 3 2 3 5 3 2" xfId="14308" xr:uid="{9E67CB1B-B124-4383-A8DC-F3B80F5795B3}"/>
    <cellStyle name="Currency 3 2 3 5 4" xfId="10090" xr:uid="{C529148A-4D8D-4F8A-9F03-8CA1F79FBC66}"/>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A17221D1-23DF-4FD9-B23D-00B333469E9E}"/>
    <cellStyle name="Currency 3 2 3 6 2 3" xfId="12648" xr:uid="{48EF6E24-77D7-4588-B59C-9F2288B3F5CE}"/>
    <cellStyle name="Currency 3 2 3 6 3" xfId="6292" xr:uid="{00000000-0005-0000-0000-0000260B0000}"/>
    <cellStyle name="Currency 3 2 3 6 3 2" xfId="14721" xr:uid="{2054E1C7-D62D-4D6A-909A-E9E2BBC9339F}"/>
    <cellStyle name="Currency 3 2 3 6 4" xfId="10503" xr:uid="{ACE804B1-9441-498D-9528-74F06E2783F4}"/>
    <cellStyle name="Currency 3 2 3 7" xfId="2419" xr:uid="{00000000-0005-0000-0000-0000270B0000}"/>
    <cellStyle name="Currency 3 2 3 7 2" xfId="6705" xr:uid="{00000000-0005-0000-0000-0000280B0000}"/>
    <cellStyle name="Currency 3 2 3 7 2 2" xfId="15134" xr:uid="{0C1E4F5A-A682-4677-B760-60FD7A2369A3}"/>
    <cellStyle name="Currency 3 2 3 7 3" xfId="10916" xr:uid="{C4296E38-5E8D-413A-AF8A-A1D19CE94EE1}"/>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7AC30622-C0AE-422F-BA0D-F6FA660123AE}"/>
    <cellStyle name="Currency 3 2 3 9 3" xfId="11233" xr:uid="{54B4A5CF-F8AC-4C79-9F24-B43B05342688}"/>
    <cellStyle name="Currency 3 2 4" xfId="184" xr:uid="{00000000-0005-0000-0000-00002C0B0000}"/>
    <cellStyle name="Currency 3 2 4 10" xfId="8852" xr:uid="{647D0C6E-304B-4EDC-8DD7-157D13536875}"/>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4FBB2A35-7181-447E-8F4E-3898DB704B30}"/>
    <cellStyle name="Currency 3 2 4 2 2 3" xfId="11411" xr:uid="{582D84A8-420F-42A2-A94E-92B86448289C}"/>
    <cellStyle name="Currency 3 2 4 2 3" xfId="5055" xr:uid="{00000000-0005-0000-0000-0000300B0000}"/>
    <cellStyle name="Currency 3 2 4 2 3 2" xfId="13484" xr:uid="{983E8C26-9AEA-4535-9EC7-3F40B81928BE}"/>
    <cellStyle name="Currency 3 2 4 2 4" xfId="9266" xr:uid="{7641A2FB-8B78-44A2-9924-A4F89FE67F7C}"/>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9DC098E3-18D9-43FD-B6BD-5378D6B503F0}"/>
    <cellStyle name="Currency 3 2 4 3 2 3" xfId="11824" xr:uid="{017D14D2-6EFC-4111-8762-A4A5EC0EDD1E}"/>
    <cellStyle name="Currency 3 2 4 3 3" xfId="5468" xr:uid="{00000000-0005-0000-0000-0000340B0000}"/>
    <cellStyle name="Currency 3 2 4 3 3 2" xfId="13897" xr:uid="{9C89691B-394D-4DA0-94DE-1CA12454B5BE}"/>
    <cellStyle name="Currency 3 2 4 3 4" xfId="9679" xr:uid="{16F8CDF4-BA46-48F7-A74E-597B76224FD4}"/>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6CC20399-C9A0-4CD8-99FD-2D64CC1E84B8}"/>
    <cellStyle name="Currency 3 2 4 4 2 3" xfId="12237" xr:uid="{A4780D59-8629-44CD-AC08-AA5A33765379}"/>
    <cellStyle name="Currency 3 2 4 4 3" xfId="5881" xr:uid="{00000000-0005-0000-0000-0000380B0000}"/>
    <cellStyle name="Currency 3 2 4 4 3 2" xfId="14310" xr:uid="{D487ED7F-3195-413C-810A-62790119BF87}"/>
    <cellStyle name="Currency 3 2 4 4 4" xfId="10092" xr:uid="{ACBEDF57-1924-4807-BA12-D435BDC18D9D}"/>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05A1A786-4D7E-432A-8CE6-826421237C65}"/>
    <cellStyle name="Currency 3 2 4 5 2 3" xfId="12650" xr:uid="{6C4C4A66-48EB-47F1-9369-3EB117B3FF26}"/>
    <cellStyle name="Currency 3 2 4 5 3" xfId="6294" xr:uid="{00000000-0005-0000-0000-00003C0B0000}"/>
    <cellStyle name="Currency 3 2 4 5 3 2" xfId="14723" xr:uid="{85C0C91D-0A35-4A1A-B45B-D1F14BAAACE2}"/>
    <cellStyle name="Currency 3 2 4 5 4" xfId="10505" xr:uid="{A8C61FC4-6CE5-45AB-A156-9B2520D9FEA9}"/>
    <cellStyle name="Currency 3 2 4 6" xfId="2421" xr:uid="{00000000-0005-0000-0000-00003D0B0000}"/>
    <cellStyle name="Currency 3 2 4 6 2" xfId="6707" xr:uid="{00000000-0005-0000-0000-00003E0B0000}"/>
    <cellStyle name="Currency 3 2 4 6 2 2" xfId="15136" xr:uid="{38327CEC-9D62-417C-94A4-0EE91400CFF2}"/>
    <cellStyle name="Currency 3 2 4 6 3" xfId="10918" xr:uid="{1EEA5AC8-1833-426B-8103-407F235B5376}"/>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8A525D36-9173-4F0F-A30C-346B8976BAEC}"/>
    <cellStyle name="Currency 3 2 4 8 3" xfId="11235" xr:uid="{D139C584-6FB9-48F7-98C4-3E3650C283A5}"/>
    <cellStyle name="Currency 3 2 4 9" xfId="4641" xr:uid="{00000000-0005-0000-0000-0000420B0000}"/>
    <cellStyle name="Currency 3 2 4 9 2" xfId="13070" xr:uid="{7C14DE06-CFAD-4072-A4CF-48239D8E497D}"/>
    <cellStyle name="Currency 3 2 5" xfId="185" xr:uid="{00000000-0005-0000-0000-0000430B0000}"/>
    <cellStyle name="Currency 3 2 5 10" xfId="8853" xr:uid="{66F6F1F4-5CB9-44BE-93C4-6E3443157C35}"/>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5CC90714-3CF9-4F42-B6B0-CFA71BCEA5AB}"/>
    <cellStyle name="Currency 3 2 5 2 2 3" xfId="11412" xr:uid="{1630A84F-3CDD-465D-8DF1-CB798EE7F542}"/>
    <cellStyle name="Currency 3 2 5 2 3" xfId="5056" xr:uid="{00000000-0005-0000-0000-0000470B0000}"/>
    <cellStyle name="Currency 3 2 5 2 3 2" xfId="13485" xr:uid="{A4396F48-C960-4B42-8765-A3F93517D27F}"/>
    <cellStyle name="Currency 3 2 5 2 4" xfId="9267" xr:uid="{845E5F8D-70E9-4869-84AC-82104CBA33D5}"/>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CE3B042F-F787-4F07-853A-308F10198031}"/>
    <cellStyle name="Currency 3 2 5 3 2 3" xfId="11825" xr:uid="{48E1C6C8-1C30-4A72-8AAC-1316F94372C2}"/>
    <cellStyle name="Currency 3 2 5 3 3" xfId="5469" xr:uid="{00000000-0005-0000-0000-00004B0B0000}"/>
    <cellStyle name="Currency 3 2 5 3 3 2" xfId="13898" xr:uid="{8F1EA2DE-5850-4318-811C-A23278B1F99F}"/>
    <cellStyle name="Currency 3 2 5 3 4" xfId="9680" xr:uid="{49E7886F-00A3-4EDD-8F68-FAB45385D349}"/>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A909E25E-6432-4127-A663-A8A137E007DA}"/>
    <cellStyle name="Currency 3 2 5 4 2 3" xfId="12238" xr:uid="{A07C8291-0BA8-4631-BAD5-F973CB3B96E1}"/>
    <cellStyle name="Currency 3 2 5 4 3" xfId="5882" xr:uid="{00000000-0005-0000-0000-00004F0B0000}"/>
    <cellStyle name="Currency 3 2 5 4 3 2" xfId="14311" xr:uid="{024BCE73-04E5-48AD-90C1-B63DB7572A3E}"/>
    <cellStyle name="Currency 3 2 5 4 4" xfId="10093" xr:uid="{BA8E63C1-0645-4DCC-ABAE-83BE934FA668}"/>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6790D590-42D2-4CC4-8881-BCDD9AD1DEED}"/>
    <cellStyle name="Currency 3 2 5 5 2 3" xfId="12651" xr:uid="{452C199D-6566-41E5-A162-3217CB722F34}"/>
    <cellStyle name="Currency 3 2 5 5 3" xfId="6295" xr:uid="{00000000-0005-0000-0000-0000530B0000}"/>
    <cellStyle name="Currency 3 2 5 5 3 2" xfId="14724" xr:uid="{DB5E961F-9A32-4B60-BAAF-F2E81CDE7E76}"/>
    <cellStyle name="Currency 3 2 5 5 4" xfId="10506" xr:uid="{EBE96A55-81E3-4375-A687-B1A14D6B4A70}"/>
    <cellStyle name="Currency 3 2 5 6" xfId="2422" xr:uid="{00000000-0005-0000-0000-0000540B0000}"/>
    <cellStyle name="Currency 3 2 5 6 2" xfId="6708" xr:uid="{00000000-0005-0000-0000-0000550B0000}"/>
    <cellStyle name="Currency 3 2 5 6 2 2" xfId="15137" xr:uid="{5B47FA63-BFE1-45D6-95A8-47A981D9BFDE}"/>
    <cellStyle name="Currency 3 2 5 6 3" xfId="10919" xr:uid="{894B8D48-6601-47F8-8467-9D9DB1FA6FD4}"/>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15943A97-2B2D-423A-BDF1-B9FD459A59DB}"/>
    <cellStyle name="Currency 3 2 5 8 3" xfId="11236" xr:uid="{8D456340-38C8-4009-95E3-27B85A6AF0E1}"/>
    <cellStyle name="Currency 3 2 5 9" xfId="4642" xr:uid="{00000000-0005-0000-0000-0000590B0000}"/>
    <cellStyle name="Currency 3 2 5 9 2" xfId="13071" xr:uid="{05E62093-BCFF-4E2E-9A5D-BEBCC0A22CA7}"/>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A77181A2-CDA9-40B1-ACC9-041AF256D6B8}"/>
    <cellStyle name="Currency 5 2 2 2 10 3" xfId="11237" xr:uid="{6DD32E25-00C8-430D-BE48-434778B16D4B}"/>
    <cellStyle name="Currency 5 2 2 2 11" xfId="4643" xr:uid="{00000000-0005-0000-0000-00006C0B0000}"/>
    <cellStyle name="Currency 5 2 2 2 11 2" xfId="13072" xr:uid="{1B8BA9BA-6DFE-4A04-8B95-37FFCC3E2706}"/>
    <cellStyle name="Currency 5 2 2 2 12" xfId="8854" xr:uid="{02F9F816-9E1D-43A3-BDAF-3961599250D8}"/>
    <cellStyle name="Currency 5 2 2 2 2" xfId="197" xr:uid="{00000000-0005-0000-0000-00006D0B0000}"/>
    <cellStyle name="Currency 5 2 2 2 2 10" xfId="4644" xr:uid="{00000000-0005-0000-0000-00006E0B0000}"/>
    <cellStyle name="Currency 5 2 2 2 2 10 2" xfId="13073" xr:uid="{F4C86E0A-3366-46A0-ABEE-807868F339C4}"/>
    <cellStyle name="Currency 5 2 2 2 2 11" xfId="8855" xr:uid="{DF2E7371-089C-4BAE-9B8A-974DD77BE5C1}"/>
    <cellStyle name="Currency 5 2 2 2 2 2" xfId="198" xr:uid="{00000000-0005-0000-0000-00006F0B0000}"/>
    <cellStyle name="Currency 5 2 2 2 2 2 10" xfId="8856" xr:uid="{ED9FA785-C4E8-49DF-A995-81267B500622}"/>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87C10982-94F6-455E-9429-0184B43C1C9D}"/>
    <cellStyle name="Currency 5 2 2 2 2 2 2 2 3" xfId="11415" xr:uid="{7E8F7ECE-AF33-449A-B227-734FB12E6C0A}"/>
    <cellStyle name="Currency 5 2 2 2 2 2 2 3" xfId="5059" xr:uid="{00000000-0005-0000-0000-0000730B0000}"/>
    <cellStyle name="Currency 5 2 2 2 2 2 2 3 2" xfId="13488" xr:uid="{352FC220-3EC6-40E2-BD3C-3D278AE5D805}"/>
    <cellStyle name="Currency 5 2 2 2 2 2 2 4" xfId="9270" xr:uid="{C8D89A6B-AA98-40DB-BBA9-E0006A3BA294}"/>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274C211F-B2BC-4408-872F-B3EA2477A3AB}"/>
    <cellStyle name="Currency 5 2 2 2 2 2 3 2 3" xfId="11828" xr:uid="{5FA74CA5-5977-48EB-AA59-7920138E42B4}"/>
    <cellStyle name="Currency 5 2 2 2 2 2 3 3" xfId="5472" xr:uid="{00000000-0005-0000-0000-0000770B0000}"/>
    <cellStyle name="Currency 5 2 2 2 2 2 3 3 2" xfId="13901" xr:uid="{83F43809-DD3F-4B92-95B8-B82B6E67C26F}"/>
    <cellStyle name="Currency 5 2 2 2 2 2 3 4" xfId="9683" xr:uid="{91D967DE-3B01-4C17-9227-3B85D8B2DA4A}"/>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656EEEB5-80DC-4EC1-9C77-FCBFCE725676}"/>
    <cellStyle name="Currency 5 2 2 2 2 2 4 2 3" xfId="12241" xr:uid="{72E71967-9D4B-4594-BD38-56C050565E60}"/>
    <cellStyle name="Currency 5 2 2 2 2 2 4 3" xfId="5885" xr:uid="{00000000-0005-0000-0000-00007B0B0000}"/>
    <cellStyle name="Currency 5 2 2 2 2 2 4 3 2" xfId="14314" xr:uid="{0B837EAB-D5AC-47CB-A1F3-113131DC40C6}"/>
    <cellStyle name="Currency 5 2 2 2 2 2 4 4" xfId="10096" xr:uid="{1062BC79-7913-4806-9D4D-441083A5C1B2}"/>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CC669655-AD3F-4DD7-85A2-5AE0C1F993F2}"/>
    <cellStyle name="Currency 5 2 2 2 2 2 5 2 3" xfId="12654" xr:uid="{6F6BDAFE-AA55-4054-AE20-5916EBCB6396}"/>
    <cellStyle name="Currency 5 2 2 2 2 2 5 3" xfId="6298" xr:uid="{00000000-0005-0000-0000-00007F0B0000}"/>
    <cellStyle name="Currency 5 2 2 2 2 2 5 3 2" xfId="14727" xr:uid="{B01BAEF7-0338-4D6C-A4EF-EA7790FAA85F}"/>
    <cellStyle name="Currency 5 2 2 2 2 2 5 4" xfId="10509" xr:uid="{7961875C-F5EE-4899-A160-FD96C109907B}"/>
    <cellStyle name="Currency 5 2 2 2 2 2 6" xfId="2425" xr:uid="{00000000-0005-0000-0000-0000800B0000}"/>
    <cellStyle name="Currency 5 2 2 2 2 2 6 2" xfId="6711" xr:uid="{00000000-0005-0000-0000-0000810B0000}"/>
    <cellStyle name="Currency 5 2 2 2 2 2 6 2 2" xfId="15140" xr:uid="{F6380538-0AFF-4FF4-82AC-3062C9EBD121}"/>
    <cellStyle name="Currency 5 2 2 2 2 2 6 3" xfId="10922" xr:uid="{3C4563C0-7030-4150-A324-F04EE58117BB}"/>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1466EFCC-394F-4B9E-BDF2-F5E0835AF949}"/>
    <cellStyle name="Currency 5 2 2 2 2 2 8 3" xfId="11239" xr:uid="{61243F43-3216-47FC-807A-8490B5FFF1E6}"/>
    <cellStyle name="Currency 5 2 2 2 2 2 9" xfId="4645" xr:uid="{00000000-0005-0000-0000-0000850B0000}"/>
    <cellStyle name="Currency 5 2 2 2 2 2 9 2" xfId="13074" xr:uid="{42470F89-C7EC-4FC6-9C61-9C08E9B49999}"/>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F7CC33B2-A6A4-4671-B841-8451E9D13F7D}"/>
    <cellStyle name="Currency 5 2 2 2 2 3 2 3" xfId="11414" xr:uid="{4BD32B8A-079C-4ABD-B675-63423CD6B79D}"/>
    <cellStyle name="Currency 5 2 2 2 2 3 3" xfId="5058" xr:uid="{00000000-0005-0000-0000-0000890B0000}"/>
    <cellStyle name="Currency 5 2 2 2 2 3 3 2" xfId="13487" xr:uid="{5A025DF4-265A-412C-A65D-CCE89B4B36AE}"/>
    <cellStyle name="Currency 5 2 2 2 2 3 4" xfId="9269" xr:uid="{923D27C1-91A8-49BD-B287-5759F4B9AA91}"/>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614CFCF1-24FA-4191-9B04-F442946A3130}"/>
    <cellStyle name="Currency 5 2 2 2 2 4 2 3" xfId="11827" xr:uid="{025E3B9E-53AE-4E2A-A64D-165EEC45307F}"/>
    <cellStyle name="Currency 5 2 2 2 2 4 3" xfId="5471" xr:uid="{00000000-0005-0000-0000-00008D0B0000}"/>
    <cellStyle name="Currency 5 2 2 2 2 4 3 2" xfId="13900" xr:uid="{526D19BD-0F24-46AF-84D0-F24E07BE2AA6}"/>
    <cellStyle name="Currency 5 2 2 2 2 4 4" xfId="9682" xr:uid="{0351C94F-B2DB-4BF3-B54A-D8FBA42133FE}"/>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F28B7114-8D81-4E9D-81F3-FCA65A4FECBA}"/>
    <cellStyle name="Currency 5 2 2 2 2 5 2 3" xfId="12240" xr:uid="{6637C7FB-0165-4927-AF82-0D2F58545047}"/>
    <cellStyle name="Currency 5 2 2 2 2 5 3" xfId="5884" xr:uid="{00000000-0005-0000-0000-0000910B0000}"/>
    <cellStyle name="Currency 5 2 2 2 2 5 3 2" xfId="14313" xr:uid="{97CE38E7-4CA8-44CA-AE25-C9E360DBA17C}"/>
    <cellStyle name="Currency 5 2 2 2 2 5 4" xfId="10095" xr:uid="{D10B3E91-3CB6-4243-B226-CFFB0AFA337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7E0B8426-B2D9-4E2B-855F-D759AB940BD9}"/>
    <cellStyle name="Currency 5 2 2 2 2 6 2 3" xfId="12653" xr:uid="{BFFAE04E-7382-4A2C-BBC3-29948179782A}"/>
    <cellStyle name="Currency 5 2 2 2 2 6 3" xfId="6297" xr:uid="{00000000-0005-0000-0000-0000950B0000}"/>
    <cellStyle name="Currency 5 2 2 2 2 6 3 2" xfId="14726" xr:uid="{E44FA6F9-0A0C-4477-AC70-1F87DFDC10EC}"/>
    <cellStyle name="Currency 5 2 2 2 2 6 4" xfId="10508" xr:uid="{7AA96B58-8FAB-44CA-9D08-A6833061AF9C}"/>
    <cellStyle name="Currency 5 2 2 2 2 7" xfId="2424" xr:uid="{00000000-0005-0000-0000-0000960B0000}"/>
    <cellStyle name="Currency 5 2 2 2 2 7 2" xfId="6710" xr:uid="{00000000-0005-0000-0000-0000970B0000}"/>
    <cellStyle name="Currency 5 2 2 2 2 7 2 2" xfId="15139" xr:uid="{08CA930E-4B8D-4111-917E-AF3A3774C39F}"/>
    <cellStyle name="Currency 5 2 2 2 2 7 3" xfId="10921" xr:uid="{2BD78DFA-72D8-4FCF-9020-38154624E10E}"/>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FB1D6DDA-2300-44F6-8145-B4B1C0D36A59}"/>
    <cellStyle name="Currency 5 2 2 2 2 9 3" xfId="11238" xr:uid="{4DF05584-1C93-4BF2-834B-3FC8D14D5C45}"/>
    <cellStyle name="Currency 5 2 2 2 3" xfId="199" xr:uid="{00000000-0005-0000-0000-00009B0B0000}"/>
    <cellStyle name="Currency 5 2 2 2 3 10" xfId="8857" xr:uid="{2CA15BB3-417B-4381-A4CA-4894449880B1}"/>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D47A4088-6638-4D51-AFE2-8FCFBAC449AA}"/>
    <cellStyle name="Currency 5 2 2 2 3 2 2 3" xfId="11416" xr:uid="{C1B4D448-BA08-4460-A267-A6DBAF55A8BF}"/>
    <cellStyle name="Currency 5 2 2 2 3 2 3" xfId="5060" xr:uid="{00000000-0005-0000-0000-00009F0B0000}"/>
    <cellStyle name="Currency 5 2 2 2 3 2 3 2" xfId="13489" xr:uid="{74D53C29-D539-473C-A131-6007BAD1986B}"/>
    <cellStyle name="Currency 5 2 2 2 3 2 4" xfId="9271" xr:uid="{6A4DFB67-AB6F-4065-89B6-2D66EDE75771}"/>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9B97E4FE-B6F8-4416-840A-DB7A5AC27510}"/>
    <cellStyle name="Currency 5 2 2 2 3 3 2 3" xfId="11829" xr:uid="{CA97B448-4C9F-4EBC-8111-9AE9CBF06D3F}"/>
    <cellStyle name="Currency 5 2 2 2 3 3 3" xfId="5473" xr:uid="{00000000-0005-0000-0000-0000A30B0000}"/>
    <cellStyle name="Currency 5 2 2 2 3 3 3 2" xfId="13902" xr:uid="{66282ABD-2DC8-4354-AC2B-A84E21CE25EA}"/>
    <cellStyle name="Currency 5 2 2 2 3 3 4" xfId="9684" xr:uid="{593965A4-180F-46DF-903A-5170472BEB7D}"/>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6698C29F-BAD3-4BFA-B9E4-F3C64CDE93BB}"/>
    <cellStyle name="Currency 5 2 2 2 3 4 2 3" xfId="12242" xr:uid="{DA1FA6D8-02C4-4675-9667-77E7135D395C}"/>
    <cellStyle name="Currency 5 2 2 2 3 4 3" xfId="5886" xr:uid="{00000000-0005-0000-0000-0000A70B0000}"/>
    <cellStyle name="Currency 5 2 2 2 3 4 3 2" xfId="14315" xr:uid="{6D554330-1AB6-43E4-9C67-E6E664F55C46}"/>
    <cellStyle name="Currency 5 2 2 2 3 4 4" xfId="10097" xr:uid="{8434D8A8-998C-4CC8-9BE9-1EDF943B43C7}"/>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3CA3BCA5-FD4D-4E95-8BEA-FD4BDA4B4625}"/>
    <cellStyle name="Currency 5 2 2 2 3 5 2 3" xfId="12655" xr:uid="{7C1F606C-0DF0-4E0A-A313-278A9F40B503}"/>
    <cellStyle name="Currency 5 2 2 2 3 5 3" xfId="6299" xr:uid="{00000000-0005-0000-0000-0000AB0B0000}"/>
    <cellStyle name="Currency 5 2 2 2 3 5 3 2" xfId="14728" xr:uid="{DD3E6EA4-62C4-40CC-A97D-429A36430412}"/>
    <cellStyle name="Currency 5 2 2 2 3 5 4" xfId="10510" xr:uid="{58D535BF-164B-410C-AE63-2749B8F02655}"/>
    <cellStyle name="Currency 5 2 2 2 3 6" xfId="2426" xr:uid="{00000000-0005-0000-0000-0000AC0B0000}"/>
    <cellStyle name="Currency 5 2 2 2 3 6 2" xfId="6712" xr:uid="{00000000-0005-0000-0000-0000AD0B0000}"/>
    <cellStyle name="Currency 5 2 2 2 3 6 2 2" xfId="15141" xr:uid="{1899C13E-44CB-4A19-8A27-7506FF104B24}"/>
    <cellStyle name="Currency 5 2 2 2 3 6 3" xfId="10923" xr:uid="{05DBA1E6-B4CC-42B9-AEAE-A13642886044}"/>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C8AA3EE6-95A9-4B0D-87AD-D65F682F6D7D}"/>
    <cellStyle name="Currency 5 2 2 2 3 8 3" xfId="11240" xr:uid="{DE91A9E6-E360-4EC5-A337-2471F34F4613}"/>
    <cellStyle name="Currency 5 2 2 2 3 9" xfId="4646" xr:uid="{00000000-0005-0000-0000-0000B10B0000}"/>
    <cellStyle name="Currency 5 2 2 2 3 9 2" xfId="13075" xr:uid="{748C521B-8F92-47A6-95D4-CBB2A5CC9029}"/>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B5515468-CA99-4983-8714-4AC37D472163}"/>
    <cellStyle name="Currency 5 2 2 2 4 2 3" xfId="11413" xr:uid="{EC019227-6C53-4C41-A7BB-6B9CA3544C9F}"/>
    <cellStyle name="Currency 5 2 2 2 4 3" xfId="5057" xr:uid="{00000000-0005-0000-0000-0000B50B0000}"/>
    <cellStyle name="Currency 5 2 2 2 4 3 2" xfId="13486" xr:uid="{86412FDB-6F0E-4721-91B8-FBFC14BB93B5}"/>
    <cellStyle name="Currency 5 2 2 2 4 4" xfId="9268" xr:uid="{E50CAFB5-E435-414A-A8FF-A2BCCA39F6E2}"/>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33D4881B-68AA-45BF-BE74-0481D59F73F7}"/>
    <cellStyle name="Currency 5 2 2 2 5 2 3" xfId="11826" xr:uid="{110DAC7A-E431-4A7D-94D8-0AF4DA0FD42A}"/>
    <cellStyle name="Currency 5 2 2 2 5 3" xfId="5470" xr:uid="{00000000-0005-0000-0000-0000B90B0000}"/>
    <cellStyle name="Currency 5 2 2 2 5 3 2" xfId="13899" xr:uid="{3A984118-BFE1-4025-8EA9-84E555C50807}"/>
    <cellStyle name="Currency 5 2 2 2 5 4" xfId="9681" xr:uid="{B5EA3EAD-A753-4752-8BAF-6A103B795CA3}"/>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B8BB7800-D3DE-4674-9216-0605027AD182}"/>
    <cellStyle name="Currency 5 2 2 2 6 2 3" xfId="12239" xr:uid="{7E4FA1EF-6966-4692-9366-625D7D85F0D9}"/>
    <cellStyle name="Currency 5 2 2 2 6 3" xfId="5883" xr:uid="{00000000-0005-0000-0000-0000BD0B0000}"/>
    <cellStyle name="Currency 5 2 2 2 6 3 2" xfId="14312" xr:uid="{12FF3A7F-9C39-4ECF-AC46-260E219BBE86}"/>
    <cellStyle name="Currency 5 2 2 2 6 4" xfId="10094" xr:uid="{773ADE31-6074-41A1-B561-F33A14BA2B4F}"/>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53D72C8C-83A9-4219-99C7-76B9325AE333}"/>
    <cellStyle name="Currency 5 2 2 2 7 2 3" xfId="12652" xr:uid="{89EBB6D1-775F-4874-B982-210DFADD79BE}"/>
    <cellStyle name="Currency 5 2 2 2 7 3" xfId="6296" xr:uid="{00000000-0005-0000-0000-0000C10B0000}"/>
    <cellStyle name="Currency 5 2 2 2 7 3 2" xfId="14725" xr:uid="{5FBC1B8E-8653-4E1E-9A46-1FA47D87B14E}"/>
    <cellStyle name="Currency 5 2 2 2 7 4" xfId="10507" xr:uid="{487D59E2-4C36-4B47-9C9E-7614F5008518}"/>
    <cellStyle name="Currency 5 2 2 2 8" xfId="2423" xr:uid="{00000000-0005-0000-0000-0000C20B0000}"/>
    <cellStyle name="Currency 5 2 2 2 8 2" xfId="6709" xr:uid="{00000000-0005-0000-0000-0000C30B0000}"/>
    <cellStyle name="Currency 5 2 2 2 8 2 2" xfId="15138" xr:uid="{175405C4-A6B5-40B9-B2D9-85A713EEE789}"/>
    <cellStyle name="Currency 5 2 2 2 8 3" xfId="10920" xr:uid="{B6ABB7A8-968A-4FF2-B482-B8579D000701}"/>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44EB2532-0215-4A5C-9F90-8B6BD12BAB81}"/>
    <cellStyle name="Currency 5 2 2 3 11" xfId="8858" xr:uid="{BEC24040-605E-473B-9469-578EF1FA7F3E}"/>
    <cellStyle name="Currency 5 2 2 3 2" xfId="201" xr:uid="{00000000-0005-0000-0000-0000C70B0000}"/>
    <cellStyle name="Currency 5 2 2 3 2 10" xfId="8859" xr:uid="{0D893954-7456-44BF-8572-7D62839AD921}"/>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5FB486A1-2C7D-426A-AE12-470D779AC87F}"/>
    <cellStyle name="Currency 5 2 2 3 2 2 2 3" xfId="11418" xr:uid="{0297340A-A16D-4900-837E-A3FABEBB7059}"/>
    <cellStyle name="Currency 5 2 2 3 2 2 3" xfId="5062" xr:uid="{00000000-0005-0000-0000-0000CB0B0000}"/>
    <cellStyle name="Currency 5 2 2 3 2 2 3 2" xfId="13491" xr:uid="{8BD81548-3F5D-42F9-84B7-300126B2F45C}"/>
    <cellStyle name="Currency 5 2 2 3 2 2 4" xfId="9273" xr:uid="{706E1852-163C-423F-8A0A-E6A9B7879516}"/>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EDABF552-704C-410B-BDDC-C96A92E0C775}"/>
    <cellStyle name="Currency 5 2 2 3 2 3 2 3" xfId="11831" xr:uid="{8D77761C-315A-4B46-A552-F5A1159E0B1C}"/>
    <cellStyle name="Currency 5 2 2 3 2 3 3" xfId="5475" xr:uid="{00000000-0005-0000-0000-0000CF0B0000}"/>
    <cellStyle name="Currency 5 2 2 3 2 3 3 2" xfId="13904" xr:uid="{5C3C827B-1F92-4882-A714-A79C21274C70}"/>
    <cellStyle name="Currency 5 2 2 3 2 3 4" xfId="9686" xr:uid="{1E7D3B19-0A22-42EA-AA0F-1C1F171E3E52}"/>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B62C068D-BDAB-49FD-809C-4175927F8B7D}"/>
    <cellStyle name="Currency 5 2 2 3 2 4 2 3" xfId="12244" xr:uid="{5E173546-9D2D-4BA1-8ADD-A43E5ED8DAD6}"/>
    <cellStyle name="Currency 5 2 2 3 2 4 3" xfId="5888" xr:uid="{00000000-0005-0000-0000-0000D30B0000}"/>
    <cellStyle name="Currency 5 2 2 3 2 4 3 2" xfId="14317" xr:uid="{35A916F2-BCB9-41CF-BB0F-0CEEB48D0E30}"/>
    <cellStyle name="Currency 5 2 2 3 2 4 4" xfId="10099" xr:uid="{154C2D71-BC69-40EA-974D-16093E5B1777}"/>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8169DE48-1A51-4FD9-A605-01DCAAED4D2C}"/>
    <cellStyle name="Currency 5 2 2 3 2 5 2 3" xfId="12657" xr:uid="{23D68F3B-0F81-401A-9918-1B42D2E3C9A0}"/>
    <cellStyle name="Currency 5 2 2 3 2 5 3" xfId="6301" xr:uid="{00000000-0005-0000-0000-0000D70B0000}"/>
    <cellStyle name="Currency 5 2 2 3 2 5 3 2" xfId="14730" xr:uid="{86A97B12-FA21-4490-94C8-D16B483A1CE0}"/>
    <cellStyle name="Currency 5 2 2 3 2 5 4" xfId="10512" xr:uid="{5F9C7480-CF85-488E-AC92-97488F8D9336}"/>
    <cellStyle name="Currency 5 2 2 3 2 6" xfId="2428" xr:uid="{00000000-0005-0000-0000-0000D80B0000}"/>
    <cellStyle name="Currency 5 2 2 3 2 6 2" xfId="6714" xr:uid="{00000000-0005-0000-0000-0000D90B0000}"/>
    <cellStyle name="Currency 5 2 2 3 2 6 2 2" xfId="15143" xr:uid="{08445003-8552-4469-B0CD-1630F175F8D6}"/>
    <cellStyle name="Currency 5 2 2 3 2 6 3" xfId="10925" xr:uid="{C86474CF-74AD-432D-B95A-B7F9CE763CBC}"/>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66C8ECF6-0988-46B7-A2DB-6EA9A91BBFA9}"/>
    <cellStyle name="Currency 5 2 2 3 2 8 3" xfId="11242" xr:uid="{E0F83AE2-80DE-4B25-97DA-F8383EC4AA13}"/>
    <cellStyle name="Currency 5 2 2 3 2 9" xfId="4648" xr:uid="{00000000-0005-0000-0000-0000DD0B0000}"/>
    <cellStyle name="Currency 5 2 2 3 2 9 2" xfId="13077" xr:uid="{606BA963-19D1-497F-A18B-D729271F968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A3F21895-2820-4A0C-B0DD-DCED4284BA6B}"/>
    <cellStyle name="Currency 5 2 2 3 3 2 3" xfId="11417" xr:uid="{AF7FFBAA-1279-4DAA-B775-5D1E313C7CE5}"/>
    <cellStyle name="Currency 5 2 2 3 3 3" xfId="5061" xr:uid="{00000000-0005-0000-0000-0000E10B0000}"/>
    <cellStyle name="Currency 5 2 2 3 3 3 2" xfId="13490" xr:uid="{50EC6FDA-92B5-4786-B077-B1317169E42E}"/>
    <cellStyle name="Currency 5 2 2 3 3 4" xfId="9272" xr:uid="{DACF459E-FD5A-429A-B72A-B22D14D64B48}"/>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B6D3B6E1-7AE3-48ED-A720-C3950F757089}"/>
    <cellStyle name="Currency 5 2 2 3 4 2 3" xfId="11830" xr:uid="{7CEA4519-344C-480C-A9D4-9BBAC628A0FE}"/>
    <cellStyle name="Currency 5 2 2 3 4 3" xfId="5474" xr:uid="{00000000-0005-0000-0000-0000E50B0000}"/>
    <cellStyle name="Currency 5 2 2 3 4 3 2" xfId="13903" xr:uid="{180829F6-F9B9-42FA-86BC-1715C6942CE9}"/>
    <cellStyle name="Currency 5 2 2 3 4 4" xfId="9685" xr:uid="{B3724EA8-DCD0-47CC-940F-6F45CE15316C}"/>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8D866756-B37C-4427-A03B-2E906CDDC95A}"/>
    <cellStyle name="Currency 5 2 2 3 5 2 3" xfId="12243" xr:uid="{A379ECAA-44DF-49DA-90BA-EF405FA6B104}"/>
    <cellStyle name="Currency 5 2 2 3 5 3" xfId="5887" xr:uid="{00000000-0005-0000-0000-0000E90B0000}"/>
    <cellStyle name="Currency 5 2 2 3 5 3 2" xfId="14316" xr:uid="{CDF5D945-3B18-4853-B31D-55A8C3C45949}"/>
    <cellStyle name="Currency 5 2 2 3 5 4" xfId="10098" xr:uid="{E681D55D-D863-4E7D-B240-F619FE701D53}"/>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142FA7D1-191C-46A2-9C39-28FDB7D3E018}"/>
    <cellStyle name="Currency 5 2 2 3 6 2 3" xfId="12656" xr:uid="{480530FA-9D09-449B-9E74-7436C5164150}"/>
    <cellStyle name="Currency 5 2 2 3 6 3" xfId="6300" xr:uid="{00000000-0005-0000-0000-0000ED0B0000}"/>
    <cellStyle name="Currency 5 2 2 3 6 3 2" xfId="14729" xr:uid="{A1322031-28A0-425D-9E1C-AEE0A64DC69A}"/>
    <cellStyle name="Currency 5 2 2 3 6 4" xfId="10511" xr:uid="{B9B4C86D-4EA7-492E-B627-4E73F8AF8B5D}"/>
    <cellStyle name="Currency 5 2 2 3 7" xfId="2427" xr:uid="{00000000-0005-0000-0000-0000EE0B0000}"/>
    <cellStyle name="Currency 5 2 2 3 7 2" xfId="6713" xr:uid="{00000000-0005-0000-0000-0000EF0B0000}"/>
    <cellStyle name="Currency 5 2 2 3 7 2 2" xfId="15142" xr:uid="{9C97C987-628A-46E1-8446-CBEEE3DB1D34}"/>
    <cellStyle name="Currency 5 2 2 3 7 3" xfId="10924" xr:uid="{89874C4A-BD0C-453D-AE46-7DE18C00C12E}"/>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5ECE5182-B3E9-4580-83B2-610F29684B98}"/>
    <cellStyle name="Currency 5 2 2 3 9 3" xfId="11241" xr:uid="{5FF41EDA-FF45-4396-84A3-5682A6A33FBA}"/>
    <cellStyle name="Currency 5 2 2 4" xfId="202" xr:uid="{00000000-0005-0000-0000-0000F30B0000}"/>
    <cellStyle name="Currency 5 2 2 4 10" xfId="8860" xr:uid="{497C956D-7853-4566-A88D-EB6BBEDFADA7}"/>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3F78600B-8DC8-4405-858D-D23CDAF07DF5}"/>
    <cellStyle name="Currency 5 2 2 4 2 2 3" xfId="11419" xr:uid="{56996968-906C-4609-8F28-43BDC4A8A188}"/>
    <cellStyle name="Currency 5 2 2 4 2 3" xfId="5063" xr:uid="{00000000-0005-0000-0000-0000F70B0000}"/>
    <cellStyle name="Currency 5 2 2 4 2 3 2" xfId="13492" xr:uid="{8F9D6558-98D7-4AE5-AEE6-6587A5C71D3B}"/>
    <cellStyle name="Currency 5 2 2 4 2 4" xfId="9274" xr:uid="{4DF6AFA6-EFD3-4750-A6FD-B8AF86AAC293}"/>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1E6E14AE-2A2A-4815-9D46-5F56C0B9584D}"/>
    <cellStyle name="Currency 5 2 2 4 3 2 3" xfId="11832" xr:uid="{E1912F5C-9E06-4FD2-9507-491D869CFE66}"/>
    <cellStyle name="Currency 5 2 2 4 3 3" xfId="5476" xr:uid="{00000000-0005-0000-0000-0000FB0B0000}"/>
    <cellStyle name="Currency 5 2 2 4 3 3 2" xfId="13905" xr:uid="{EEDDF385-F382-4A6F-A3BD-C002EE5B250E}"/>
    <cellStyle name="Currency 5 2 2 4 3 4" xfId="9687" xr:uid="{EECE2731-B9E1-4205-A375-3991D7E55CCC}"/>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4E292F91-66F6-433F-8078-4BD4EC448F73}"/>
    <cellStyle name="Currency 5 2 2 4 4 2 3" xfId="12245" xr:uid="{BFE8EDFB-7DCD-4F43-A66E-D6C253E95C21}"/>
    <cellStyle name="Currency 5 2 2 4 4 3" xfId="5889" xr:uid="{00000000-0005-0000-0000-0000FF0B0000}"/>
    <cellStyle name="Currency 5 2 2 4 4 3 2" xfId="14318" xr:uid="{FD4D8A08-263D-4056-8CC3-E4F28E542ED4}"/>
    <cellStyle name="Currency 5 2 2 4 4 4" xfId="10100" xr:uid="{292D763B-2FE3-4E4F-8411-DC90350645B1}"/>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B00A0C7F-B26B-469F-8110-4AFFCB17D201}"/>
    <cellStyle name="Currency 5 2 2 4 5 2 3" xfId="12658" xr:uid="{862128FB-8C71-470C-AA23-F98C83336133}"/>
    <cellStyle name="Currency 5 2 2 4 5 3" xfId="6302" xr:uid="{00000000-0005-0000-0000-0000030C0000}"/>
    <cellStyle name="Currency 5 2 2 4 5 3 2" xfId="14731" xr:uid="{181A4424-4BC6-49D9-8BC2-BE40D23B9B40}"/>
    <cellStyle name="Currency 5 2 2 4 5 4" xfId="10513" xr:uid="{36292D38-BD67-485B-913B-F09EA5064D5F}"/>
    <cellStyle name="Currency 5 2 2 4 6" xfId="2429" xr:uid="{00000000-0005-0000-0000-0000040C0000}"/>
    <cellStyle name="Currency 5 2 2 4 6 2" xfId="6715" xr:uid="{00000000-0005-0000-0000-0000050C0000}"/>
    <cellStyle name="Currency 5 2 2 4 6 2 2" xfId="15144" xr:uid="{CEFAFA9F-692D-49D6-805A-7B974DD8949E}"/>
    <cellStyle name="Currency 5 2 2 4 6 3" xfId="10926" xr:uid="{D87BEB9E-FC95-4A37-9794-08AFFC96C983}"/>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3FA5EFD6-1245-4E89-8ADD-453116C4DEF7}"/>
    <cellStyle name="Currency 5 2 2 4 8 3" xfId="11243" xr:uid="{59C0D287-73C1-48A8-8100-C2F38D8F2750}"/>
    <cellStyle name="Currency 5 2 2 4 9" xfId="4649" xr:uid="{00000000-0005-0000-0000-0000090C0000}"/>
    <cellStyle name="Currency 5 2 2 4 9 2" xfId="13078" xr:uid="{9DED3D87-AE62-43F0-966A-877DE6A6DC11}"/>
    <cellStyle name="Currency 5 2 2 5" xfId="203" xr:uid="{00000000-0005-0000-0000-00000A0C0000}"/>
    <cellStyle name="Currency 5 2 2 5 10" xfId="8861" xr:uid="{34B21960-6B5C-45FD-B747-7D702E405A66}"/>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05305E18-95B0-469F-8396-1A3B79D8C520}"/>
    <cellStyle name="Currency 5 2 2 5 2 2 3" xfId="11420" xr:uid="{AF14F4F3-9ED0-4DCF-90CF-C1E889F54335}"/>
    <cellStyle name="Currency 5 2 2 5 2 3" xfId="5064" xr:uid="{00000000-0005-0000-0000-00000E0C0000}"/>
    <cellStyle name="Currency 5 2 2 5 2 3 2" xfId="13493" xr:uid="{DEE30330-189F-49D9-B935-C640C6DA9569}"/>
    <cellStyle name="Currency 5 2 2 5 2 4" xfId="9275" xr:uid="{70BF229C-0746-452B-AA53-5AA9BFE66765}"/>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1E972C17-051A-405B-B9F8-5018940579F1}"/>
    <cellStyle name="Currency 5 2 2 5 3 2 3" xfId="11833" xr:uid="{46BB1562-9C44-4DFA-91C4-6D1A7A6F4D8B}"/>
    <cellStyle name="Currency 5 2 2 5 3 3" xfId="5477" xr:uid="{00000000-0005-0000-0000-0000120C0000}"/>
    <cellStyle name="Currency 5 2 2 5 3 3 2" xfId="13906" xr:uid="{85E8D72E-FC55-44FB-A709-12C0B563E098}"/>
    <cellStyle name="Currency 5 2 2 5 3 4" xfId="9688" xr:uid="{0C7FF977-CAAF-4E69-87D7-7B943B5E15C9}"/>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F49EC132-5A88-496B-BCAE-BA997B71F6D1}"/>
    <cellStyle name="Currency 5 2 2 5 4 2 3" xfId="12246" xr:uid="{B6F0F31A-D3DE-4F0C-982B-AEA6CBB8846D}"/>
    <cellStyle name="Currency 5 2 2 5 4 3" xfId="5890" xr:uid="{00000000-0005-0000-0000-0000160C0000}"/>
    <cellStyle name="Currency 5 2 2 5 4 3 2" xfId="14319" xr:uid="{E82FA8A2-4485-4509-A52E-4352B55DFF3E}"/>
    <cellStyle name="Currency 5 2 2 5 4 4" xfId="10101" xr:uid="{2253A022-7D44-4E06-B93F-FDFE903234FE}"/>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21A27EE6-43BE-4C88-A22A-5CF97D297E25}"/>
    <cellStyle name="Currency 5 2 2 5 5 2 3" xfId="12659" xr:uid="{F3431338-F1E3-470D-B891-BF80EBA4EC5B}"/>
    <cellStyle name="Currency 5 2 2 5 5 3" xfId="6303" xr:uid="{00000000-0005-0000-0000-00001A0C0000}"/>
    <cellStyle name="Currency 5 2 2 5 5 3 2" xfId="14732" xr:uid="{A21AA070-4C93-4294-B2F2-04D29400ADF6}"/>
    <cellStyle name="Currency 5 2 2 5 5 4" xfId="10514" xr:uid="{31F308DB-3C55-45B0-892F-68CCC6358629}"/>
    <cellStyle name="Currency 5 2 2 5 6" xfId="2430" xr:uid="{00000000-0005-0000-0000-00001B0C0000}"/>
    <cellStyle name="Currency 5 2 2 5 6 2" xfId="6716" xr:uid="{00000000-0005-0000-0000-00001C0C0000}"/>
    <cellStyle name="Currency 5 2 2 5 6 2 2" xfId="15145" xr:uid="{A07EF181-C729-4382-BA8A-061E3E4E4D47}"/>
    <cellStyle name="Currency 5 2 2 5 6 3" xfId="10927" xr:uid="{798CCB88-C693-4FFE-9AC1-61BA27AEA676}"/>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2B4DEF75-1D04-4F7C-9FA3-BAB8D161B205}"/>
    <cellStyle name="Currency 5 2 2 5 8 3" xfId="11244" xr:uid="{44D365F8-46DE-4F06-AA36-79D5C7B00061}"/>
    <cellStyle name="Currency 5 2 2 5 9" xfId="4650" xr:uid="{00000000-0005-0000-0000-0000200C0000}"/>
    <cellStyle name="Currency 5 2 2 5 9 2" xfId="13079" xr:uid="{126D2B47-E9BA-455D-9642-0F5E89DB0C18}"/>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ACD62C19-B40C-479C-9747-8DF06D901E25}"/>
    <cellStyle name="Currency 5 2 4 11" xfId="8862" xr:uid="{06350707-A7AE-47AC-98FF-39053C098FA9}"/>
    <cellStyle name="Currency 5 2 4 2" xfId="206" xr:uid="{00000000-0005-0000-0000-0000250C0000}"/>
    <cellStyle name="Currency 5 2 4 2 10" xfId="8863" xr:uid="{CF5893AF-493D-4A7F-92AB-C2EB5C7FE082}"/>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DB14ED1E-0498-4F45-A899-F163C9CBC236}"/>
    <cellStyle name="Currency 5 2 4 2 2 2 3" xfId="11422" xr:uid="{044CFD27-8432-4616-8FDF-C5B076F2CF6C}"/>
    <cellStyle name="Currency 5 2 4 2 2 3" xfId="5066" xr:uid="{00000000-0005-0000-0000-0000290C0000}"/>
    <cellStyle name="Currency 5 2 4 2 2 3 2" xfId="13495" xr:uid="{0E66DD8C-44F7-4402-B279-3CB128CCE61F}"/>
    <cellStyle name="Currency 5 2 4 2 2 4" xfId="9277" xr:uid="{F59EC660-33CB-41AA-8B3E-9567A0900DD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60D0166A-3F85-46EF-904A-D1271D79ECB6}"/>
    <cellStyle name="Currency 5 2 4 2 3 2 3" xfId="11835" xr:uid="{29DA3BEB-6CCD-4671-9CFE-11F8DC2ABD38}"/>
    <cellStyle name="Currency 5 2 4 2 3 3" xfId="5479" xr:uid="{00000000-0005-0000-0000-00002D0C0000}"/>
    <cellStyle name="Currency 5 2 4 2 3 3 2" xfId="13908" xr:uid="{1C2B5D3C-6977-46D5-A8E0-545AF6F0C96C}"/>
    <cellStyle name="Currency 5 2 4 2 3 4" xfId="9690" xr:uid="{3DE7FE2A-63E3-4143-BBE8-C228F2AEB61A}"/>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E07CB9E7-BF93-4E22-90D5-F1F5B1EA024E}"/>
    <cellStyle name="Currency 5 2 4 2 4 2 3" xfId="12248" xr:uid="{6635A7F9-FA65-45BE-8F24-F1BD9AD011EB}"/>
    <cellStyle name="Currency 5 2 4 2 4 3" xfId="5892" xr:uid="{00000000-0005-0000-0000-0000310C0000}"/>
    <cellStyle name="Currency 5 2 4 2 4 3 2" xfId="14321" xr:uid="{BDF15F98-248F-4C06-84A1-E83029CE7B23}"/>
    <cellStyle name="Currency 5 2 4 2 4 4" xfId="10103" xr:uid="{BE4F74C7-9BBE-47C0-96C2-3687124FC5E4}"/>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25581A67-45C6-494A-80E2-92E2D3E179AF}"/>
    <cellStyle name="Currency 5 2 4 2 5 2 3" xfId="12661" xr:uid="{0D927CDC-07C7-400B-B4B2-95AA940FA620}"/>
    <cellStyle name="Currency 5 2 4 2 5 3" xfId="6305" xr:uid="{00000000-0005-0000-0000-0000350C0000}"/>
    <cellStyle name="Currency 5 2 4 2 5 3 2" xfId="14734" xr:uid="{5159CF0B-2251-4D2C-919D-EAEA1F19A5C1}"/>
    <cellStyle name="Currency 5 2 4 2 5 4" xfId="10516" xr:uid="{915C7242-6633-48DA-9F12-73A7F1CBBB7E}"/>
    <cellStyle name="Currency 5 2 4 2 6" xfId="2432" xr:uid="{00000000-0005-0000-0000-0000360C0000}"/>
    <cellStyle name="Currency 5 2 4 2 6 2" xfId="6718" xr:uid="{00000000-0005-0000-0000-0000370C0000}"/>
    <cellStyle name="Currency 5 2 4 2 6 2 2" xfId="15147" xr:uid="{99F34935-81E8-4B65-AADC-49D93461B27F}"/>
    <cellStyle name="Currency 5 2 4 2 6 3" xfId="10929" xr:uid="{09764124-DED4-408E-877C-C5576AB28120}"/>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B37019D8-9A57-4DAA-B12A-36491F403757}"/>
    <cellStyle name="Currency 5 2 4 2 8 3" xfId="11246" xr:uid="{66A7E5FD-8B92-4C1B-BA3E-73C17B10C8BF}"/>
    <cellStyle name="Currency 5 2 4 2 9" xfId="4652" xr:uid="{00000000-0005-0000-0000-00003B0C0000}"/>
    <cellStyle name="Currency 5 2 4 2 9 2" xfId="13081" xr:uid="{4CC5DAEB-6B8F-4908-A9DF-12EB14A9CDCE}"/>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43BA4BDB-6634-4EDC-BCBC-D0E36FA0BBBC}"/>
    <cellStyle name="Currency 5 2 4 3 2 3" xfId="11421" xr:uid="{9C35F2D2-741B-4142-B77C-CAE6E5D07ED1}"/>
    <cellStyle name="Currency 5 2 4 3 3" xfId="5065" xr:uid="{00000000-0005-0000-0000-00003F0C0000}"/>
    <cellStyle name="Currency 5 2 4 3 3 2" xfId="13494" xr:uid="{18ECBDEE-A3F6-4624-8B29-D00EEC3A8E8A}"/>
    <cellStyle name="Currency 5 2 4 3 4" xfId="9276" xr:uid="{52712EF2-59EB-4BDB-8844-5B7881CE4F3F}"/>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149ED683-BFBC-4B3C-9487-0ABFDA89FCAE}"/>
    <cellStyle name="Currency 5 2 4 4 2 3" xfId="11834" xr:uid="{CD25D4FC-4D8B-4C20-8667-7BC97B939C9E}"/>
    <cellStyle name="Currency 5 2 4 4 3" xfId="5478" xr:uid="{00000000-0005-0000-0000-0000430C0000}"/>
    <cellStyle name="Currency 5 2 4 4 3 2" xfId="13907" xr:uid="{8BD68A8A-E469-4412-B36D-D5C347FE5A3A}"/>
    <cellStyle name="Currency 5 2 4 4 4" xfId="9689" xr:uid="{8D2DB538-27C9-4E49-A766-4D022DBB8771}"/>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4B7428BC-78D5-4A16-9068-103FC3ACCD12}"/>
    <cellStyle name="Currency 5 2 4 5 2 3" xfId="12247" xr:uid="{1283A6C2-FBD5-4B16-AE75-1CC929F045C5}"/>
    <cellStyle name="Currency 5 2 4 5 3" xfId="5891" xr:uid="{00000000-0005-0000-0000-0000470C0000}"/>
    <cellStyle name="Currency 5 2 4 5 3 2" xfId="14320" xr:uid="{962C50F5-0C32-4D7C-84D0-84204B1252D5}"/>
    <cellStyle name="Currency 5 2 4 5 4" xfId="10102" xr:uid="{A3FE1AE2-A8F1-4D41-B378-C113EEB1DAD8}"/>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EEE49D83-D814-47E0-AFFD-3B07434D1D08}"/>
    <cellStyle name="Currency 5 2 4 6 2 3" xfId="12660" xr:uid="{8D110ADD-F0DA-4067-BF20-CA4E373AE232}"/>
    <cellStyle name="Currency 5 2 4 6 3" xfId="6304" xr:uid="{00000000-0005-0000-0000-00004B0C0000}"/>
    <cellStyle name="Currency 5 2 4 6 3 2" xfId="14733" xr:uid="{82664968-19F3-473E-AB28-46FF2803B31E}"/>
    <cellStyle name="Currency 5 2 4 6 4" xfId="10515" xr:uid="{876F8A7E-D092-4248-81A4-369497EBC9B6}"/>
    <cellStyle name="Currency 5 2 4 7" xfId="2431" xr:uid="{00000000-0005-0000-0000-00004C0C0000}"/>
    <cellStyle name="Currency 5 2 4 7 2" xfId="6717" xr:uid="{00000000-0005-0000-0000-00004D0C0000}"/>
    <cellStyle name="Currency 5 2 4 7 2 2" xfId="15146" xr:uid="{ADEB15DF-6C45-4C4C-9534-58F1010F9A8B}"/>
    <cellStyle name="Currency 5 2 4 7 3" xfId="10928" xr:uid="{37ACE993-C2DD-4CAF-985D-87F1AA0B93D7}"/>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5314AE75-CCD7-43D7-BDB7-C35B77435CA3}"/>
    <cellStyle name="Currency 5 2 4 9 3" xfId="11245" xr:uid="{D448FDF7-76FE-4D9C-8E7C-938CA68DCA6A}"/>
    <cellStyle name="Currency 5 2 5" xfId="207" xr:uid="{00000000-0005-0000-0000-0000510C0000}"/>
    <cellStyle name="Currency 5 2 5 10" xfId="8864" xr:uid="{824BB53B-3A97-4BFB-84AA-89314A833BF6}"/>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F6459FCF-8C97-4BD5-B148-C601163251A0}"/>
    <cellStyle name="Currency 5 2 5 2 2 3" xfId="11423" xr:uid="{F753567E-4EC9-41CD-B3FC-474AEA8E8BCF}"/>
    <cellStyle name="Currency 5 2 5 2 3" xfId="5067" xr:uid="{00000000-0005-0000-0000-0000550C0000}"/>
    <cellStyle name="Currency 5 2 5 2 3 2" xfId="13496" xr:uid="{BA9243D8-EF52-42B3-A024-B4F9FFB9509A}"/>
    <cellStyle name="Currency 5 2 5 2 4" xfId="9278" xr:uid="{C072A3F5-35C6-4AEB-867C-9E529835BB7D}"/>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0F5B8D35-2893-4030-A757-EDAB85913499}"/>
    <cellStyle name="Currency 5 2 5 3 2 3" xfId="11836" xr:uid="{856317DA-D850-4751-ADE5-2D4CDEE73037}"/>
    <cellStyle name="Currency 5 2 5 3 3" xfId="5480" xr:uid="{00000000-0005-0000-0000-0000590C0000}"/>
    <cellStyle name="Currency 5 2 5 3 3 2" xfId="13909" xr:uid="{35E926AC-45C3-49B4-8EF1-EC5EF1EB2B46}"/>
    <cellStyle name="Currency 5 2 5 3 4" xfId="9691" xr:uid="{74004E73-39E8-48D2-ACF9-E220CB639581}"/>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73553747-9503-4A5D-82C0-6327371D8AA7}"/>
    <cellStyle name="Currency 5 2 5 4 2 3" xfId="12249" xr:uid="{1E8A1450-3ADA-4F3A-AC30-E68071321742}"/>
    <cellStyle name="Currency 5 2 5 4 3" xfId="5893" xr:uid="{00000000-0005-0000-0000-00005D0C0000}"/>
    <cellStyle name="Currency 5 2 5 4 3 2" xfId="14322" xr:uid="{ECE61F1E-C15F-47DD-8113-13FB97259C6C}"/>
    <cellStyle name="Currency 5 2 5 4 4" xfId="10104" xr:uid="{AF960327-BAF9-4F27-A473-E4FC7FC542EB}"/>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C51E298A-6900-4E4F-94E1-55C5885A4272}"/>
    <cellStyle name="Currency 5 2 5 5 2 3" xfId="12662" xr:uid="{CEB7B79E-CC86-4D6A-97DB-7E7D1A3363CD}"/>
    <cellStyle name="Currency 5 2 5 5 3" xfId="6306" xr:uid="{00000000-0005-0000-0000-0000610C0000}"/>
    <cellStyle name="Currency 5 2 5 5 3 2" xfId="14735" xr:uid="{AF99E3B5-FCC3-44A4-BCE6-C3486BB3780F}"/>
    <cellStyle name="Currency 5 2 5 5 4" xfId="10517" xr:uid="{01C2B949-45CE-42E0-913A-E8BBFD1151F8}"/>
    <cellStyle name="Currency 5 2 5 6" xfId="2433" xr:uid="{00000000-0005-0000-0000-0000620C0000}"/>
    <cellStyle name="Currency 5 2 5 6 2" xfId="6719" xr:uid="{00000000-0005-0000-0000-0000630C0000}"/>
    <cellStyle name="Currency 5 2 5 6 2 2" xfId="15148" xr:uid="{DAEBDD7E-D9D5-4CD7-9055-DF04DA9A6DF3}"/>
    <cellStyle name="Currency 5 2 5 6 3" xfId="10930" xr:uid="{2100C521-B907-4129-8A47-40636A3737A1}"/>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448FC181-6E2A-4800-9FDA-3E697A8AB2AF}"/>
    <cellStyle name="Currency 5 2 5 8 3" xfId="11247" xr:uid="{3B02DE4C-883F-46C6-ADBA-682FC5207128}"/>
    <cellStyle name="Currency 5 2 5 9" xfId="4653" xr:uid="{00000000-0005-0000-0000-0000670C0000}"/>
    <cellStyle name="Currency 5 2 5 9 2" xfId="13082" xr:uid="{0639328D-5E14-48C3-B2F7-FA656DDD23D2}"/>
    <cellStyle name="Currency 5 2 6" xfId="208" xr:uid="{00000000-0005-0000-0000-0000680C0000}"/>
    <cellStyle name="Currency 5 2 6 10" xfId="8865" xr:uid="{58C072CB-C7BB-47BA-9EE1-67413A8BBDBD}"/>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78316EC7-38E8-4820-9846-738F6DCBC732}"/>
    <cellStyle name="Currency 5 2 6 2 2 3" xfId="11424" xr:uid="{7E4598F2-86E9-4AA1-AB06-436739F6D738}"/>
    <cellStyle name="Currency 5 2 6 2 3" xfId="5068" xr:uid="{00000000-0005-0000-0000-00006C0C0000}"/>
    <cellStyle name="Currency 5 2 6 2 3 2" xfId="13497" xr:uid="{8AF7C1DD-3993-4C0B-9952-EEB9F179BE16}"/>
    <cellStyle name="Currency 5 2 6 2 4" xfId="9279" xr:uid="{872AFB37-5A0B-48A7-B445-524FDCB23670}"/>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83A7AFEE-4308-4959-9A12-E14ECEE44174}"/>
    <cellStyle name="Currency 5 2 6 3 2 3" xfId="11837" xr:uid="{53FF8F58-7565-412B-959C-8ECEE0F2F500}"/>
    <cellStyle name="Currency 5 2 6 3 3" xfId="5481" xr:uid="{00000000-0005-0000-0000-0000700C0000}"/>
    <cellStyle name="Currency 5 2 6 3 3 2" xfId="13910" xr:uid="{89F0A021-331B-4AD3-B84C-6F3CDCC41092}"/>
    <cellStyle name="Currency 5 2 6 3 4" xfId="9692" xr:uid="{5BC40510-6C4F-4410-BCC4-1C2DA22C58FC}"/>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334BFDC7-9F5B-4DE8-B05C-5CA9C80F6CC6}"/>
    <cellStyle name="Currency 5 2 6 4 2 3" xfId="12250" xr:uid="{16A2063F-E451-405C-A747-66EBEEF84A88}"/>
    <cellStyle name="Currency 5 2 6 4 3" xfId="5894" xr:uid="{00000000-0005-0000-0000-0000740C0000}"/>
    <cellStyle name="Currency 5 2 6 4 3 2" xfId="14323" xr:uid="{6D860035-434F-4DCE-867D-AC9DF031ABD8}"/>
    <cellStyle name="Currency 5 2 6 4 4" xfId="10105" xr:uid="{2C32E639-0875-459D-A923-0DE8328DB98D}"/>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03B6B902-3317-4935-BF36-68931EE33621}"/>
    <cellStyle name="Currency 5 2 6 5 2 3" xfId="12663" xr:uid="{11929835-C2D6-4DDB-8952-A5F047D7CB65}"/>
    <cellStyle name="Currency 5 2 6 5 3" xfId="6307" xr:uid="{00000000-0005-0000-0000-0000780C0000}"/>
    <cellStyle name="Currency 5 2 6 5 3 2" xfId="14736" xr:uid="{A52454B6-0B73-426C-B302-F43C97428EB7}"/>
    <cellStyle name="Currency 5 2 6 5 4" xfId="10518" xr:uid="{1DA03E8F-668A-4B21-AEB5-50CDFC26EBEC}"/>
    <cellStyle name="Currency 5 2 6 6" xfId="2434" xr:uid="{00000000-0005-0000-0000-0000790C0000}"/>
    <cellStyle name="Currency 5 2 6 6 2" xfId="6720" xr:uid="{00000000-0005-0000-0000-00007A0C0000}"/>
    <cellStyle name="Currency 5 2 6 6 2 2" xfId="15149" xr:uid="{6B25B310-A2DC-4837-AC88-723D25028D46}"/>
    <cellStyle name="Currency 5 2 6 6 3" xfId="10931" xr:uid="{40FF4EDE-6675-4B76-8E7C-82BF6545E16A}"/>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A65C536D-DDAD-4EDD-BD2E-51677C6D8B1F}"/>
    <cellStyle name="Currency 5 2 6 8 3" xfId="11248" xr:uid="{C2D1BA8E-2B19-4C9F-97E2-61A520421705}"/>
    <cellStyle name="Currency 5 2 6 9" xfId="4654" xr:uid="{00000000-0005-0000-0000-00007E0C0000}"/>
    <cellStyle name="Currency 5 2 6 9 2" xfId="13083" xr:uid="{6EEB533B-FF41-414F-B8C5-CC4830AF1FFE}"/>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89377A4B-8E7D-4E01-98B9-C378113205CA}"/>
    <cellStyle name="Currency 5 3 2 10 3" xfId="11249" xr:uid="{0325A636-9202-47FA-B0C9-2800C068B701}"/>
    <cellStyle name="Currency 5 3 2 11" xfId="4655" xr:uid="{00000000-0005-0000-0000-0000840C0000}"/>
    <cellStyle name="Currency 5 3 2 11 2" xfId="13084" xr:uid="{8D6F9C70-9779-47AF-81DC-8E8E1C140B75}"/>
    <cellStyle name="Currency 5 3 2 12" xfId="8866" xr:uid="{EF214A41-D318-483C-9532-0A9A47D56C43}"/>
    <cellStyle name="Currency 5 3 2 2" xfId="211" xr:uid="{00000000-0005-0000-0000-0000850C0000}"/>
    <cellStyle name="Currency 5 3 2 2 10" xfId="4656" xr:uid="{00000000-0005-0000-0000-0000860C0000}"/>
    <cellStyle name="Currency 5 3 2 2 10 2" xfId="13085" xr:uid="{4608ECC0-3F46-4CB7-BAEE-05CBA83B7FED}"/>
    <cellStyle name="Currency 5 3 2 2 11" xfId="8867" xr:uid="{9AA6C444-2CEE-4DA6-A592-AD618E16015A}"/>
    <cellStyle name="Currency 5 3 2 2 2" xfId="212" xr:uid="{00000000-0005-0000-0000-0000870C0000}"/>
    <cellStyle name="Currency 5 3 2 2 2 10" xfId="8868" xr:uid="{52F99E6C-30E1-4D51-9229-55A3D9591CB8}"/>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A2BA5E3A-05D9-436D-8D38-D12C9AC41C77}"/>
    <cellStyle name="Currency 5 3 2 2 2 2 2 3" xfId="11427" xr:uid="{BCC000CA-225F-4C6D-AF37-B398A0CA8E6A}"/>
    <cellStyle name="Currency 5 3 2 2 2 2 3" xfId="5071" xr:uid="{00000000-0005-0000-0000-00008B0C0000}"/>
    <cellStyle name="Currency 5 3 2 2 2 2 3 2" xfId="13500" xr:uid="{1038504F-DBBF-414A-AFA0-A97A14386BDB}"/>
    <cellStyle name="Currency 5 3 2 2 2 2 4" xfId="9282" xr:uid="{A9AC1441-132C-45CE-891B-6DB36D60BE73}"/>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C4F9D976-9DBA-40F0-BB7C-C682376FD1DD}"/>
    <cellStyle name="Currency 5 3 2 2 2 3 2 3" xfId="11840" xr:uid="{CE978B7A-5734-4FB2-8F60-11164827915F}"/>
    <cellStyle name="Currency 5 3 2 2 2 3 3" xfId="5484" xr:uid="{00000000-0005-0000-0000-00008F0C0000}"/>
    <cellStyle name="Currency 5 3 2 2 2 3 3 2" xfId="13913" xr:uid="{24530E83-4C1E-470D-82D9-3B971FB16AD3}"/>
    <cellStyle name="Currency 5 3 2 2 2 3 4" xfId="9695" xr:uid="{35D61466-6CB5-4D4B-A61E-B8CFBF75EAD9}"/>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19CAE92-A67E-4CD7-9A54-F9D118C0B88C}"/>
    <cellStyle name="Currency 5 3 2 2 2 4 2 3" xfId="12253" xr:uid="{6AA92D59-829A-492D-9ABC-4587853E2BB3}"/>
    <cellStyle name="Currency 5 3 2 2 2 4 3" xfId="5897" xr:uid="{00000000-0005-0000-0000-0000930C0000}"/>
    <cellStyle name="Currency 5 3 2 2 2 4 3 2" xfId="14326" xr:uid="{85BCFEE6-AA8A-46B1-8633-320F805A44C6}"/>
    <cellStyle name="Currency 5 3 2 2 2 4 4" xfId="10108" xr:uid="{98390054-9A3B-41D2-8DAD-56C4EE69C6BA}"/>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7B745152-C4D4-4D48-B398-A27DB695DC6F}"/>
    <cellStyle name="Currency 5 3 2 2 2 5 2 3" xfId="12666" xr:uid="{B9905784-6B88-44B6-BD01-80196D8F35A2}"/>
    <cellStyle name="Currency 5 3 2 2 2 5 3" xfId="6310" xr:uid="{00000000-0005-0000-0000-0000970C0000}"/>
    <cellStyle name="Currency 5 3 2 2 2 5 3 2" xfId="14739" xr:uid="{CB91B842-6465-4CE5-8675-A1F737223C9F}"/>
    <cellStyle name="Currency 5 3 2 2 2 5 4" xfId="10521" xr:uid="{E909EDE2-9F17-4A2B-AD8E-1FB54D5744CD}"/>
    <cellStyle name="Currency 5 3 2 2 2 6" xfId="2437" xr:uid="{00000000-0005-0000-0000-0000980C0000}"/>
    <cellStyle name="Currency 5 3 2 2 2 6 2" xfId="6723" xr:uid="{00000000-0005-0000-0000-0000990C0000}"/>
    <cellStyle name="Currency 5 3 2 2 2 6 2 2" xfId="15152" xr:uid="{5945ACBD-7CA8-430A-98AF-7463834FCAE0}"/>
    <cellStyle name="Currency 5 3 2 2 2 6 3" xfId="10934" xr:uid="{C213AFDD-FD52-451D-B7E4-81CCA2C7FD9C}"/>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B3C8BD72-5ADD-4856-A34D-C80C6B7FB11C}"/>
    <cellStyle name="Currency 5 3 2 2 2 8 3" xfId="11251" xr:uid="{76EF3FAB-460C-4BCA-897A-3DE0C32E2E02}"/>
    <cellStyle name="Currency 5 3 2 2 2 9" xfId="4657" xr:uid="{00000000-0005-0000-0000-00009D0C0000}"/>
    <cellStyle name="Currency 5 3 2 2 2 9 2" xfId="13086" xr:uid="{D7893B66-2E89-4700-85DB-F1F196B779F9}"/>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59FA663F-EED0-48E7-9421-A4AE53067FC7}"/>
    <cellStyle name="Currency 5 3 2 2 3 2 3" xfId="11426" xr:uid="{7964A0F6-DF1A-481E-B6F6-3CC8AA01A582}"/>
    <cellStyle name="Currency 5 3 2 2 3 3" xfId="5070" xr:uid="{00000000-0005-0000-0000-0000A10C0000}"/>
    <cellStyle name="Currency 5 3 2 2 3 3 2" xfId="13499" xr:uid="{1E0FC8E2-584C-41AA-A8CE-982EC6B0ADCE}"/>
    <cellStyle name="Currency 5 3 2 2 3 4" xfId="9281" xr:uid="{3015AEC1-1F70-4B0E-8D1E-02AD842D71CC}"/>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73D4434B-EB94-4BF5-8EA6-11BE26B382DA}"/>
    <cellStyle name="Currency 5 3 2 2 4 2 3" xfId="11839" xr:uid="{6DCC9BD4-0FA1-4A2C-9E79-BAE0CBBD8A5F}"/>
    <cellStyle name="Currency 5 3 2 2 4 3" xfId="5483" xr:uid="{00000000-0005-0000-0000-0000A50C0000}"/>
    <cellStyle name="Currency 5 3 2 2 4 3 2" xfId="13912" xr:uid="{ACDEBF9C-80CE-4201-B614-76DBFD50112A}"/>
    <cellStyle name="Currency 5 3 2 2 4 4" xfId="9694" xr:uid="{240023DB-4E19-4393-B3FC-EB4BF7DBC593}"/>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A83824EA-298C-4A5C-86DD-96F7C17E146A}"/>
    <cellStyle name="Currency 5 3 2 2 5 2 3" xfId="12252" xr:uid="{0006A87B-D18D-4F9E-B130-F332C9DE62C0}"/>
    <cellStyle name="Currency 5 3 2 2 5 3" xfId="5896" xr:uid="{00000000-0005-0000-0000-0000A90C0000}"/>
    <cellStyle name="Currency 5 3 2 2 5 3 2" xfId="14325" xr:uid="{B47AAADE-F1D0-42E5-94FB-D98E164FBBC6}"/>
    <cellStyle name="Currency 5 3 2 2 5 4" xfId="10107" xr:uid="{AC702EDA-C912-4E9B-AE47-FF3465B7461C}"/>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836A94B2-B1AF-40ED-9006-C23B70F60E2E}"/>
    <cellStyle name="Currency 5 3 2 2 6 2 3" xfId="12665" xr:uid="{FB215123-8AA4-4629-BA0B-A08D7926B19E}"/>
    <cellStyle name="Currency 5 3 2 2 6 3" xfId="6309" xr:uid="{00000000-0005-0000-0000-0000AD0C0000}"/>
    <cellStyle name="Currency 5 3 2 2 6 3 2" xfId="14738" xr:uid="{612B8CC2-C1DA-4209-9D48-10CDC6E3F709}"/>
    <cellStyle name="Currency 5 3 2 2 6 4" xfId="10520" xr:uid="{0CFB8DEB-BA5A-4D4A-A2E5-C0EFA6C08198}"/>
    <cellStyle name="Currency 5 3 2 2 7" xfId="2436" xr:uid="{00000000-0005-0000-0000-0000AE0C0000}"/>
    <cellStyle name="Currency 5 3 2 2 7 2" xfId="6722" xr:uid="{00000000-0005-0000-0000-0000AF0C0000}"/>
    <cellStyle name="Currency 5 3 2 2 7 2 2" xfId="15151" xr:uid="{7DD15335-03DB-483D-BA83-4E62B364AF8D}"/>
    <cellStyle name="Currency 5 3 2 2 7 3" xfId="10933" xr:uid="{811D5C21-08F8-4258-B9D6-C4E85E5E78E4}"/>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85F50267-A347-45EA-86FA-4B0561DCFA66}"/>
    <cellStyle name="Currency 5 3 2 2 9 3" xfId="11250" xr:uid="{8F33CF94-FD71-4AB4-A714-EE8B934B001D}"/>
    <cellStyle name="Currency 5 3 2 3" xfId="213" xr:uid="{00000000-0005-0000-0000-0000B30C0000}"/>
    <cellStyle name="Currency 5 3 2 3 10" xfId="8869" xr:uid="{96A4BAA8-E0D4-4389-BEFE-2EE362CBFD9C}"/>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A520AA78-2271-40EE-B5D6-6D114ADAD441}"/>
    <cellStyle name="Currency 5 3 2 3 2 2 3" xfId="11428" xr:uid="{8AAC5B61-F7A9-4F96-9CCF-C58D9E9A481E}"/>
    <cellStyle name="Currency 5 3 2 3 2 3" xfId="5072" xr:uid="{00000000-0005-0000-0000-0000B70C0000}"/>
    <cellStyle name="Currency 5 3 2 3 2 3 2" xfId="13501" xr:uid="{AF2F8A39-F62A-42B6-B153-F7700B4EDA35}"/>
    <cellStyle name="Currency 5 3 2 3 2 4" xfId="9283" xr:uid="{E8585BD5-7BE0-40A2-8976-824114AC4044}"/>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9E081F06-4C28-4E9A-AE72-56237B233D7E}"/>
    <cellStyle name="Currency 5 3 2 3 3 2 3" xfId="11841" xr:uid="{2AA83C70-FE9F-4CB5-ACC2-B94E113B3B44}"/>
    <cellStyle name="Currency 5 3 2 3 3 3" xfId="5485" xr:uid="{00000000-0005-0000-0000-0000BB0C0000}"/>
    <cellStyle name="Currency 5 3 2 3 3 3 2" xfId="13914" xr:uid="{FEE0A34E-D007-4152-AB02-BEAF32BAB3DA}"/>
    <cellStyle name="Currency 5 3 2 3 3 4" xfId="9696" xr:uid="{0C19D714-C9FC-4E40-BCAD-1CC9EC8C4D43}"/>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14757D5E-D23C-4044-97DF-CE9484AF65E9}"/>
    <cellStyle name="Currency 5 3 2 3 4 2 3" xfId="12254" xr:uid="{5479095D-7D0F-4FA9-9BCE-3C1F21635A45}"/>
    <cellStyle name="Currency 5 3 2 3 4 3" xfId="5898" xr:uid="{00000000-0005-0000-0000-0000BF0C0000}"/>
    <cellStyle name="Currency 5 3 2 3 4 3 2" xfId="14327" xr:uid="{C481D583-C359-4589-A7BB-64844494469B}"/>
    <cellStyle name="Currency 5 3 2 3 4 4" xfId="10109" xr:uid="{8FD09FCF-197A-4766-9AFC-6CA122EFB04C}"/>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256AC6A4-28E0-46F8-B3E5-8CC2FF3FB1D0}"/>
    <cellStyle name="Currency 5 3 2 3 5 2 3" xfId="12667" xr:uid="{6F2F4C5F-B7F0-420A-AB4F-C95E8843BA7E}"/>
    <cellStyle name="Currency 5 3 2 3 5 3" xfId="6311" xr:uid="{00000000-0005-0000-0000-0000C30C0000}"/>
    <cellStyle name="Currency 5 3 2 3 5 3 2" xfId="14740" xr:uid="{E63D9693-2C28-467F-88CE-1697CB624582}"/>
    <cellStyle name="Currency 5 3 2 3 5 4" xfId="10522" xr:uid="{036EBFFD-B31F-4FD3-894C-10C643844D96}"/>
    <cellStyle name="Currency 5 3 2 3 6" xfId="2438" xr:uid="{00000000-0005-0000-0000-0000C40C0000}"/>
    <cellStyle name="Currency 5 3 2 3 6 2" xfId="6724" xr:uid="{00000000-0005-0000-0000-0000C50C0000}"/>
    <cellStyle name="Currency 5 3 2 3 6 2 2" xfId="15153" xr:uid="{9CA35822-024C-420B-B1E8-A8E5AD0440B1}"/>
    <cellStyle name="Currency 5 3 2 3 6 3" xfId="10935" xr:uid="{7652732A-5271-4E44-803F-DBD0AA832FD3}"/>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96988523-C7C5-4479-A8DE-E5C4B9AFC9F8}"/>
    <cellStyle name="Currency 5 3 2 3 8 3" xfId="11252" xr:uid="{FF1FDD0E-CEF5-4064-906F-948E1B80D146}"/>
    <cellStyle name="Currency 5 3 2 3 9" xfId="4658" xr:uid="{00000000-0005-0000-0000-0000C90C0000}"/>
    <cellStyle name="Currency 5 3 2 3 9 2" xfId="13087" xr:uid="{1160F8E8-A154-4E25-94C2-B6731EE1E54A}"/>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4B83CBD4-4E80-42FF-B698-B54594861498}"/>
    <cellStyle name="Currency 5 3 2 4 2 3" xfId="11425" xr:uid="{551C30CA-E7C3-4ACD-85B5-AE4C2C1B12F1}"/>
    <cellStyle name="Currency 5 3 2 4 3" xfId="5069" xr:uid="{00000000-0005-0000-0000-0000CD0C0000}"/>
    <cellStyle name="Currency 5 3 2 4 3 2" xfId="13498" xr:uid="{030C67E4-1676-4D2D-983B-8516839D60DF}"/>
    <cellStyle name="Currency 5 3 2 4 4" xfId="9280" xr:uid="{9688931D-7FAC-480F-B627-4448B2FFA128}"/>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3FC3DD40-DE1C-4CEB-A59E-AD5C9FBACF51}"/>
    <cellStyle name="Currency 5 3 2 5 2 3" xfId="11838" xr:uid="{F849E859-399B-4D4D-B513-B4AAE71792E6}"/>
    <cellStyle name="Currency 5 3 2 5 3" xfId="5482" xr:uid="{00000000-0005-0000-0000-0000D10C0000}"/>
    <cellStyle name="Currency 5 3 2 5 3 2" xfId="13911" xr:uid="{B91BCF4F-CD95-4D3F-8144-2B140F72B5D7}"/>
    <cellStyle name="Currency 5 3 2 5 4" xfId="9693" xr:uid="{E8A4DFE3-3672-45D7-9256-AE5F882AFD88}"/>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D0B37BFE-D669-4249-99A5-18F506F0E0D0}"/>
    <cellStyle name="Currency 5 3 2 6 2 3" xfId="12251" xr:uid="{B8D08310-864D-49E0-B76A-816970F5B646}"/>
    <cellStyle name="Currency 5 3 2 6 3" xfId="5895" xr:uid="{00000000-0005-0000-0000-0000D50C0000}"/>
    <cellStyle name="Currency 5 3 2 6 3 2" xfId="14324" xr:uid="{39A53859-153B-4863-862A-9ABB9903786A}"/>
    <cellStyle name="Currency 5 3 2 6 4" xfId="10106" xr:uid="{D229446E-AD15-47F9-B751-6FDCCECC1400}"/>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0CD4F851-F2AE-402E-9F04-7C23658DB1DB}"/>
    <cellStyle name="Currency 5 3 2 7 2 3" xfId="12664" xr:uid="{CCE95A44-E908-4B68-A2EE-086401CC0EE9}"/>
    <cellStyle name="Currency 5 3 2 7 3" xfId="6308" xr:uid="{00000000-0005-0000-0000-0000D90C0000}"/>
    <cellStyle name="Currency 5 3 2 7 3 2" xfId="14737" xr:uid="{F36F5994-2B70-40BC-A677-17B921BEDB8A}"/>
    <cellStyle name="Currency 5 3 2 7 4" xfId="10519" xr:uid="{F15A7518-C324-48D2-9914-01CE03A172C8}"/>
    <cellStyle name="Currency 5 3 2 8" xfId="2435" xr:uid="{00000000-0005-0000-0000-0000DA0C0000}"/>
    <cellStyle name="Currency 5 3 2 8 2" xfId="6721" xr:uid="{00000000-0005-0000-0000-0000DB0C0000}"/>
    <cellStyle name="Currency 5 3 2 8 2 2" xfId="15150" xr:uid="{41BD7C3B-59BC-4907-BEB6-D44F80067E53}"/>
    <cellStyle name="Currency 5 3 2 8 3" xfId="10932" xr:uid="{3E598E0C-4D83-4BD6-BE58-A9E6F79B7683}"/>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EE8AFB5C-D9AE-4CE1-9A60-107CAA0A1719}"/>
    <cellStyle name="Currency 5 3 3 11" xfId="8870" xr:uid="{39647E23-6FCF-477F-97A7-CA28DB487CB0}"/>
    <cellStyle name="Currency 5 3 3 2" xfId="215" xr:uid="{00000000-0005-0000-0000-0000DF0C0000}"/>
    <cellStyle name="Currency 5 3 3 2 10" xfId="8871" xr:uid="{CB3392D1-A524-4DAC-9E3D-66B2C742D21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1AEECFB4-D5B3-496F-ADF1-04854523C3A9}"/>
    <cellStyle name="Currency 5 3 3 2 2 2 3" xfId="11430" xr:uid="{D54AACA5-9539-4E3C-A36B-1B78019DC30F}"/>
    <cellStyle name="Currency 5 3 3 2 2 3" xfId="5074" xr:uid="{00000000-0005-0000-0000-0000E30C0000}"/>
    <cellStyle name="Currency 5 3 3 2 2 3 2" xfId="13503" xr:uid="{B66E5DF4-F198-47C0-A236-F590750338A1}"/>
    <cellStyle name="Currency 5 3 3 2 2 4" xfId="9285" xr:uid="{7087B150-E67B-46B1-B4AE-AD112FA50C09}"/>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4F8C1FE2-E1A7-4A03-94BF-DBEBF02A934A}"/>
    <cellStyle name="Currency 5 3 3 2 3 2 3" xfId="11843" xr:uid="{0059773C-F1A1-4B68-9AD2-4F231BBAEBF6}"/>
    <cellStyle name="Currency 5 3 3 2 3 3" xfId="5487" xr:uid="{00000000-0005-0000-0000-0000E70C0000}"/>
    <cellStyle name="Currency 5 3 3 2 3 3 2" xfId="13916" xr:uid="{AF781C72-E07C-4FCE-97C0-D02CE42EEC55}"/>
    <cellStyle name="Currency 5 3 3 2 3 4" xfId="9698" xr:uid="{C8B204A3-AB5B-4D20-B0C7-E40E95D512E7}"/>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24F39F54-4E77-44B0-9808-FCE104C2BBED}"/>
    <cellStyle name="Currency 5 3 3 2 4 2 3" xfId="12256" xr:uid="{F6AA432D-F1AB-4E60-A41B-3D3026A305D8}"/>
    <cellStyle name="Currency 5 3 3 2 4 3" xfId="5900" xr:uid="{00000000-0005-0000-0000-0000EB0C0000}"/>
    <cellStyle name="Currency 5 3 3 2 4 3 2" xfId="14329" xr:uid="{8898D9BB-6283-4890-AB80-93F0CBF036E8}"/>
    <cellStyle name="Currency 5 3 3 2 4 4" xfId="10111" xr:uid="{DDD0C5C6-D4E4-4A82-8B61-E6253104325C}"/>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17F1C140-F762-4EEC-9404-F19D847423B1}"/>
    <cellStyle name="Currency 5 3 3 2 5 2 3" xfId="12669" xr:uid="{34549DA1-C22F-4CEC-B30F-93B004E98920}"/>
    <cellStyle name="Currency 5 3 3 2 5 3" xfId="6313" xr:uid="{00000000-0005-0000-0000-0000EF0C0000}"/>
    <cellStyle name="Currency 5 3 3 2 5 3 2" xfId="14742" xr:uid="{FEFAEB57-0327-413B-A2D1-0B9B58E63DC1}"/>
    <cellStyle name="Currency 5 3 3 2 5 4" xfId="10524" xr:uid="{AD66C6B6-C69F-4344-A523-F10FB674DD87}"/>
    <cellStyle name="Currency 5 3 3 2 6" xfId="2440" xr:uid="{00000000-0005-0000-0000-0000F00C0000}"/>
    <cellStyle name="Currency 5 3 3 2 6 2" xfId="6726" xr:uid="{00000000-0005-0000-0000-0000F10C0000}"/>
    <cellStyle name="Currency 5 3 3 2 6 2 2" xfId="15155" xr:uid="{235BDB56-8C69-4C9C-9CF2-681C560817C2}"/>
    <cellStyle name="Currency 5 3 3 2 6 3" xfId="10937" xr:uid="{CCEC0E95-8A89-4A38-8126-DE637D124BC2}"/>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25863EB6-17EE-46A7-AD5E-03F18E1A7EEA}"/>
    <cellStyle name="Currency 5 3 3 2 8 3" xfId="11254" xr:uid="{8C14D575-D50A-4941-B4CE-B050C543DF24}"/>
    <cellStyle name="Currency 5 3 3 2 9" xfId="4660" xr:uid="{00000000-0005-0000-0000-0000F50C0000}"/>
    <cellStyle name="Currency 5 3 3 2 9 2" xfId="13089" xr:uid="{3760EF74-2B96-4F43-9057-ECA7A185909B}"/>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38282CB6-1B62-428D-91D1-260B19C32C78}"/>
    <cellStyle name="Currency 5 3 3 3 2 3" xfId="11429" xr:uid="{0A7C58A2-1019-4772-B4E9-AEABF01F8867}"/>
    <cellStyle name="Currency 5 3 3 3 3" xfId="5073" xr:uid="{00000000-0005-0000-0000-0000F90C0000}"/>
    <cellStyle name="Currency 5 3 3 3 3 2" xfId="13502" xr:uid="{12953F95-135D-4E33-9C76-D372B98FE051}"/>
    <cellStyle name="Currency 5 3 3 3 4" xfId="9284" xr:uid="{6733AA1E-45C1-436F-8799-98D9262F337B}"/>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446A59E3-A5CF-4073-BBC5-F9E95340969C}"/>
    <cellStyle name="Currency 5 3 3 4 2 3" xfId="11842" xr:uid="{931A1871-F7D3-48C5-9DA6-0E93454BFC47}"/>
    <cellStyle name="Currency 5 3 3 4 3" xfId="5486" xr:uid="{00000000-0005-0000-0000-0000FD0C0000}"/>
    <cellStyle name="Currency 5 3 3 4 3 2" xfId="13915" xr:uid="{43E49B5E-0FA5-47C3-9B6B-F235098079BB}"/>
    <cellStyle name="Currency 5 3 3 4 4" xfId="9697" xr:uid="{393576CB-984D-4201-9886-FDBE19073159}"/>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17D8135F-36C4-4E40-A4EC-BBC969CB2CCB}"/>
    <cellStyle name="Currency 5 3 3 5 2 3" xfId="12255" xr:uid="{5E64D6B5-EA4E-4108-B5A2-5CA187C3FFD3}"/>
    <cellStyle name="Currency 5 3 3 5 3" xfId="5899" xr:uid="{00000000-0005-0000-0000-0000010D0000}"/>
    <cellStyle name="Currency 5 3 3 5 3 2" xfId="14328" xr:uid="{7CCC6D58-0F6A-4481-907E-4882B3C12DBD}"/>
    <cellStyle name="Currency 5 3 3 5 4" xfId="10110" xr:uid="{2F9DAD75-56A8-4674-9843-46CC2B79CBA1}"/>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751D844D-DB42-4B0F-94DE-3AD3B998BAFF}"/>
    <cellStyle name="Currency 5 3 3 6 2 3" xfId="12668" xr:uid="{6119F516-58BA-47DB-AA79-5664A4BBD049}"/>
    <cellStyle name="Currency 5 3 3 6 3" xfId="6312" xr:uid="{00000000-0005-0000-0000-0000050D0000}"/>
    <cellStyle name="Currency 5 3 3 6 3 2" xfId="14741" xr:uid="{30588F2E-BCD0-400F-98D6-086A4569D16F}"/>
    <cellStyle name="Currency 5 3 3 6 4" xfId="10523" xr:uid="{F22E3F9B-D928-42E4-ADDB-13E4E601E2EA}"/>
    <cellStyle name="Currency 5 3 3 7" xfId="2439" xr:uid="{00000000-0005-0000-0000-0000060D0000}"/>
    <cellStyle name="Currency 5 3 3 7 2" xfId="6725" xr:uid="{00000000-0005-0000-0000-0000070D0000}"/>
    <cellStyle name="Currency 5 3 3 7 2 2" xfId="15154" xr:uid="{17A7EC53-9172-4278-A881-9C5F67CAC5BA}"/>
    <cellStyle name="Currency 5 3 3 7 3" xfId="10936" xr:uid="{626870F2-8505-44FF-A036-AE3D2E07860F}"/>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1614BCFF-79BE-4976-8563-B1F0F634822E}"/>
    <cellStyle name="Currency 5 3 3 9 3" xfId="11253" xr:uid="{B9DB8244-8576-488F-837D-E70848A88925}"/>
    <cellStyle name="Currency 5 3 4" xfId="216" xr:uid="{00000000-0005-0000-0000-00000B0D0000}"/>
    <cellStyle name="Currency 5 3 4 10" xfId="8872" xr:uid="{6CC3D711-D267-46A3-8A69-622B05B3398D}"/>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C88483D2-36EF-468E-B2E7-9D1B62A3E647}"/>
    <cellStyle name="Currency 5 3 4 2 2 3" xfId="11431" xr:uid="{9437EA20-A266-4B1E-995A-A7F440825971}"/>
    <cellStyle name="Currency 5 3 4 2 3" xfId="5075" xr:uid="{00000000-0005-0000-0000-00000F0D0000}"/>
    <cellStyle name="Currency 5 3 4 2 3 2" xfId="13504" xr:uid="{22CB42E2-4288-4E0F-BAE8-5FEB82207C54}"/>
    <cellStyle name="Currency 5 3 4 2 4" xfId="9286" xr:uid="{42DE2E12-849E-4A13-B3D4-2E481D2D0624}"/>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BBB51708-C4F6-47CA-BBC4-788972BBA074}"/>
    <cellStyle name="Currency 5 3 4 3 2 3" xfId="11844" xr:uid="{47B33A09-FB2C-4D73-A428-B24F1F8B8810}"/>
    <cellStyle name="Currency 5 3 4 3 3" xfId="5488" xr:uid="{00000000-0005-0000-0000-0000130D0000}"/>
    <cellStyle name="Currency 5 3 4 3 3 2" xfId="13917" xr:uid="{22624DBF-54B7-40EB-8FF0-5780F1DA9CDE}"/>
    <cellStyle name="Currency 5 3 4 3 4" xfId="9699" xr:uid="{8AE4B4EC-3F07-44C4-B04B-E33DA4FBFB63}"/>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ECA14EB6-5FF7-482B-B1B8-D20E4DEFEB3E}"/>
    <cellStyle name="Currency 5 3 4 4 2 3" xfId="12257" xr:uid="{6F3AA74F-4357-4E1E-B65D-C9AE97323639}"/>
    <cellStyle name="Currency 5 3 4 4 3" xfId="5901" xr:uid="{00000000-0005-0000-0000-0000170D0000}"/>
    <cellStyle name="Currency 5 3 4 4 3 2" xfId="14330" xr:uid="{FACC96EA-D30B-40D2-B886-163963FC31D2}"/>
    <cellStyle name="Currency 5 3 4 4 4" xfId="10112" xr:uid="{D3216A83-33FF-4EC0-A6E8-CAAE27DB26BB}"/>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B12B5021-48F6-4AF2-8160-70AEE55960CB}"/>
    <cellStyle name="Currency 5 3 4 5 2 3" xfId="12670" xr:uid="{AF74374B-6ADB-4231-8E20-617EAFFCAC47}"/>
    <cellStyle name="Currency 5 3 4 5 3" xfId="6314" xr:uid="{00000000-0005-0000-0000-00001B0D0000}"/>
    <cellStyle name="Currency 5 3 4 5 3 2" xfId="14743" xr:uid="{7D100700-5936-46C5-BD78-29F968052EEC}"/>
    <cellStyle name="Currency 5 3 4 5 4" xfId="10525" xr:uid="{80DAF2D1-8B6D-4303-A9BE-CE235D52E64F}"/>
    <cellStyle name="Currency 5 3 4 6" xfId="2441" xr:uid="{00000000-0005-0000-0000-00001C0D0000}"/>
    <cellStyle name="Currency 5 3 4 6 2" xfId="6727" xr:uid="{00000000-0005-0000-0000-00001D0D0000}"/>
    <cellStyle name="Currency 5 3 4 6 2 2" xfId="15156" xr:uid="{E63925C8-87AD-4F05-B934-6347AB7BE435}"/>
    <cellStyle name="Currency 5 3 4 6 3" xfId="10938" xr:uid="{0637838C-8903-4E95-A293-80A58B52C584}"/>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6606E430-1288-49A5-B074-B4C6ED30950F}"/>
    <cellStyle name="Currency 5 3 4 8 3" xfId="11255" xr:uid="{8E8A8276-0995-4AD0-A4A7-DCE71CB8EB40}"/>
    <cellStyle name="Currency 5 3 4 9" xfId="4661" xr:uid="{00000000-0005-0000-0000-0000210D0000}"/>
    <cellStyle name="Currency 5 3 4 9 2" xfId="13090" xr:uid="{28590A49-8ED3-4251-8E84-2A3A4A550215}"/>
    <cellStyle name="Currency 5 3 5" xfId="217" xr:uid="{00000000-0005-0000-0000-0000220D0000}"/>
    <cellStyle name="Currency 5 3 5 10" xfId="8873" xr:uid="{7BE3AC6E-BAC8-42AC-806B-789A9CC0AA4F}"/>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ECA1F72F-10C0-4D80-A92E-53994703AB04}"/>
    <cellStyle name="Currency 5 3 5 2 2 3" xfId="11432" xr:uid="{3ED32249-DECB-462E-B226-FC700B8A5862}"/>
    <cellStyle name="Currency 5 3 5 2 3" xfId="5076" xr:uid="{00000000-0005-0000-0000-0000260D0000}"/>
    <cellStyle name="Currency 5 3 5 2 3 2" xfId="13505" xr:uid="{49F6EAFB-38A3-4D5C-959D-27F9F01C825C}"/>
    <cellStyle name="Currency 5 3 5 2 4" xfId="9287" xr:uid="{96E3AE1E-28F3-48A7-A7A2-A1A3CE6922AC}"/>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F54BF897-E54B-41D9-BD3A-18446FCAC0CF}"/>
    <cellStyle name="Currency 5 3 5 3 2 3" xfId="11845" xr:uid="{5BCBF725-3CF0-46DB-87AF-3B38DA1EB5B4}"/>
    <cellStyle name="Currency 5 3 5 3 3" xfId="5489" xr:uid="{00000000-0005-0000-0000-00002A0D0000}"/>
    <cellStyle name="Currency 5 3 5 3 3 2" xfId="13918" xr:uid="{F564B3E8-8CEE-4571-9060-34D3C9590FF6}"/>
    <cellStyle name="Currency 5 3 5 3 4" xfId="9700" xr:uid="{17925133-D3B7-4F02-97E3-959D85F215BD}"/>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27EFF337-FC3A-4EDC-93F8-652E4F70D59E}"/>
    <cellStyle name="Currency 5 3 5 4 2 3" xfId="12258" xr:uid="{ABC24DD8-4007-4ED2-B85B-A457C3646F73}"/>
    <cellStyle name="Currency 5 3 5 4 3" xfId="5902" xr:uid="{00000000-0005-0000-0000-00002E0D0000}"/>
    <cellStyle name="Currency 5 3 5 4 3 2" xfId="14331" xr:uid="{5B7B2747-88FE-4A57-B0EF-9E86AE9F3CD1}"/>
    <cellStyle name="Currency 5 3 5 4 4" xfId="10113" xr:uid="{AE4890B6-E4E6-4176-BAFE-344533F83036}"/>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F39FF964-319E-4252-8A58-E34836467910}"/>
    <cellStyle name="Currency 5 3 5 5 2 3" xfId="12671" xr:uid="{9AD64E1E-9D61-40DF-B80C-F6C1EDB892A1}"/>
    <cellStyle name="Currency 5 3 5 5 3" xfId="6315" xr:uid="{00000000-0005-0000-0000-0000320D0000}"/>
    <cellStyle name="Currency 5 3 5 5 3 2" xfId="14744" xr:uid="{D6113765-B2E9-4270-92E3-FEA25052FA99}"/>
    <cellStyle name="Currency 5 3 5 5 4" xfId="10526" xr:uid="{FDE237D2-E45F-4E5C-B7AC-575B4FC8F759}"/>
    <cellStyle name="Currency 5 3 5 6" xfId="2442" xr:uid="{00000000-0005-0000-0000-0000330D0000}"/>
    <cellStyle name="Currency 5 3 5 6 2" xfId="6728" xr:uid="{00000000-0005-0000-0000-0000340D0000}"/>
    <cellStyle name="Currency 5 3 5 6 2 2" xfId="15157" xr:uid="{ABBEC257-1244-4E18-9AC2-E8B87B031139}"/>
    <cellStyle name="Currency 5 3 5 6 3" xfId="10939" xr:uid="{798E9BC6-385F-489E-8E12-118FD9445350}"/>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04F77BDE-AD2E-4792-B596-69BEE554014F}"/>
    <cellStyle name="Currency 5 3 5 8 3" xfId="11256" xr:uid="{FABA703A-579A-4A0C-864C-1FD50CCB7C4F}"/>
    <cellStyle name="Currency 5 3 5 9" xfId="4662" xr:uid="{00000000-0005-0000-0000-0000380D0000}"/>
    <cellStyle name="Currency 5 3 5 9 2" xfId="13091" xr:uid="{F318DBA6-6F90-4EA5-BE23-0F6069303CC2}"/>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83EF273B-3DB1-4D24-83FB-5B61E4F23CF6}"/>
    <cellStyle name="Currency 5 5 11" xfId="8874" xr:uid="{D43B83BF-50C4-4292-846F-ABF6BE457876}"/>
    <cellStyle name="Currency 5 5 2" xfId="220" xr:uid="{00000000-0005-0000-0000-00003D0D0000}"/>
    <cellStyle name="Currency 5 5 2 10" xfId="8875" xr:uid="{AF74554E-9797-4B67-B031-A8941CE38E5E}"/>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384BA00D-DADB-4F96-B5A4-858A9C9943F4}"/>
    <cellStyle name="Currency 5 5 2 2 2 3" xfId="11434" xr:uid="{2259E13F-752B-45BE-A66F-777912DEF875}"/>
    <cellStyle name="Currency 5 5 2 2 3" xfId="5078" xr:uid="{00000000-0005-0000-0000-0000410D0000}"/>
    <cellStyle name="Currency 5 5 2 2 3 2" xfId="13507" xr:uid="{2A5DD4A9-3BB1-4DD6-978F-198003A620C7}"/>
    <cellStyle name="Currency 5 5 2 2 4" xfId="9289" xr:uid="{30D08D8E-E707-49A6-AB36-367B20F0B871}"/>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F6A5D86A-317D-4974-B42F-94AB3E2906D3}"/>
    <cellStyle name="Currency 5 5 2 3 2 3" xfId="11847" xr:uid="{E83061C4-AB7A-4EFC-A6A9-C58DD8FB3474}"/>
    <cellStyle name="Currency 5 5 2 3 3" xfId="5491" xr:uid="{00000000-0005-0000-0000-0000450D0000}"/>
    <cellStyle name="Currency 5 5 2 3 3 2" xfId="13920" xr:uid="{73A36FEF-3B82-4BB1-B1FC-F153EF4F320C}"/>
    <cellStyle name="Currency 5 5 2 3 4" xfId="9702" xr:uid="{3CA81563-A460-46EA-9AA2-ACE5A94F25A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490856B-23F3-4928-B885-C5294646A2C3}"/>
    <cellStyle name="Currency 5 5 2 4 2 3" xfId="12260" xr:uid="{FD2B25D0-C74D-4A7D-86E9-EB8FAFF026F6}"/>
    <cellStyle name="Currency 5 5 2 4 3" xfId="5904" xr:uid="{00000000-0005-0000-0000-0000490D0000}"/>
    <cellStyle name="Currency 5 5 2 4 3 2" xfId="14333" xr:uid="{CAF3D229-F368-4589-9CAC-1CF42553A77A}"/>
    <cellStyle name="Currency 5 5 2 4 4" xfId="10115" xr:uid="{F2339BB5-02A7-4FD6-86E9-6C3BEA4B3FF1}"/>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BA53EEBD-2D2C-46CE-8A63-7C8B46970448}"/>
    <cellStyle name="Currency 5 5 2 5 2 3" xfId="12673" xr:uid="{08B110EC-8F37-42F4-A46B-FB96027DF4E8}"/>
    <cellStyle name="Currency 5 5 2 5 3" xfId="6317" xr:uid="{00000000-0005-0000-0000-00004D0D0000}"/>
    <cellStyle name="Currency 5 5 2 5 3 2" xfId="14746" xr:uid="{7C44DA32-2B33-4ED9-8F1B-24D5B0F26779}"/>
    <cellStyle name="Currency 5 5 2 5 4" xfId="10528" xr:uid="{3E7C973B-AFDB-488F-8CFA-BB4BEC34BC28}"/>
    <cellStyle name="Currency 5 5 2 6" xfId="2444" xr:uid="{00000000-0005-0000-0000-00004E0D0000}"/>
    <cellStyle name="Currency 5 5 2 6 2" xfId="6730" xr:uid="{00000000-0005-0000-0000-00004F0D0000}"/>
    <cellStyle name="Currency 5 5 2 6 2 2" xfId="15159" xr:uid="{1448DCC5-8E5B-49F7-AE39-C1B6F07B8E3A}"/>
    <cellStyle name="Currency 5 5 2 6 3" xfId="10941" xr:uid="{5FF79616-CB27-4B41-B36D-F34361C19CD6}"/>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892E288E-7F92-4444-8401-DFA3C9D55696}"/>
    <cellStyle name="Currency 5 5 2 8 3" xfId="11258" xr:uid="{87FA368B-616F-4EFB-856A-CEF7D2F155C3}"/>
    <cellStyle name="Currency 5 5 2 9" xfId="4664" xr:uid="{00000000-0005-0000-0000-0000530D0000}"/>
    <cellStyle name="Currency 5 5 2 9 2" xfId="13093" xr:uid="{496A6070-4D52-4BF5-83ED-84AF39A0B479}"/>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FB790A98-9A4B-4C21-A3AE-5362F26BBE24}"/>
    <cellStyle name="Currency 5 5 3 2 3" xfId="11433" xr:uid="{CF4372D5-DF3D-4ABF-AF34-F64A48C9B32F}"/>
    <cellStyle name="Currency 5 5 3 3" xfId="5077" xr:uid="{00000000-0005-0000-0000-0000570D0000}"/>
    <cellStyle name="Currency 5 5 3 3 2" xfId="13506" xr:uid="{10F0BFFA-01C4-497B-947C-9F49B1B7252C}"/>
    <cellStyle name="Currency 5 5 3 4" xfId="9288" xr:uid="{6A6DED47-4510-4A4A-AADC-274BF11AE42A}"/>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9E8C6D5C-441D-4909-B750-0A2082C4BA58}"/>
    <cellStyle name="Currency 5 5 4 2 3" xfId="11846" xr:uid="{0AD64A88-B5D2-4E1A-A220-A33AAF8AAD39}"/>
    <cellStyle name="Currency 5 5 4 3" xfId="5490" xr:uid="{00000000-0005-0000-0000-00005B0D0000}"/>
    <cellStyle name="Currency 5 5 4 3 2" xfId="13919" xr:uid="{B2523A0F-001F-41C1-B6E0-57E8491C495E}"/>
    <cellStyle name="Currency 5 5 4 4" xfId="9701" xr:uid="{D2444F81-19CA-4037-8938-3405DB46ABA0}"/>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59E34D43-493C-4CE2-B852-D00EAD2C35CA}"/>
    <cellStyle name="Currency 5 5 5 2 3" xfId="12259" xr:uid="{40007765-2CAC-44A0-9856-3CA1B0355A24}"/>
    <cellStyle name="Currency 5 5 5 3" xfId="5903" xr:uid="{00000000-0005-0000-0000-00005F0D0000}"/>
    <cellStyle name="Currency 5 5 5 3 2" xfId="14332" xr:uid="{2A9C6DF7-87F2-4799-982F-0D765E55169B}"/>
    <cellStyle name="Currency 5 5 5 4" xfId="10114" xr:uid="{DC458AD8-499C-4B79-9051-B55E29BB9B48}"/>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31CF1487-B870-4C71-8911-790EDE3C2FAC}"/>
    <cellStyle name="Currency 5 5 6 2 3" xfId="12672" xr:uid="{21A1D0E9-70F6-4D15-B887-4F4093340B4A}"/>
    <cellStyle name="Currency 5 5 6 3" xfId="6316" xr:uid="{00000000-0005-0000-0000-0000630D0000}"/>
    <cellStyle name="Currency 5 5 6 3 2" xfId="14745" xr:uid="{C2D9C6BC-3BEA-4163-B948-8B8FF4288741}"/>
    <cellStyle name="Currency 5 5 6 4" xfId="10527" xr:uid="{084FECFE-2A3C-4E59-88BC-76D78B549B3C}"/>
    <cellStyle name="Currency 5 5 7" xfId="2443" xr:uid="{00000000-0005-0000-0000-0000640D0000}"/>
    <cellStyle name="Currency 5 5 7 2" xfId="6729" xr:uid="{00000000-0005-0000-0000-0000650D0000}"/>
    <cellStyle name="Currency 5 5 7 2 2" xfId="15158" xr:uid="{E4FB1EA6-0597-4CA5-B044-2DC4288AFD8C}"/>
    <cellStyle name="Currency 5 5 7 3" xfId="10940" xr:uid="{D4B1979E-F084-4A3B-8841-B1C7AD34079B}"/>
    <cellStyle name="Currency 5 5 8" xfId="2740" xr:uid="{00000000-0005-0000-0000-0000660D0000}"/>
    <cellStyle name="Currency 5 5 9" xfId="2821" xr:uid="{00000000-0005-0000-0000-0000670D0000}"/>
    <cellStyle name="Currency 5 5 9 2" xfId="7046" xr:uid="{00000000-0005-0000-0000-0000680D0000}"/>
    <cellStyle name="Currency 5 5 9 2 2" xfId="15475" xr:uid="{870648B5-B2E1-4E08-9424-7AB687854055}"/>
    <cellStyle name="Currency 5 5 9 3" xfId="11257" xr:uid="{7AB07068-C393-4194-9AE4-5B61C1EB08C7}"/>
    <cellStyle name="Currency 5 6" xfId="221" xr:uid="{00000000-0005-0000-0000-0000690D0000}"/>
    <cellStyle name="Currency 5 6 10" xfId="8876" xr:uid="{D8EC9272-0148-4A98-9F34-58BA976C0034}"/>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A6118903-026C-49D6-BF56-B2CBF5AF0B06}"/>
    <cellStyle name="Currency 5 6 2 2 3" xfId="11435" xr:uid="{4FA245CB-338C-4371-BFBF-43E041FE6B30}"/>
    <cellStyle name="Currency 5 6 2 3" xfId="5079" xr:uid="{00000000-0005-0000-0000-00006D0D0000}"/>
    <cellStyle name="Currency 5 6 2 3 2" xfId="13508" xr:uid="{3826307D-225E-4F8B-99B1-033A6B9CF039}"/>
    <cellStyle name="Currency 5 6 2 4" xfId="9290" xr:uid="{953FB9CC-C001-405D-B00F-885B533BC74F}"/>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44E72246-33DB-4D2F-BCD7-041D7484FCCD}"/>
    <cellStyle name="Currency 5 6 3 2 3" xfId="11848" xr:uid="{80AE0D31-38EF-49F5-BDA4-9402D7A0E47B}"/>
    <cellStyle name="Currency 5 6 3 3" xfId="5492" xr:uid="{00000000-0005-0000-0000-0000710D0000}"/>
    <cellStyle name="Currency 5 6 3 3 2" xfId="13921" xr:uid="{2F53B792-9FC0-4D9B-821D-99349A070113}"/>
    <cellStyle name="Currency 5 6 3 4" xfId="9703" xr:uid="{3615463E-DFE7-494B-80D0-3CEE0629028E}"/>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D4F037A7-27C0-485F-9AA4-19BE85410BBE}"/>
    <cellStyle name="Currency 5 6 4 2 3" xfId="12261" xr:uid="{1BACCEF0-46CE-4E01-857D-DA5D98D420BA}"/>
    <cellStyle name="Currency 5 6 4 3" xfId="5905" xr:uid="{00000000-0005-0000-0000-0000750D0000}"/>
    <cellStyle name="Currency 5 6 4 3 2" xfId="14334" xr:uid="{30324F29-6ACD-4AC4-B918-CD4A2F3C5ACC}"/>
    <cellStyle name="Currency 5 6 4 4" xfId="10116" xr:uid="{0332E622-208F-4846-810C-38F919B439FE}"/>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4340DF3E-FDA3-42D3-AD25-5900D950635A}"/>
    <cellStyle name="Currency 5 6 5 2 3" xfId="12674" xr:uid="{E1899483-AC69-451B-8BC1-F25DB6B8E0E6}"/>
    <cellStyle name="Currency 5 6 5 3" xfId="6318" xr:uid="{00000000-0005-0000-0000-0000790D0000}"/>
    <cellStyle name="Currency 5 6 5 3 2" xfId="14747" xr:uid="{FA743768-8CA4-435B-B3E5-85CA4B8E2400}"/>
    <cellStyle name="Currency 5 6 5 4" xfId="10529" xr:uid="{026F54A7-7A58-48AF-828F-B53B4971C9D9}"/>
    <cellStyle name="Currency 5 6 6" xfId="2445" xr:uid="{00000000-0005-0000-0000-00007A0D0000}"/>
    <cellStyle name="Currency 5 6 6 2" xfId="6731" xr:uid="{00000000-0005-0000-0000-00007B0D0000}"/>
    <cellStyle name="Currency 5 6 6 2 2" xfId="15160" xr:uid="{A194C122-30B1-4843-9E81-D55695982EE2}"/>
    <cellStyle name="Currency 5 6 6 3" xfId="10942" xr:uid="{23D92C69-E6D8-4EC1-A520-DD90A792405F}"/>
    <cellStyle name="Currency 5 6 7" xfId="2742" xr:uid="{00000000-0005-0000-0000-00007C0D0000}"/>
    <cellStyle name="Currency 5 6 8" xfId="2823" xr:uid="{00000000-0005-0000-0000-00007D0D0000}"/>
    <cellStyle name="Currency 5 6 8 2" xfId="7048" xr:uid="{00000000-0005-0000-0000-00007E0D0000}"/>
    <cellStyle name="Currency 5 6 8 2 2" xfId="15477" xr:uid="{A7D566F9-1E5D-4DEB-A8E3-12069369F1D6}"/>
    <cellStyle name="Currency 5 6 8 3" xfId="11259" xr:uid="{CCEF3A9A-A7DB-49CB-B596-6A66981AE7D7}"/>
    <cellStyle name="Currency 5 6 9" xfId="4665" xr:uid="{00000000-0005-0000-0000-00007F0D0000}"/>
    <cellStyle name="Currency 5 6 9 2" xfId="13094" xr:uid="{D98A1B69-9450-4D8A-971E-DE4BB8EAEE72}"/>
    <cellStyle name="Currency 5 7" xfId="222" xr:uid="{00000000-0005-0000-0000-0000800D0000}"/>
    <cellStyle name="Currency 5 7 10" xfId="8877" xr:uid="{35E928CC-8D7C-48A7-91DD-42281EBB7F58}"/>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C6C5147C-8A99-4459-BB2F-FE613744E14C}"/>
    <cellStyle name="Currency 5 7 2 2 3" xfId="11436" xr:uid="{B3446A42-BC43-4DDE-8DFE-6EBB2FD4779F}"/>
    <cellStyle name="Currency 5 7 2 3" xfId="5080" xr:uid="{00000000-0005-0000-0000-0000840D0000}"/>
    <cellStyle name="Currency 5 7 2 3 2" xfId="13509" xr:uid="{7462620C-FE8D-414B-A16F-DB0B917654D4}"/>
    <cellStyle name="Currency 5 7 2 4" xfId="9291" xr:uid="{EB7C382F-97CD-4A6B-8BE6-6B6734C475AD}"/>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1390161D-958D-4550-B68F-A4F0EBA10EB9}"/>
    <cellStyle name="Currency 5 7 3 2 3" xfId="11849" xr:uid="{A2EF5771-D9C9-4AE5-BFEF-2BE86CB3F436}"/>
    <cellStyle name="Currency 5 7 3 3" xfId="5493" xr:uid="{00000000-0005-0000-0000-0000880D0000}"/>
    <cellStyle name="Currency 5 7 3 3 2" xfId="13922" xr:uid="{CC8A001E-6D30-4F2D-964A-36AAB3FA2783}"/>
    <cellStyle name="Currency 5 7 3 4" xfId="9704" xr:uid="{24E3F1BB-DE00-467E-B31C-FE541F1C38C8}"/>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24230D4-68BB-4202-B520-40A6FA9C349C}"/>
    <cellStyle name="Currency 5 7 4 2 3" xfId="12262" xr:uid="{0A40AC11-53C8-4387-A3E1-81CDA0102B84}"/>
    <cellStyle name="Currency 5 7 4 3" xfId="5906" xr:uid="{00000000-0005-0000-0000-00008C0D0000}"/>
    <cellStyle name="Currency 5 7 4 3 2" xfId="14335" xr:uid="{3AE332DB-CD27-475A-81CD-5227384A1B62}"/>
    <cellStyle name="Currency 5 7 4 4" xfId="10117" xr:uid="{499A9F6A-A362-42F3-ABD9-75E79EBD288B}"/>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D0480A2D-8D14-4A8E-BFA9-8CE51D53D7DB}"/>
    <cellStyle name="Currency 5 7 5 2 3" xfId="12675" xr:uid="{F0C1F0F0-22BF-44AE-B5C3-D98450F37183}"/>
    <cellStyle name="Currency 5 7 5 3" xfId="6319" xr:uid="{00000000-0005-0000-0000-0000900D0000}"/>
    <cellStyle name="Currency 5 7 5 3 2" xfId="14748" xr:uid="{4DEF41F3-E5B1-442B-8069-B74A61EBA391}"/>
    <cellStyle name="Currency 5 7 5 4" xfId="10530" xr:uid="{446B6E9D-875E-43C1-AB3D-19DBCA86248C}"/>
    <cellStyle name="Currency 5 7 6" xfId="2446" xr:uid="{00000000-0005-0000-0000-0000910D0000}"/>
    <cellStyle name="Currency 5 7 6 2" xfId="6732" xr:uid="{00000000-0005-0000-0000-0000920D0000}"/>
    <cellStyle name="Currency 5 7 6 2 2" xfId="15161" xr:uid="{CA383D1F-97AF-43F5-9314-44406F5D7FC9}"/>
    <cellStyle name="Currency 5 7 6 3" xfId="10943" xr:uid="{1BFD014B-50EA-46CA-BE85-CE0B68FB8E6D}"/>
    <cellStyle name="Currency 5 7 7" xfId="2743" xr:uid="{00000000-0005-0000-0000-0000930D0000}"/>
    <cellStyle name="Currency 5 7 8" xfId="2824" xr:uid="{00000000-0005-0000-0000-0000940D0000}"/>
    <cellStyle name="Currency 5 7 8 2" xfId="7049" xr:uid="{00000000-0005-0000-0000-0000950D0000}"/>
    <cellStyle name="Currency 5 7 8 2 2" xfId="15478" xr:uid="{B017FED2-1FA4-4443-AA99-B74BB3B98728}"/>
    <cellStyle name="Currency 5 7 8 3" xfId="11260" xr:uid="{7E858AF4-A24F-4534-8B1B-41E6250AEE10}"/>
    <cellStyle name="Currency 5 7 9" xfId="4666" xr:uid="{00000000-0005-0000-0000-0000960D0000}"/>
    <cellStyle name="Currency 5 7 9 2" xfId="13095" xr:uid="{71D5AA60-752A-42F0-ABBE-73367A132411}"/>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173BC375-7F2D-4CC5-8114-218B242D040A}"/>
    <cellStyle name="Normal 12 10 3" xfId="10944" xr:uid="{6CCA45BA-5A6E-46B3-B51B-1159822BCE9B}"/>
    <cellStyle name="Normal 12 11" xfId="4667" xr:uid="{00000000-0005-0000-0000-0000CC0D0000}"/>
    <cellStyle name="Normal 12 11 2" xfId="13096" xr:uid="{DF84DE42-B1CF-4CF7-BF87-19C7DCF447E2}"/>
    <cellStyle name="Normal 12 12" xfId="8878" xr:uid="{9BA3A6D2-17CD-4B1D-A55A-FA073383D2A3}"/>
    <cellStyle name="Normal 12 2" xfId="260" xr:uid="{00000000-0005-0000-0000-0000CD0D0000}"/>
    <cellStyle name="Normal 12 2 10" xfId="8879" xr:uid="{D2BC9E6A-03E5-416E-81F7-FC95F957F4D2}"/>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5F169BA7-9626-4F5C-B683-232145299D73}"/>
    <cellStyle name="Normal 12 2 2 2 2 2 3" xfId="11440" xr:uid="{E125A6F1-8D6E-42FC-8E35-9A2669A9B08C}"/>
    <cellStyle name="Normal 12 2 2 2 2 3" xfId="5084" xr:uid="{00000000-0005-0000-0000-0000D30D0000}"/>
    <cellStyle name="Normal 12 2 2 2 2 3 2" xfId="13513" xr:uid="{F02507B8-8803-458F-AF14-B04EC5E862AB}"/>
    <cellStyle name="Normal 12 2 2 2 2 4" xfId="9295" xr:uid="{27B5D216-1B1A-4A93-9BE8-033151A44BBF}"/>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444E9C70-279B-4CED-9E1A-E60494ABD2A3}"/>
    <cellStyle name="Normal 12 2 2 2 3 2 3" xfId="11853" xr:uid="{F74DC27E-DBC7-4D59-B95D-40DCA7B7E16F}"/>
    <cellStyle name="Normal 12 2 2 2 3 3" xfId="5497" xr:uid="{00000000-0005-0000-0000-0000D70D0000}"/>
    <cellStyle name="Normal 12 2 2 2 3 3 2" xfId="13926" xr:uid="{5469ED03-8647-4528-B029-3C27FBF64D48}"/>
    <cellStyle name="Normal 12 2 2 2 3 4" xfId="9708" xr:uid="{155F92B8-A656-445A-9E99-4840C0E69CB3}"/>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A58DDCEE-2423-44BC-9679-18906DCAC1CE}"/>
    <cellStyle name="Normal 12 2 2 2 4 2 3" xfId="12266" xr:uid="{02348325-847A-4809-86AF-174F9FA35DEE}"/>
    <cellStyle name="Normal 12 2 2 2 4 3" xfId="5910" xr:uid="{00000000-0005-0000-0000-0000DB0D0000}"/>
    <cellStyle name="Normal 12 2 2 2 4 3 2" xfId="14339" xr:uid="{14222B67-52AF-49D1-9DAF-E30A16E822DA}"/>
    <cellStyle name="Normal 12 2 2 2 4 4" xfId="10121" xr:uid="{F4DF0E12-EF8A-419A-ABDB-8A0DD38067DC}"/>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A9997AE0-9180-45EA-9489-D5AD332E6E26}"/>
    <cellStyle name="Normal 12 2 2 2 5 2 3" xfId="12679" xr:uid="{F556E966-D590-47BA-B2BC-251D2849BE5D}"/>
    <cellStyle name="Normal 12 2 2 2 5 3" xfId="6323" xr:uid="{00000000-0005-0000-0000-0000DF0D0000}"/>
    <cellStyle name="Normal 12 2 2 2 5 3 2" xfId="14752" xr:uid="{51BF5742-2D98-41E1-84BA-D22A22E98EE0}"/>
    <cellStyle name="Normal 12 2 2 2 5 4" xfId="10534" xr:uid="{9459B0CC-5CA5-4D00-A034-C30FBAD64E95}"/>
    <cellStyle name="Normal 12 2 2 2 6" xfId="2451" xr:uid="{00000000-0005-0000-0000-0000E00D0000}"/>
    <cellStyle name="Normal 12 2 2 2 6 2" xfId="6736" xr:uid="{00000000-0005-0000-0000-0000E10D0000}"/>
    <cellStyle name="Normal 12 2 2 2 6 2 2" xfId="15165" xr:uid="{EF0EECEA-4BF3-47AC-BB40-A0F18FC5E34C}"/>
    <cellStyle name="Normal 12 2 2 2 6 3" xfId="10947" xr:uid="{7632788B-509C-4581-92F4-C05FABE40987}"/>
    <cellStyle name="Normal 12 2 2 2 7" xfId="4670" xr:uid="{00000000-0005-0000-0000-0000E20D0000}"/>
    <cellStyle name="Normal 12 2 2 2 7 2" xfId="13099" xr:uid="{A85B3461-36F0-4EBB-9523-96BE26714690}"/>
    <cellStyle name="Normal 12 2 2 2 8" xfId="8881" xr:uid="{8F719E1B-18AC-4768-BE3E-B69B85FDE675}"/>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BFE9B31B-79A8-403A-99AD-FD3E753B600B}"/>
    <cellStyle name="Normal 12 2 2 3 2 3" xfId="11439" xr:uid="{75C64576-489D-42CA-9205-A1B63C07273D}"/>
    <cellStyle name="Normal 12 2 2 3 3" xfId="5083" xr:uid="{00000000-0005-0000-0000-0000E60D0000}"/>
    <cellStyle name="Normal 12 2 2 3 3 2" xfId="13512" xr:uid="{76A9836E-19CC-4065-BA17-1D46D4B2D33E}"/>
    <cellStyle name="Normal 12 2 2 3 4" xfId="9294" xr:uid="{41CB9A59-D9F3-43DA-AD25-E568596F02C0}"/>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517E63A4-50EB-4C57-9D00-4037876863F4}"/>
    <cellStyle name="Normal 12 2 2 4 2 3" xfId="11852" xr:uid="{830910AD-F713-4D23-BEDC-1C4699D66A5F}"/>
    <cellStyle name="Normal 12 2 2 4 3" xfId="5496" xr:uid="{00000000-0005-0000-0000-0000EA0D0000}"/>
    <cellStyle name="Normal 12 2 2 4 3 2" xfId="13925" xr:uid="{BD57EFD1-8E64-4D77-A32F-3AA926E287AE}"/>
    <cellStyle name="Normal 12 2 2 4 4" xfId="9707" xr:uid="{F5393CE0-22D6-4ACD-A655-4E16F9A11157}"/>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E1A9CD40-D45D-430A-84C6-B2EA7EC91500}"/>
    <cellStyle name="Normal 12 2 2 5 2 3" xfId="12265" xr:uid="{850340D8-B46C-4654-95DB-4B7F51452E24}"/>
    <cellStyle name="Normal 12 2 2 5 3" xfId="5909" xr:uid="{00000000-0005-0000-0000-0000EE0D0000}"/>
    <cellStyle name="Normal 12 2 2 5 3 2" xfId="14338" xr:uid="{F77103AC-A6F1-42AB-92E6-708B02400C04}"/>
    <cellStyle name="Normal 12 2 2 5 4" xfId="10120" xr:uid="{D4538D28-6A8B-478F-AA04-2BF9126C6158}"/>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76EC9306-EA56-4ECC-81F4-080734C11971}"/>
    <cellStyle name="Normal 12 2 2 6 2 3" xfId="12678" xr:uid="{B8C50A27-5E51-4A88-9B45-9A7F61629231}"/>
    <cellStyle name="Normal 12 2 2 6 3" xfId="6322" xr:uid="{00000000-0005-0000-0000-0000F20D0000}"/>
    <cellStyle name="Normal 12 2 2 6 3 2" xfId="14751" xr:uid="{54263A28-A5DE-4B71-93AB-1DBEF9B5815E}"/>
    <cellStyle name="Normal 12 2 2 6 4" xfId="10533" xr:uid="{E77D73AE-25FD-4F2D-8090-0A7CD0C2C169}"/>
    <cellStyle name="Normal 12 2 2 7" xfId="2450" xr:uid="{00000000-0005-0000-0000-0000F30D0000}"/>
    <cellStyle name="Normal 12 2 2 7 2" xfId="6735" xr:uid="{00000000-0005-0000-0000-0000F40D0000}"/>
    <cellStyle name="Normal 12 2 2 7 2 2" xfId="15164" xr:uid="{B4E9AD49-164B-43E9-9B0F-59D7CDA8509F}"/>
    <cellStyle name="Normal 12 2 2 7 3" xfId="10946" xr:uid="{C7B90455-8A1B-4A3E-AD25-85FF06B5FA25}"/>
    <cellStyle name="Normal 12 2 2 8" xfId="4669" xr:uid="{00000000-0005-0000-0000-0000F50D0000}"/>
    <cellStyle name="Normal 12 2 2 8 2" xfId="13098" xr:uid="{DDC9FFBE-0E18-45E4-B806-5D40F0E51577}"/>
    <cellStyle name="Normal 12 2 2 9" xfId="8880" xr:uid="{38B21D08-19EE-4087-8F58-59743F04CC3B}"/>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08E0830F-EFB2-4F15-A22C-5CA756548294}"/>
    <cellStyle name="Normal 12 2 3 2 2 3" xfId="11441" xr:uid="{BFDB2697-D1A5-4644-90F3-64AFD615DC20}"/>
    <cellStyle name="Normal 12 2 3 2 3" xfId="5085" xr:uid="{00000000-0005-0000-0000-0000FA0D0000}"/>
    <cellStyle name="Normal 12 2 3 2 3 2" xfId="13514" xr:uid="{BCFB383E-8887-4091-88E2-408C1BE3B47F}"/>
    <cellStyle name="Normal 12 2 3 2 4" xfId="9296" xr:uid="{8497F13A-6D3A-4EC3-8A8D-F96F7C9751A4}"/>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508ADB7A-6F0A-4235-8BA2-19CF8405D3D5}"/>
    <cellStyle name="Normal 12 2 3 3 2 3" xfId="11854" xr:uid="{FBE43DF7-3FA1-41A2-A7C7-6337F1035A61}"/>
    <cellStyle name="Normal 12 2 3 3 3" xfId="5498" xr:uid="{00000000-0005-0000-0000-0000FE0D0000}"/>
    <cellStyle name="Normal 12 2 3 3 3 2" xfId="13927" xr:uid="{BD569022-4A55-42FD-A1C4-60F04D41FDDF}"/>
    <cellStyle name="Normal 12 2 3 3 4" xfId="9709" xr:uid="{9312D86F-EE70-45A4-9D44-D9D947F4FDE2}"/>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9730655C-2538-4FC4-AEF9-B98EB0AE53AA}"/>
    <cellStyle name="Normal 12 2 3 4 2 3" xfId="12267" xr:uid="{AEC3B3AE-DC9B-4F01-A178-EE08F7504939}"/>
    <cellStyle name="Normal 12 2 3 4 3" xfId="5911" xr:uid="{00000000-0005-0000-0000-0000020E0000}"/>
    <cellStyle name="Normal 12 2 3 4 3 2" xfId="14340" xr:uid="{B0037990-F86A-4406-86BD-B4980C3389F7}"/>
    <cellStyle name="Normal 12 2 3 4 4" xfId="10122" xr:uid="{03AA832A-F214-42C0-87C6-2BF6D4353015}"/>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3F88FDC8-CFA0-4C62-B44A-96C7A08A2463}"/>
    <cellStyle name="Normal 12 2 3 5 2 3" xfId="12680" xr:uid="{881BD189-214B-414A-B87A-5C23B595A4B0}"/>
    <cellStyle name="Normal 12 2 3 5 3" xfId="6324" xr:uid="{00000000-0005-0000-0000-0000060E0000}"/>
    <cellStyle name="Normal 12 2 3 5 3 2" xfId="14753" xr:uid="{918891CA-D4E4-40D3-90A1-ACB94C258C5E}"/>
    <cellStyle name="Normal 12 2 3 5 4" xfId="10535" xr:uid="{638BBDC8-8478-4FFC-B4E7-1445B64EDA7F}"/>
    <cellStyle name="Normal 12 2 3 6" xfId="2452" xr:uid="{00000000-0005-0000-0000-0000070E0000}"/>
    <cellStyle name="Normal 12 2 3 6 2" xfId="6737" xr:uid="{00000000-0005-0000-0000-0000080E0000}"/>
    <cellStyle name="Normal 12 2 3 6 2 2" xfId="15166" xr:uid="{6A121750-7112-488F-9718-537C552CE319}"/>
    <cellStyle name="Normal 12 2 3 6 3" xfId="10948" xr:uid="{E65A9671-E46C-4FA8-85CD-4A2950CD44C9}"/>
    <cellStyle name="Normal 12 2 3 7" xfId="4671" xr:uid="{00000000-0005-0000-0000-0000090E0000}"/>
    <cellStyle name="Normal 12 2 3 7 2" xfId="13100" xr:uid="{AC4386B0-2761-475E-87AE-E1C37D1E7AF2}"/>
    <cellStyle name="Normal 12 2 3 8" xfId="8882" xr:uid="{D731AA3C-3626-4032-87D5-CDC6CF493704}"/>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D5D40A1F-D54A-49F2-BA51-B11C5DC3C826}"/>
    <cellStyle name="Normal 12 2 4 2 3" xfId="11438" xr:uid="{F63AFD1C-76BC-44E1-BEFF-802FA5B0F4D1}"/>
    <cellStyle name="Normal 12 2 4 3" xfId="5082" xr:uid="{00000000-0005-0000-0000-00000D0E0000}"/>
    <cellStyle name="Normal 12 2 4 3 2" xfId="13511" xr:uid="{C2D7E343-6BC6-4277-BAF0-289C369FF00E}"/>
    <cellStyle name="Normal 12 2 4 4" xfId="9293" xr:uid="{FADC5BF7-6BA1-4D2D-9CDB-071284A277DD}"/>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B41660E0-9F9C-48E0-A5E5-FBEB0A608BE9}"/>
    <cellStyle name="Normal 12 2 5 2 3" xfId="11851" xr:uid="{D5C397E1-D6AD-44A5-84B1-84548A15CD8F}"/>
    <cellStyle name="Normal 12 2 5 3" xfId="5495" xr:uid="{00000000-0005-0000-0000-0000110E0000}"/>
    <cellStyle name="Normal 12 2 5 3 2" xfId="13924" xr:uid="{1852D43A-551B-4FA4-AA47-76E668EFC559}"/>
    <cellStyle name="Normal 12 2 5 4" xfId="9706" xr:uid="{68073177-C533-4E9A-BCC1-750F04004B73}"/>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936AA793-761F-482B-A7E7-40C26578D581}"/>
    <cellStyle name="Normal 12 2 6 2 3" xfId="12264" xr:uid="{B8F71205-9712-4A9C-AE52-E8E5CDB470DE}"/>
    <cellStyle name="Normal 12 2 6 3" xfId="5908" xr:uid="{00000000-0005-0000-0000-0000150E0000}"/>
    <cellStyle name="Normal 12 2 6 3 2" xfId="14337" xr:uid="{84D4CD83-ED98-4E71-A743-EBA4715A4BB5}"/>
    <cellStyle name="Normal 12 2 6 4" xfId="10119" xr:uid="{434BD212-ABB6-4A19-86DA-E6BCA5DC8DAA}"/>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2C28DC2E-9335-43B9-B736-1571B92704C7}"/>
    <cellStyle name="Normal 12 2 7 2 3" xfId="12677" xr:uid="{53315C38-E984-41C7-8E79-EF4DA8F46937}"/>
    <cellStyle name="Normal 12 2 7 3" xfId="6321" xr:uid="{00000000-0005-0000-0000-0000190E0000}"/>
    <cellStyle name="Normal 12 2 7 3 2" xfId="14750" xr:uid="{54B8F5F4-41A3-40BB-B330-8C6323A16302}"/>
    <cellStyle name="Normal 12 2 7 4" xfId="10532" xr:uid="{7DA93316-7B95-42FF-8AB9-1C01E64EA4FF}"/>
    <cellStyle name="Normal 12 2 8" xfId="2449" xr:uid="{00000000-0005-0000-0000-00001A0E0000}"/>
    <cellStyle name="Normal 12 2 8 2" xfId="6734" xr:uid="{00000000-0005-0000-0000-00001B0E0000}"/>
    <cellStyle name="Normal 12 2 8 2 2" xfId="15163" xr:uid="{8D373767-4694-4F43-B8C2-0776E55333CE}"/>
    <cellStyle name="Normal 12 2 8 3" xfId="10945" xr:uid="{13A2DF89-727E-4F8B-BFE5-10C0606E43FB}"/>
    <cellStyle name="Normal 12 2 9" xfId="4668" xr:uid="{00000000-0005-0000-0000-00001C0E0000}"/>
    <cellStyle name="Normal 12 2 9 2" xfId="13097" xr:uid="{AE9EDCA4-8C96-4E2D-8AE3-1FE8B013DAE5}"/>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DFD929A6-D2E8-46B1-97D4-01C03E55B1DA}"/>
    <cellStyle name="Normal 12 3 2 2 2 3" xfId="11443" xr:uid="{7A7C91BD-331A-4E2D-B0CB-351C56723D74}"/>
    <cellStyle name="Normal 12 3 2 2 3" xfId="5087" xr:uid="{00000000-0005-0000-0000-0000220E0000}"/>
    <cellStyle name="Normal 12 3 2 2 3 2" xfId="13516" xr:uid="{D7C82718-C223-430C-BBA5-484096FDA109}"/>
    <cellStyle name="Normal 12 3 2 2 4" xfId="9298" xr:uid="{BF953F96-B1A2-4A80-B1AF-73C89061CAE6}"/>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9A069B3E-D5FA-471E-8132-944E34C47D2E}"/>
    <cellStyle name="Normal 12 3 2 3 2 3" xfId="11856" xr:uid="{AD041AD2-7454-461F-B231-D393B2189453}"/>
    <cellStyle name="Normal 12 3 2 3 3" xfId="5500" xr:uid="{00000000-0005-0000-0000-0000260E0000}"/>
    <cellStyle name="Normal 12 3 2 3 3 2" xfId="13929" xr:uid="{EE2C3A03-82F1-4956-AA0A-84524D7025DA}"/>
    <cellStyle name="Normal 12 3 2 3 4" xfId="9711" xr:uid="{D7A36D19-7812-474C-B91E-38ACC3228B35}"/>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7539EBA6-4195-429A-9A8C-C687E994F285}"/>
    <cellStyle name="Normal 12 3 2 4 2 3" xfId="12269" xr:uid="{7B7BDDA8-4194-4AB4-B98F-52E11C72079B}"/>
    <cellStyle name="Normal 12 3 2 4 3" xfId="5913" xr:uid="{00000000-0005-0000-0000-00002A0E0000}"/>
    <cellStyle name="Normal 12 3 2 4 3 2" xfId="14342" xr:uid="{AB67BA00-E917-4FAE-90CE-01B2FF60BD5D}"/>
    <cellStyle name="Normal 12 3 2 4 4" xfId="10124" xr:uid="{B9743079-9B39-457F-A44E-E90ABAE4D2B5}"/>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EC07CA98-E3A6-409E-829E-BF78544D7BD5}"/>
    <cellStyle name="Normal 12 3 2 5 2 3" xfId="12682" xr:uid="{32AE4319-E57B-4804-824C-555117DABAD1}"/>
    <cellStyle name="Normal 12 3 2 5 3" xfId="6326" xr:uid="{00000000-0005-0000-0000-00002E0E0000}"/>
    <cellStyle name="Normal 12 3 2 5 3 2" xfId="14755" xr:uid="{DDE29EF7-6EDF-4348-AF5A-BBAF7A0E8BA2}"/>
    <cellStyle name="Normal 12 3 2 5 4" xfId="10537" xr:uid="{5FB69571-1C36-4ED0-887A-B9A1D31A9B99}"/>
    <cellStyle name="Normal 12 3 2 6" xfId="2454" xr:uid="{00000000-0005-0000-0000-00002F0E0000}"/>
    <cellStyle name="Normal 12 3 2 6 2" xfId="6739" xr:uid="{00000000-0005-0000-0000-0000300E0000}"/>
    <cellStyle name="Normal 12 3 2 6 2 2" xfId="15168" xr:uid="{D70AD5F4-BAA7-476D-B728-9FD14A641BB0}"/>
    <cellStyle name="Normal 12 3 2 6 3" xfId="10950" xr:uid="{562FA9F2-231D-4929-9744-5A9F9026417C}"/>
    <cellStyle name="Normal 12 3 2 7" xfId="4673" xr:uid="{00000000-0005-0000-0000-0000310E0000}"/>
    <cellStyle name="Normal 12 3 2 7 2" xfId="13102" xr:uid="{8A48675A-07B0-493B-BF37-DDBBAF807744}"/>
    <cellStyle name="Normal 12 3 2 8" xfId="8884" xr:uid="{79067BAD-B37D-45D4-8A34-72A879380747}"/>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258D4998-1562-442E-B06D-B39BACF4CC6C}"/>
    <cellStyle name="Normal 12 3 3 2 3" xfId="11442" xr:uid="{C1A17682-B723-484C-BAF2-3C4C85B9F41F}"/>
    <cellStyle name="Normal 12 3 3 3" xfId="5086" xr:uid="{00000000-0005-0000-0000-0000350E0000}"/>
    <cellStyle name="Normal 12 3 3 3 2" xfId="13515" xr:uid="{93C33A8D-E759-4306-8CC3-8836F3DF2330}"/>
    <cellStyle name="Normal 12 3 3 4" xfId="9297" xr:uid="{B4B27D22-2EA7-4AEC-86BA-79C47487086E}"/>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F7246F66-CBB5-4E3D-85DC-A421DCFFF1EE}"/>
    <cellStyle name="Normal 12 3 4 2 3" xfId="11855" xr:uid="{A161E7D0-9728-416A-917E-8DE451D11424}"/>
    <cellStyle name="Normal 12 3 4 3" xfId="5499" xr:uid="{00000000-0005-0000-0000-0000390E0000}"/>
    <cellStyle name="Normal 12 3 4 3 2" xfId="13928" xr:uid="{19F60BAF-2BBD-4E6F-9B1A-3C10B827CC3F}"/>
    <cellStyle name="Normal 12 3 4 4" xfId="9710" xr:uid="{D1127621-B5E0-4F52-A480-3D4EB91AD5D0}"/>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E457B191-3C53-4E60-A9FB-BFC102B6BDC0}"/>
    <cellStyle name="Normal 12 3 5 2 3" xfId="12268" xr:uid="{10736067-4B90-4467-BACC-647E1690B653}"/>
    <cellStyle name="Normal 12 3 5 3" xfId="5912" xr:uid="{00000000-0005-0000-0000-00003D0E0000}"/>
    <cellStyle name="Normal 12 3 5 3 2" xfId="14341" xr:uid="{5BC3F88D-962D-449B-9066-E6FB6D939992}"/>
    <cellStyle name="Normal 12 3 5 4" xfId="10123" xr:uid="{C961A9CE-BF79-4368-A7D8-EFC13CCBCC51}"/>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58ACB52B-A823-443E-96D4-D9B301D2F8D7}"/>
    <cellStyle name="Normal 12 3 6 2 3" xfId="12681" xr:uid="{471282E4-8CB7-4922-A95D-7984959A2271}"/>
    <cellStyle name="Normal 12 3 6 3" xfId="6325" xr:uid="{00000000-0005-0000-0000-0000410E0000}"/>
    <cellStyle name="Normal 12 3 6 3 2" xfId="14754" xr:uid="{BA46C959-998B-4D87-9569-9F1AC8911988}"/>
    <cellStyle name="Normal 12 3 6 4" xfId="10536" xr:uid="{CF778530-69B5-4436-8C9E-DBB857E8C7B1}"/>
    <cellStyle name="Normal 12 3 7" xfId="2453" xr:uid="{00000000-0005-0000-0000-0000420E0000}"/>
    <cellStyle name="Normal 12 3 7 2" xfId="6738" xr:uid="{00000000-0005-0000-0000-0000430E0000}"/>
    <cellStyle name="Normal 12 3 7 2 2" xfId="15167" xr:uid="{4DC85DC2-EF4A-42C1-AD22-BE6482ECB38C}"/>
    <cellStyle name="Normal 12 3 7 3" xfId="10949" xr:uid="{24AB8018-620F-48A5-B836-5D531885B1E9}"/>
    <cellStyle name="Normal 12 3 8" xfId="4672" xr:uid="{00000000-0005-0000-0000-0000440E0000}"/>
    <cellStyle name="Normal 12 3 8 2" xfId="13101" xr:uid="{C6CEA8DD-BC5A-4465-948C-83CC221EFB20}"/>
    <cellStyle name="Normal 12 3 9" xfId="8883" xr:uid="{6F152D9E-B920-43C0-82C8-E56AE4A53298}"/>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6D6D337B-1722-4A1A-9ABF-6D004BDC1746}"/>
    <cellStyle name="Normal 12 4 2 2 3" xfId="11444" xr:uid="{6DDC6E65-F5AD-4A34-9519-7BC32BACE2A1}"/>
    <cellStyle name="Normal 12 4 2 3" xfId="5088" xr:uid="{00000000-0005-0000-0000-0000490E0000}"/>
    <cellStyle name="Normal 12 4 2 3 2" xfId="13517" xr:uid="{31D2F568-A60D-47F5-8EE8-F5B9C2CB6120}"/>
    <cellStyle name="Normal 12 4 2 4" xfId="9299" xr:uid="{5CCEBE69-8D44-497C-92A8-D2ABEAA06197}"/>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0E6E3F16-35FF-407C-AB07-B5B326B2E0A6}"/>
    <cellStyle name="Normal 12 4 3 2 3" xfId="11857" xr:uid="{575026A4-3974-45AE-BB91-BCEF303C45BB}"/>
    <cellStyle name="Normal 12 4 3 3" xfId="5501" xr:uid="{00000000-0005-0000-0000-00004D0E0000}"/>
    <cellStyle name="Normal 12 4 3 3 2" xfId="13930" xr:uid="{EC070E97-012A-4636-8127-CC82D85AE20B}"/>
    <cellStyle name="Normal 12 4 3 4" xfId="9712" xr:uid="{8EF04C42-89A8-49BE-843B-EE9D372C1043}"/>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20E194A5-B38C-4BA7-8911-E78E18738939}"/>
    <cellStyle name="Normal 12 4 4 2 3" xfId="12270" xr:uid="{8C76E3B3-75ED-45B9-B35A-A5CD660E31BD}"/>
    <cellStyle name="Normal 12 4 4 3" xfId="5914" xr:uid="{00000000-0005-0000-0000-0000510E0000}"/>
    <cellStyle name="Normal 12 4 4 3 2" xfId="14343" xr:uid="{C0625130-D2F1-4293-9937-66B6712524A6}"/>
    <cellStyle name="Normal 12 4 4 4" xfId="10125" xr:uid="{A9EA4D42-3E67-41FA-9771-AC2C0426FAB9}"/>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2F62F9D5-A9E3-47FD-84DC-2AF0A48A2773}"/>
    <cellStyle name="Normal 12 4 5 2 3" xfId="12683" xr:uid="{59BDB9B8-C528-47BD-AA2D-50E77B089C3D}"/>
    <cellStyle name="Normal 12 4 5 3" xfId="6327" xr:uid="{00000000-0005-0000-0000-0000550E0000}"/>
    <cellStyle name="Normal 12 4 5 3 2" xfId="14756" xr:uid="{21413C97-DA6B-4BF1-B485-44D5E24E82F7}"/>
    <cellStyle name="Normal 12 4 5 4" xfId="10538" xr:uid="{CE6561BC-BE2F-40EE-B21E-B6D3225DE1D2}"/>
    <cellStyle name="Normal 12 4 6" xfId="2455" xr:uid="{00000000-0005-0000-0000-0000560E0000}"/>
    <cellStyle name="Normal 12 4 6 2" xfId="6740" xr:uid="{00000000-0005-0000-0000-0000570E0000}"/>
    <cellStyle name="Normal 12 4 6 2 2" xfId="15169" xr:uid="{F739ADF2-5623-463E-8A50-953CAD463628}"/>
    <cellStyle name="Normal 12 4 6 3" xfId="10951" xr:uid="{5FD9C6E0-8C10-4EBD-A460-1DB7A1B61F67}"/>
    <cellStyle name="Normal 12 4 7" xfId="4674" xr:uid="{00000000-0005-0000-0000-0000580E0000}"/>
    <cellStyle name="Normal 12 4 7 2" xfId="13103" xr:uid="{EF331AF0-25E2-40EE-92C4-E68477FDB796}"/>
    <cellStyle name="Normal 12 4 8" xfId="8885" xr:uid="{79BC15A6-B398-4F5B-8CC5-D399A35FBAEC}"/>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38389A8B-59CE-4A76-B148-320E75934750}"/>
    <cellStyle name="Normal 12 6 2 3" xfId="11437" xr:uid="{5EFD1D58-6542-41B6-9BB6-25723F9C4286}"/>
    <cellStyle name="Normal 12 6 3" xfId="5081" xr:uid="{00000000-0005-0000-0000-00005D0E0000}"/>
    <cellStyle name="Normal 12 6 3 2" xfId="13510" xr:uid="{DB6D583B-6EC0-40B9-B42B-8AEB6029CC97}"/>
    <cellStyle name="Normal 12 6 4" xfId="9292" xr:uid="{FA512B01-B778-4700-9470-01C65B642DDD}"/>
    <cellStyle name="Normal 12 7" xfId="1184" xr:uid="{00000000-0005-0000-0000-00005E0E0000}"/>
    <cellStyle name="Normal 12 7 2" xfId="3415" xr:uid="{00000000-0005-0000-0000-00005F0E0000}"/>
    <cellStyle name="Normal 12 7 2 2" xfId="7639" xr:uid="{00000000-0005-0000-0000-0000600E0000}"/>
    <cellStyle name="Normal 12 7 2 2 2" xfId="16068" xr:uid="{CFE753A3-81D1-4757-95DD-96A59437BC48}"/>
    <cellStyle name="Normal 12 7 2 3" xfId="11850" xr:uid="{32A8543C-1F53-4B07-A5B2-6FFC2DFC9029}"/>
    <cellStyle name="Normal 12 7 3" xfId="5494" xr:uid="{00000000-0005-0000-0000-0000610E0000}"/>
    <cellStyle name="Normal 12 7 3 2" xfId="13923" xr:uid="{4D141E82-DF52-4961-B8E4-E9B56AB587A4}"/>
    <cellStyle name="Normal 12 7 4" xfId="9705" xr:uid="{A26F12BD-94DE-47C9-9A50-1D181D05E654}"/>
    <cellStyle name="Normal 12 8" xfId="1598" xr:uid="{00000000-0005-0000-0000-0000620E0000}"/>
    <cellStyle name="Normal 12 8 2" xfId="3828" xr:uid="{00000000-0005-0000-0000-0000630E0000}"/>
    <cellStyle name="Normal 12 8 2 2" xfId="8052" xr:uid="{00000000-0005-0000-0000-0000640E0000}"/>
    <cellStyle name="Normal 12 8 2 2 2" xfId="16481" xr:uid="{9374389A-490A-4AAF-9B06-A51F2B3C984D}"/>
    <cellStyle name="Normal 12 8 2 3" xfId="12263" xr:uid="{942CD950-3D77-497D-A68E-754E6D277F19}"/>
    <cellStyle name="Normal 12 8 3" xfId="5907" xr:uid="{00000000-0005-0000-0000-0000650E0000}"/>
    <cellStyle name="Normal 12 8 3 2" xfId="14336" xr:uid="{9E71DB7A-C82F-45D7-B5F9-2403CFC03872}"/>
    <cellStyle name="Normal 12 8 4" xfId="10118" xr:uid="{EB5CE1CE-BA2E-418A-9114-2E59DDFB237C}"/>
    <cellStyle name="Normal 12 9" xfId="2012" xr:uid="{00000000-0005-0000-0000-0000660E0000}"/>
    <cellStyle name="Normal 12 9 2" xfId="4241" xr:uid="{00000000-0005-0000-0000-0000670E0000}"/>
    <cellStyle name="Normal 12 9 2 2" xfId="8465" xr:uid="{00000000-0005-0000-0000-0000680E0000}"/>
    <cellStyle name="Normal 12 9 2 2 2" xfId="16894" xr:uid="{A3B13827-4980-4A75-A1C6-44F347BBB7DB}"/>
    <cellStyle name="Normal 12 9 2 3" xfId="12676" xr:uid="{C0CED1FB-A3EF-4C0F-9383-9EC4D1C1F6ED}"/>
    <cellStyle name="Normal 12 9 3" xfId="6320" xr:uid="{00000000-0005-0000-0000-0000690E0000}"/>
    <cellStyle name="Normal 12 9 3 2" xfId="14749" xr:uid="{F9FBF170-533C-4E7B-9AFA-5E5098CC9111}"/>
    <cellStyle name="Normal 12 9 4" xfId="10531" xr:uid="{34AB3F1C-54CB-451C-8549-ED1A705EE628}"/>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404B0F52-41AB-4E88-969A-6DEE52AA9620}"/>
    <cellStyle name="Normal 14 2 2 3" xfId="11445" xr:uid="{AA9FBBF0-AC87-4314-93C0-1423CC243D60}"/>
    <cellStyle name="Normal 14 2 3" xfId="5089" xr:uid="{00000000-0005-0000-0000-0000700E0000}"/>
    <cellStyle name="Normal 14 2 3 2" xfId="13518" xr:uid="{D1D06B8F-EF06-4C8A-B38B-3278CC58CB9C}"/>
    <cellStyle name="Normal 14 2 4" xfId="9300" xr:uid="{8E8B4F24-6417-434D-BB6C-7866F91CBEC8}"/>
    <cellStyle name="Normal 14 3" xfId="1192" xr:uid="{00000000-0005-0000-0000-0000710E0000}"/>
    <cellStyle name="Normal 14 3 2" xfId="3423" xr:uid="{00000000-0005-0000-0000-0000720E0000}"/>
    <cellStyle name="Normal 14 3 2 2" xfId="7647" xr:uid="{00000000-0005-0000-0000-0000730E0000}"/>
    <cellStyle name="Normal 14 3 2 2 2" xfId="16076" xr:uid="{2BAC7A4D-02C4-40D5-8B1A-7AEEB053FFA2}"/>
    <cellStyle name="Normal 14 3 2 3" xfId="11858" xr:uid="{27E303DB-F2DB-415D-A261-6EA9A5A45A54}"/>
    <cellStyle name="Normal 14 3 3" xfId="5502" xr:uid="{00000000-0005-0000-0000-0000740E0000}"/>
    <cellStyle name="Normal 14 3 3 2" xfId="13931" xr:uid="{0A1646D6-6868-4A02-8523-59D16D22A830}"/>
    <cellStyle name="Normal 14 3 4" xfId="9713" xr:uid="{48C68678-794C-46BF-AA75-46BE5A68ED2B}"/>
    <cellStyle name="Normal 14 4" xfId="1606" xr:uid="{00000000-0005-0000-0000-0000750E0000}"/>
    <cellStyle name="Normal 14 4 2" xfId="3836" xr:uid="{00000000-0005-0000-0000-0000760E0000}"/>
    <cellStyle name="Normal 14 4 2 2" xfId="8060" xr:uid="{00000000-0005-0000-0000-0000770E0000}"/>
    <cellStyle name="Normal 14 4 2 2 2" xfId="16489" xr:uid="{BCD3DBC9-1DE3-4046-B37C-FECF15E1A4AD}"/>
    <cellStyle name="Normal 14 4 2 3" xfId="12271" xr:uid="{37A2514E-6BE2-45CD-9D54-F4D6B7F8F403}"/>
    <cellStyle name="Normal 14 4 3" xfId="5915" xr:uid="{00000000-0005-0000-0000-0000780E0000}"/>
    <cellStyle name="Normal 14 4 3 2" xfId="14344" xr:uid="{58C5CCBB-9C86-4CC0-A6A3-E6B399143171}"/>
    <cellStyle name="Normal 14 4 4" xfId="10126" xr:uid="{AD73F026-F3A4-4F65-8D54-6D4D14B52F68}"/>
    <cellStyle name="Normal 14 5" xfId="2020" xr:uid="{00000000-0005-0000-0000-0000790E0000}"/>
    <cellStyle name="Normal 14 5 2" xfId="4249" xr:uid="{00000000-0005-0000-0000-00007A0E0000}"/>
    <cellStyle name="Normal 14 5 2 2" xfId="8473" xr:uid="{00000000-0005-0000-0000-00007B0E0000}"/>
    <cellStyle name="Normal 14 5 2 2 2" xfId="16902" xr:uid="{A2F22BC1-F9EA-4A11-814C-B07ABBC8C55B}"/>
    <cellStyle name="Normal 14 5 2 3" xfId="12684" xr:uid="{1297A074-9237-4E90-9B83-B402281035B0}"/>
    <cellStyle name="Normal 14 5 3" xfId="6328" xr:uid="{00000000-0005-0000-0000-00007C0E0000}"/>
    <cellStyle name="Normal 14 5 3 2" xfId="14757" xr:uid="{8BDBCEE9-AF6C-4A67-82D9-1ECB1D200B0E}"/>
    <cellStyle name="Normal 14 5 4" xfId="10539" xr:uid="{142EF6FB-5218-4292-BBDF-0C5F2D4F1B7F}"/>
    <cellStyle name="Normal 14 6" xfId="2456" xr:uid="{00000000-0005-0000-0000-00007D0E0000}"/>
    <cellStyle name="Normal 14 6 2" xfId="6741" xr:uid="{00000000-0005-0000-0000-00007E0E0000}"/>
    <cellStyle name="Normal 14 6 2 2" xfId="15170" xr:uid="{8786E0F0-DC2F-4CD1-B127-2699B92E4E8F}"/>
    <cellStyle name="Normal 14 6 3" xfId="10952" xr:uid="{A9703F04-ED79-4397-A4F1-DD0A718B5B91}"/>
    <cellStyle name="Normal 14 7" xfId="4675" xr:uid="{00000000-0005-0000-0000-00007F0E0000}"/>
    <cellStyle name="Normal 14 7 2" xfId="13104" xr:uid="{FE438B33-BBA0-4C1B-A6AB-017E7DDE32B1}"/>
    <cellStyle name="Normal 14 8" xfId="8886" xr:uid="{DC3F7CBF-5C76-4E09-B27C-E9182422E9F0}"/>
    <cellStyle name="Normal 15" xfId="4497" xr:uid="{00000000-0005-0000-0000-0000800E0000}"/>
    <cellStyle name="Normal 15 2" xfId="12930" xr:uid="{B22ACBF4-6A29-42C8-8298-7302638050B3}"/>
    <cellStyle name="Normal 16" xfId="4501" xr:uid="{00000000-0005-0000-0000-0000810E0000}"/>
    <cellStyle name="Normal 16 2" xfId="12933" xr:uid="{64F49ACB-D3A6-4776-AD40-4BAB826D467A}"/>
    <cellStyle name="Normal 17" xfId="17147" xr:uid="{E59C9E30-36F7-47B9-8FAE-7C23BBFE1DC7}"/>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57DA175E-ABE3-456D-BE44-CABEEB99533A}"/>
    <cellStyle name="Normal 2 4 2 10 2 3" xfId="12685" xr:uid="{3AFC6E81-15ED-4E33-98A6-B049BCCAACC0}"/>
    <cellStyle name="Normal 2 4 2 10 3" xfId="6329" xr:uid="{00000000-0005-0000-0000-0000900E0000}"/>
    <cellStyle name="Normal 2 4 2 10 3 2" xfId="14758" xr:uid="{FC670B0F-A944-4147-A8A4-4FC552078134}"/>
    <cellStyle name="Normal 2 4 2 10 4" xfId="10540" xr:uid="{400C8EC8-3D8B-41BA-A9AC-1108A882BDEA}"/>
    <cellStyle name="Normal 2 4 2 11" xfId="2457" xr:uid="{00000000-0005-0000-0000-0000910E0000}"/>
    <cellStyle name="Normal 2 4 2 11 2" xfId="6742" xr:uid="{00000000-0005-0000-0000-0000920E0000}"/>
    <cellStyle name="Normal 2 4 2 11 2 2" xfId="15171" xr:uid="{3354B728-1A7F-4F5F-9CC4-7950A84309CB}"/>
    <cellStyle name="Normal 2 4 2 11 3" xfId="10953" xr:uid="{62E3C009-B7CD-42C6-834D-A353A720DB87}"/>
    <cellStyle name="Normal 2 4 2 12" xfId="4676" xr:uid="{00000000-0005-0000-0000-0000930E0000}"/>
    <cellStyle name="Normal 2 4 2 12 2" xfId="13105" xr:uid="{3E4FCE7D-BB90-4849-B36D-8A012BB225C2}"/>
    <cellStyle name="Normal 2 4 2 13" xfId="8887" xr:uid="{E1763D04-9C99-4BE7-9DD5-9BAB15C1FDF2}"/>
    <cellStyle name="Normal 2 4 2 2" xfId="280" xr:uid="{00000000-0005-0000-0000-0000940E0000}"/>
    <cellStyle name="Normal 2 4 2 3" xfId="281" xr:uid="{00000000-0005-0000-0000-0000950E0000}"/>
    <cellStyle name="Normal 2 4 2 3 10" xfId="4677" xr:uid="{00000000-0005-0000-0000-0000960E0000}"/>
    <cellStyle name="Normal 2 4 2 3 10 2" xfId="13106" xr:uid="{BB081923-1148-49A9-A19F-1722B2EF3C80}"/>
    <cellStyle name="Normal 2 4 2 3 11" xfId="8888" xr:uid="{4BDDF0D4-9A7A-44BD-B6B5-46EC6F9C2CDA}"/>
    <cellStyle name="Normal 2 4 2 3 2" xfId="282" xr:uid="{00000000-0005-0000-0000-0000970E0000}"/>
    <cellStyle name="Normal 2 4 2 3 2 10" xfId="8889" xr:uid="{DE54481B-191B-4CD3-9148-54A9F668EFDB}"/>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CD727D28-2100-4E4A-9B55-2A59C033C8C5}"/>
    <cellStyle name="Normal 2 4 2 3 2 2 2 2 2 3" xfId="11450" xr:uid="{EAE3BCA7-20DE-47D2-B1E8-F0AEB23A239B}"/>
    <cellStyle name="Normal 2 4 2 3 2 2 2 2 3" xfId="5094" xr:uid="{00000000-0005-0000-0000-00009D0E0000}"/>
    <cellStyle name="Normal 2 4 2 3 2 2 2 2 3 2" xfId="13523" xr:uid="{7CDCAA25-CC4A-4464-9CE0-0F489131FEEF}"/>
    <cellStyle name="Normal 2 4 2 3 2 2 2 2 4" xfId="9305" xr:uid="{9DA5D7FB-9366-47E2-A99A-91DD23ABB14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46332270-A8CD-4DDD-803B-F6304158CFA4}"/>
    <cellStyle name="Normal 2 4 2 3 2 2 2 3 2 3" xfId="11863" xr:uid="{1BA68CE8-3935-4BAE-9838-FD1A6C82BDB4}"/>
    <cellStyle name="Normal 2 4 2 3 2 2 2 3 3" xfId="5507" xr:uid="{00000000-0005-0000-0000-0000A10E0000}"/>
    <cellStyle name="Normal 2 4 2 3 2 2 2 3 3 2" xfId="13936" xr:uid="{40A62238-89CB-4936-B1B1-4CE7FC90301F}"/>
    <cellStyle name="Normal 2 4 2 3 2 2 2 3 4" xfId="9718" xr:uid="{6E1D6366-C632-4D4D-BEAC-4F445AEF46D8}"/>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A0A53F94-C87F-4738-97B5-B951E9F10531}"/>
    <cellStyle name="Normal 2 4 2 3 2 2 2 4 2 3" xfId="12276" xr:uid="{228713B8-8F77-4AE3-99D4-60E5FB343B28}"/>
    <cellStyle name="Normal 2 4 2 3 2 2 2 4 3" xfId="5920" xr:uid="{00000000-0005-0000-0000-0000A50E0000}"/>
    <cellStyle name="Normal 2 4 2 3 2 2 2 4 3 2" xfId="14349" xr:uid="{FAB4500D-D5F2-487C-AF4F-1C76353208A4}"/>
    <cellStyle name="Normal 2 4 2 3 2 2 2 4 4" xfId="10131" xr:uid="{53002A00-D546-4D44-9952-7E5D5C9CF443}"/>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7B5CD99C-92C7-4976-AD37-C6E648F7DFC2}"/>
    <cellStyle name="Normal 2 4 2 3 2 2 2 5 2 3" xfId="12689" xr:uid="{0DD61B1F-00E4-40F2-9004-D0BF144BACAE}"/>
    <cellStyle name="Normal 2 4 2 3 2 2 2 5 3" xfId="6333" xr:uid="{00000000-0005-0000-0000-0000A90E0000}"/>
    <cellStyle name="Normal 2 4 2 3 2 2 2 5 3 2" xfId="14762" xr:uid="{84998BCF-4E21-4A27-9B93-F7CE0825DF96}"/>
    <cellStyle name="Normal 2 4 2 3 2 2 2 5 4" xfId="10544" xr:uid="{8FA60902-8F2E-4298-BE9C-C144B22312CD}"/>
    <cellStyle name="Normal 2 4 2 3 2 2 2 6" xfId="2461" xr:uid="{00000000-0005-0000-0000-0000AA0E0000}"/>
    <cellStyle name="Normal 2 4 2 3 2 2 2 6 2" xfId="6746" xr:uid="{00000000-0005-0000-0000-0000AB0E0000}"/>
    <cellStyle name="Normal 2 4 2 3 2 2 2 6 2 2" xfId="15175" xr:uid="{7F056025-6F46-4B24-887F-79F6C533DA38}"/>
    <cellStyle name="Normal 2 4 2 3 2 2 2 6 3" xfId="10957" xr:uid="{8DE9D3D3-9DD3-4A52-BEC7-71FBEAFDBC00}"/>
    <cellStyle name="Normal 2 4 2 3 2 2 2 7" xfId="4680" xr:uid="{00000000-0005-0000-0000-0000AC0E0000}"/>
    <cellStyle name="Normal 2 4 2 3 2 2 2 7 2" xfId="13109" xr:uid="{0A3EAE9A-3845-40C5-A3BB-89A1970AA69D}"/>
    <cellStyle name="Normal 2 4 2 3 2 2 2 8" xfId="8891" xr:uid="{4878F9F8-1DC6-4FC3-AFC1-B022EAB69AF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242B1CB6-7AE9-45EC-9B81-CB14981DB934}"/>
    <cellStyle name="Normal 2 4 2 3 2 2 3 2 3" xfId="11449" xr:uid="{BA4308B8-87A4-421E-B8C9-5BECFCF4AF07}"/>
    <cellStyle name="Normal 2 4 2 3 2 2 3 3" xfId="5093" xr:uid="{00000000-0005-0000-0000-0000B00E0000}"/>
    <cellStyle name="Normal 2 4 2 3 2 2 3 3 2" xfId="13522" xr:uid="{A67A3DF3-01E5-4B7F-8BD9-9BA87F2F18E3}"/>
    <cellStyle name="Normal 2 4 2 3 2 2 3 4" xfId="9304" xr:uid="{44CD647A-4B7C-4237-9E16-ADAE60C7987F}"/>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BB44ADEA-5AB5-437A-BB66-040F57A5DD36}"/>
    <cellStyle name="Normal 2 4 2 3 2 2 4 2 3" xfId="11862" xr:uid="{21A731DA-EAF3-47F7-99B3-B4C71D76784D}"/>
    <cellStyle name="Normal 2 4 2 3 2 2 4 3" xfId="5506" xr:uid="{00000000-0005-0000-0000-0000B40E0000}"/>
    <cellStyle name="Normal 2 4 2 3 2 2 4 3 2" xfId="13935" xr:uid="{DAF7A24B-94C9-4831-9C68-A47B62BDC9BC}"/>
    <cellStyle name="Normal 2 4 2 3 2 2 4 4" xfId="9717" xr:uid="{6C61271A-8A1B-4B74-AECF-771E50657B1D}"/>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DA314823-AB1F-4379-A373-470BB9B5D094}"/>
    <cellStyle name="Normal 2 4 2 3 2 2 5 2 3" xfId="12275" xr:uid="{B47ADFB2-AFCC-4F6B-A44B-046C276CB80A}"/>
    <cellStyle name="Normal 2 4 2 3 2 2 5 3" xfId="5919" xr:uid="{00000000-0005-0000-0000-0000B80E0000}"/>
    <cellStyle name="Normal 2 4 2 3 2 2 5 3 2" xfId="14348" xr:uid="{E02D4FDF-B300-4B88-B8CE-8882B84B8FDE}"/>
    <cellStyle name="Normal 2 4 2 3 2 2 5 4" xfId="10130" xr:uid="{899F0CBF-B7FF-4D02-BD3B-9D72BA7BBE27}"/>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0D0AEE48-589D-4D48-9B41-97927E4C4D73}"/>
    <cellStyle name="Normal 2 4 2 3 2 2 6 2 3" xfId="12688" xr:uid="{EEAF71F5-5AD2-44C6-85AE-6522D0D4202D}"/>
    <cellStyle name="Normal 2 4 2 3 2 2 6 3" xfId="6332" xr:uid="{00000000-0005-0000-0000-0000BC0E0000}"/>
    <cellStyle name="Normal 2 4 2 3 2 2 6 3 2" xfId="14761" xr:uid="{6AD0B7D0-37A1-4DB4-9125-EB8444AC4942}"/>
    <cellStyle name="Normal 2 4 2 3 2 2 6 4" xfId="10543" xr:uid="{9ED76D13-C316-4396-9748-6A16E8CC1B76}"/>
    <cellStyle name="Normal 2 4 2 3 2 2 7" xfId="2460" xr:uid="{00000000-0005-0000-0000-0000BD0E0000}"/>
    <cellStyle name="Normal 2 4 2 3 2 2 7 2" xfId="6745" xr:uid="{00000000-0005-0000-0000-0000BE0E0000}"/>
    <cellStyle name="Normal 2 4 2 3 2 2 7 2 2" xfId="15174" xr:uid="{2CE1E7EC-77F7-42E6-8F79-5B1102E74963}"/>
    <cellStyle name="Normal 2 4 2 3 2 2 7 3" xfId="10956" xr:uid="{4F6E27D8-A08F-4DD3-9C34-E37FB8505D7E}"/>
    <cellStyle name="Normal 2 4 2 3 2 2 8" xfId="4679" xr:uid="{00000000-0005-0000-0000-0000BF0E0000}"/>
    <cellStyle name="Normal 2 4 2 3 2 2 8 2" xfId="13108" xr:uid="{E7D84E7F-6444-4B34-8E4D-15F3DF629BE8}"/>
    <cellStyle name="Normal 2 4 2 3 2 2 9" xfId="8890" xr:uid="{A741A387-630C-4A29-8AB8-8C7A29E31D34}"/>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509B526D-4901-4D28-A55A-7D233C999D0C}"/>
    <cellStyle name="Normal 2 4 2 3 2 3 2 2 3" xfId="11451" xr:uid="{34E74033-9680-415A-B9B6-C73D3F723E3F}"/>
    <cellStyle name="Normal 2 4 2 3 2 3 2 3" xfId="5095" xr:uid="{00000000-0005-0000-0000-0000C40E0000}"/>
    <cellStyle name="Normal 2 4 2 3 2 3 2 3 2" xfId="13524" xr:uid="{1F07AFA5-CFE6-4E83-8505-1154ED789AAB}"/>
    <cellStyle name="Normal 2 4 2 3 2 3 2 4" xfId="9306" xr:uid="{97EFCC28-7186-4A75-8B60-9F7A33AB271F}"/>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CCA33A16-C3A5-46E9-94B4-2F184922E235}"/>
    <cellStyle name="Normal 2 4 2 3 2 3 3 2 3" xfId="11864" xr:uid="{F8C3B29E-68AF-4801-98A7-2702AB17B13D}"/>
    <cellStyle name="Normal 2 4 2 3 2 3 3 3" xfId="5508" xr:uid="{00000000-0005-0000-0000-0000C80E0000}"/>
    <cellStyle name="Normal 2 4 2 3 2 3 3 3 2" xfId="13937" xr:uid="{08FE1FBF-265F-40A3-A06C-7F3022843B93}"/>
    <cellStyle name="Normal 2 4 2 3 2 3 3 4" xfId="9719" xr:uid="{7B78C688-79F7-4E44-9CDE-49010F31FC66}"/>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DF26B15E-E509-4935-836F-F6A825B90920}"/>
    <cellStyle name="Normal 2 4 2 3 2 3 4 2 3" xfId="12277" xr:uid="{62927E4B-6F13-452C-B107-EB4C381E69D7}"/>
    <cellStyle name="Normal 2 4 2 3 2 3 4 3" xfId="5921" xr:uid="{00000000-0005-0000-0000-0000CC0E0000}"/>
    <cellStyle name="Normal 2 4 2 3 2 3 4 3 2" xfId="14350" xr:uid="{4E71A878-AB26-4002-AD66-04E3260C4EED}"/>
    <cellStyle name="Normal 2 4 2 3 2 3 4 4" xfId="10132" xr:uid="{7447F9C2-5AC0-490B-8897-267F3CB59053}"/>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BC8D7FBF-73DF-441A-AFBC-DFB442E1EFE6}"/>
    <cellStyle name="Normal 2 4 2 3 2 3 5 2 3" xfId="12690" xr:uid="{2E16BEF7-E1E1-4B76-A4C6-58CCAE3C2E30}"/>
    <cellStyle name="Normal 2 4 2 3 2 3 5 3" xfId="6334" xr:uid="{00000000-0005-0000-0000-0000D00E0000}"/>
    <cellStyle name="Normal 2 4 2 3 2 3 5 3 2" xfId="14763" xr:uid="{F6BFAEA0-4DAA-43A5-A5F3-F195934FA125}"/>
    <cellStyle name="Normal 2 4 2 3 2 3 5 4" xfId="10545" xr:uid="{6B993114-0B44-460D-8AAD-87FD9590B4D1}"/>
    <cellStyle name="Normal 2 4 2 3 2 3 6" xfId="2462" xr:uid="{00000000-0005-0000-0000-0000D10E0000}"/>
    <cellStyle name="Normal 2 4 2 3 2 3 6 2" xfId="6747" xr:uid="{00000000-0005-0000-0000-0000D20E0000}"/>
    <cellStyle name="Normal 2 4 2 3 2 3 6 2 2" xfId="15176" xr:uid="{AC51B7B8-B7A1-4754-ADB3-45180420B297}"/>
    <cellStyle name="Normal 2 4 2 3 2 3 6 3" xfId="10958" xr:uid="{BDFAA479-6EAA-4A75-8715-F974D80398A9}"/>
    <cellStyle name="Normal 2 4 2 3 2 3 7" xfId="4681" xr:uid="{00000000-0005-0000-0000-0000D30E0000}"/>
    <cellStyle name="Normal 2 4 2 3 2 3 7 2" xfId="13110" xr:uid="{A637D13A-40E9-4DD4-B3EA-A5A1CA93DB8A}"/>
    <cellStyle name="Normal 2 4 2 3 2 3 8" xfId="8892" xr:uid="{4F626048-002F-40EF-9977-1725DFFF718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D58DF0CF-B5CD-4F77-99D0-7EBFC6B6E71B}"/>
    <cellStyle name="Normal 2 4 2 3 2 4 2 3" xfId="11448" xr:uid="{3176C098-4570-4650-9711-D67278DC703B}"/>
    <cellStyle name="Normal 2 4 2 3 2 4 3" xfId="5092" xr:uid="{00000000-0005-0000-0000-0000D70E0000}"/>
    <cellStyle name="Normal 2 4 2 3 2 4 3 2" xfId="13521" xr:uid="{0600CAB7-0F2E-410F-8E25-D5FC1842F753}"/>
    <cellStyle name="Normal 2 4 2 3 2 4 4" xfId="9303" xr:uid="{63385F26-1F88-4D03-BA3A-DC09BDE347E4}"/>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BEF894A8-8BB1-4AE8-B0B6-2B6E766E3403}"/>
    <cellStyle name="Normal 2 4 2 3 2 5 2 3" xfId="11861" xr:uid="{EDD54A90-FC4C-45EB-9948-D3A669142881}"/>
    <cellStyle name="Normal 2 4 2 3 2 5 3" xfId="5505" xr:uid="{00000000-0005-0000-0000-0000DB0E0000}"/>
    <cellStyle name="Normal 2 4 2 3 2 5 3 2" xfId="13934" xr:uid="{BE4498A0-2374-4D94-BEB6-A9738388FF5A}"/>
    <cellStyle name="Normal 2 4 2 3 2 5 4" xfId="9716" xr:uid="{116BD370-6EE1-41FD-84D9-6646D8390A84}"/>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DAA3206B-4BC1-4AAF-85E6-F435BD2F88D9}"/>
    <cellStyle name="Normal 2 4 2 3 2 6 2 3" xfId="12274" xr:uid="{97CC90C1-E471-420C-8947-4239656C46C8}"/>
    <cellStyle name="Normal 2 4 2 3 2 6 3" xfId="5918" xr:uid="{00000000-0005-0000-0000-0000DF0E0000}"/>
    <cellStyle name="Normal 2 4 2 3 2 6 3 2" xfId="14347" xr:uid="{5285C1CD-0C8D-42D7-963D-0A020AFE7949}"/>
    <cellStyle name="Normal 2 4 2 3 2 6 4" xfId="10129" xr:uid="{1D9ACF7A-22DF-41A9-A2B6-D711ED5FC5D9}"/>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D5157924-07A2-4858-AE26-58946620362F}"/>
    <cellStyle name="Normal 2 4 2 3 2 7 2 3" xfId="12687" xr:uid="{E3CEF784-74EA-43DD-8F7D-B24BDD477B41}"/>
    <cellStyle name="Normal 2 4 2 3 2 7 3" xfId="6331" xr:uid="{00000000-0005-0000-0000-0000E30E0000}"/>
    <cellStyle name="Normal 2 4 2 3 2 7 3 2" xfId="14760" xr:uid="{E3C807FD-A659-4761-8EB7-B4A1FB5A67F9}"/>
    <cellStyle name="Normal 2 4 2 3 2 7 4" xfId="10542" xr:uid="{8A789F75-8E80-4193-8E7C-3754F2EE3A42}"/>
    <cellStyle name="Normal 2 4 2 3 2 8" xfId="2459" xr:uid="{00000000-0005-0000-0000-0000E40E0000}"/>
    <cellStyle name="Normal 2 4 2 3 2 8 2" xfId="6744" xr:uid="{00000000-0005-0000-0000-0000E50E0000}"/>
    <cellStyle name="Normal 2 4 2 3 2 8 2 2" xfId="15173" xr:uid="{A3A0F217-9198-454D-8185-51AA944A4240}"/>
    <cellStyle name="Normal 2 4 2 3 2 8 3" xfId="10955" xr:uid="{2D4D3408-C604-4C15-B196-699C769D1469}"/>
    <cellStyle name="Normal 2 4 2 3 2 9" xfId="4678" xr:uid="{00000000-0005-0000-0000-0000E60E0000}"/>
    <cellStyle name="Normal 2 4 2 3 2 9 2" xfId="13107" xr:uid="{1409850D-B3CC-4F04-97A6-7926D3361FB6}"/>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25D36F55-4B52-4C4D-81B1-E8EB8430B505}"/>
    <cellStyle name="Normal 2 4 2 3 3 2 2 2 3" xfId="11453" xr:uid="{5723AA82-E692-4CCF-8EA8-787698DF9AF6}"/>
    <cellStyle name="Normal 2 4 2 3 3 2 2 3" xfId="5097" xr:uid="{00000000-0005-0000-0000-0000EC0E0000}"/>
    <cellStyle name="Normal 2 4 2 3 3 2 2 3 2" xfId="13526" xr:uid="{57A70CB2-6E63-4BEB-A26C-31E307047ABF}"/>
    <cellStyle name="Normal 2 4 2 3 3 2 2 4" xfId="9308" xr:uid="{7E82EB31-71F3-4E78-BEC8-241786B4BDE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B81B7D01-EA3E-49B3-BA9B-F5A82DF520DC}"/>
    <cellStyle name="Normal 2 4 2 3 3 2 3 2 3" xfId="11866" xr:uid="{247B41A7-7271-465E-A229-BE1166E02010}"/>
    <cellStyle name="Normal 2 4 2 3 3 2 3 3" xfId="5510" xr:uid="{00000000-0005-0000-0000-0000F00E0000}"/>
    <cellStyle name="Normal 2 4 2 3 3 2 3 3 2" xfId="13939" xr:uid="{D09EDFB5-F37C-41EC-B4C9-BD662430B1A9}"/>
    <cellStyle name="Normal 2 4 2 3 3 2 3 4" xfId="9721" xr:uid="{F9B67667-F1DF-4C8E-B99D-18A7423C3617}"/>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FF40084A-1945-4B82-AE04-1BEC33CFE102}"/>
    <cellStyle name="Normal 2 4 2 3 3 2 4 2 3" xfId="12279" xr:uid="{A44C7357-9FEB-42F2-A665-3C7C312148D6}"/>
    <cellStyle name="Normal 2 4 2 3 3 2 4 3" xfId="5923" xr:uid="{00000000-0005-0000-0000-0000F40E0000}"/>
    <cellStyle name="Normal 2 4 2 3 3 2 4 3 2" xfId="14352" xr:uid="{90FD0920-EB45-498A-AE88-8A41CC78C154}"/>
    <cellStyle name="Normal 2 4 2 3 3 2 4 4" xfId="10134" xr:uid="{005CA3B9-84DF-4A75-8710-9E71F1FCA9B6}"/>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EA081ADF-6400-4E00-A36C-5B05381CD84F}"/>
    <cellStyle name="Normal 2 4 2 3 3 2 5 2 3" xfId="12692" xr:uid="{0A069D29-1C27-417E-BA61-471559C2C81B}"/>
    <cellStyle name="Normal 2 4 2 3 3 2 5 3" xfId="6336" xr:uid="{00000000-0005-0000-0000-0000F80E0000}"/>
    <cellStyle name="Normal 2 4 2 3 3 2 5 3 2" xfId="14765" xr:uid="{21CEF2F9-5402-49DB-AA96-6D4C2CD9330D}"/>
    <cellStyle name="Normal 2 4 2 3 3 2 5 4" xfId="10547" xr:uid="{D58B1E19-2014-495F-B5E5-2D099232753C}"/>
    <cellStyle name="Normal 2 4 2 3 3 2 6" xfId="2464" xr:uid="{00000000-0005-0000-0000-0000F90E0000}"/>
    <cellStyle name="Normal 2 4 2 3 3 2 6 2" xfId="6749" xr:uid="{00000000-0005-0000-0000-0000FA0E0000}"/>
    <cellStyle name="Normal 2 4 2 3 3 2 6 2 2" xfId="15178" xr:uid="{7B681FBA-061B-469B-B205-B2E0858709BB}"/>
    <cellStyle name="Normal 2 4 2 3 3 2 6 3" xfId="10960" xr:uid="{38FF1E25-8523-469F-85F6-42A3E4D2CB78}"/>
    <cellStyle name="Normal 2 4 2 3 3 2 7" xfId="4683" xr:uid="{00000000-0005-0000-0000-0000FB0E0000}"/>
    <cellStyle name="Normal 2 4 2 3 3 2 7 2" xfId="13112" xr:uid="{6DBDBA87-F7AC-4ED1-B054-CB5E78A78A91}"/>
    <cellStyle name="Normal 2 4 2 3 3 2 8" xfId="8894" xr:uid="{AD70D106-08A4-4869-AE90-C4C988F539EA}"/>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5BE91F38-8C3F-4B3E-8053-1F5D5A41E084}"/>
    <cellStyle name="Normal 2 4 2 3 3 3 2 3" xfId="11452" xr:uid="{D979BF07-BE27-4744-A347-D700F37A299B}"/>
    <cellStyle name="Normal 2 4 2 3 3 3 3" xfId="5096" xr:uid="{00000000-0005-0000-0000-0000FF0E0000}"/>
    <cellStyle name="Normal 2 4 2 3 3 3 3 2" xfId="13525" xr:uid="{4BE75D82-EACE-41C0-8D5F-A6A5F4FC4A4F}"/>
    <cellStyle name="Normal 2 4 2 3 3 3 4" xfId="9307" xr:uid="{733D0AC1-C67D-4818-B5E1-BC36B3C707B6}"/>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C4121D43-5FF9-4BE9-83D5-285CFAC9352B}"/>
    <cellStyle name="Normal 2 4 2 3 3 4 2 3" xfId="11865" xr:uid="{B9147089-21E4-404B-84FB-516A1395CD2B}"/>
    <cellStyle name="Normal 2 4 2 3 3 4 3" xfId="5509" xr:uid="{00000000-0005-0000-0000-0000030F0000}"/>
    <cellStyle name="Normal 2 4 2 3 3 4 3 2" xfId="13938" xr:uid="{8637E0D5-D3F3-4B12-877A-B1FA3E0AFE3C}"/>
    <cellStyle name="Normal 2 4 2 3 3 4 4" xfId="9720" xr:uid="{FCFFE091-2835-448F-8088-F012D4A613D4}"/>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3F2CC377-BEFF-4E4D-9CDA-C12D5E648486}"/>
    <cellStyle name="Normal 2 4 2 3 3 5 2 3" xfId="12278" xr:uid="{20C68562-25C0-495A-9137-BC4515677858}"/>
    <cellStyle name="Normal 2 4 2 3 3 5 3" xfId="5922" xr:uid="{00000000-0005-0000-0000-0000070F0000}"/>
    <cellStyle name="Normal 2 4 2 3 3 5 3 2" xfId="14351" xr:uid="{FD2F043C-925F-404A-AD0C-3D632BA8E500}"/>
    <cellStyle name="Normal 2 4 2 3 3 5 4" xfId="10133" xr:uid="{9B96B0F0-8FE0-4DA2-86BB-B499B9C23819}"/>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A95BE962-7328-403F-A2BC-F3CEDD17D7C1}"/>
    <cellStyle name="Normal 2 4 2 3 3 6 2 3" xfId="12691" xr:uid="{F68D2E14-D38F-4031-A5D9-F63DC54B23A2}"/>
    <cellStyle name="Normal 2 4 2 3 3 6 3" xfId="6335" xr:uid="{00000000-0005-0000-0000-00000B0F0000}"/>
    <cellStyle name="Normal 2 4 2 3 3 6 3 2" xfId="14764" xr:uid="{68FBDCDD-D023-4C9B-AB05-80006DEA0E97}"/>
    <cellStyle name="Normal 2 4 2 3 3 6 4" xfId="10546" xr:uid="{CE113301-3EB3-43F2-A4FC-55ADC53ECF6E}"/>
    <cellStyle name="Normal 2 4 2 3 3 7" xfId="2463" xr:uid="{00000000-0005-0000-0000-00000C0F0000}"/>
    <cellStyle name="Normal 2 4 2 3 3 7 2" xfId="6748" xr:uid="{00000000-0005-0000-0000-00000D0F0000}"/>
    <cellStyle name="Normal 2 4 2 3 3 7 2 2" xfId="15177" xr:uid="{B3416F9E-E849-491B-A45F-ADC9A3869B66}"/>
    <cellStyle name="Normal 2 4 2 3 3 7 3" xfId="10959" xr:uid="{2639E47E-BF1D-4BFB-AD9F-A979F0CDB9C6}"/>
    <cellStyle name="Normal 2 4 2 3 3 8" xfId="4682" xr:uid="{00000000-0005-0000-0000-00000E0F0000}"/>
    <cellStyle name="Normal 2 4 2 3 3 8 2" xfId="13111" xr:uid="{F4C92AF8-7840-415E-8E95-750A67FEEE5E}"/>
    <cellStyle name="Normal 2 4 2 3 3 9" xfId="8893" xr:uid="{6D9C1625-4D94-47B6-8205-EB879749B543}"/>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DA97C8DB-0FB3-4C35-959D-75EF28803822}"/>
    <cellStyle name="Normal 2 4 2 3 4 2 2 3" xfId="11454" xr:uid="{C5F29B9D-D37F-48E8-806C-30C628EBA178}"/>
    <cellStyle name="Normal 2 4 2 3 4 2 3" xfId="5098" xr:uid="{00000000-0005-0000-0000-0000130F0000}"/>
    <cellStyle name="Normal 2 4 2 3 4 2 3 2" xfId="13527" xr:uid="{75E4542D-A82A-49E6-8E4D-2572D9090DC9}"/>
    <cellStyle name="Normal 2 4 2 3 4 2 4" xfId="9309" xr:uid="{81051962-108E-4B33-9130-8DC875F35B72}"/>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0FA96EB5-8379-4675-A0E6-D0903E412BB7}"/>
    <cellStyle name="Normal 2 4 2 3 4 3 2 3" xfId="11867" xr:uid="{A9E1DC53-3DB4-455D-AA02-04F284218F71}"/>
    <cellStyle name="Normal 2 4 2 3 4 3 3" xfId="5511" xr:uid="{00000000-0005-0000-0000-0000170F0000}"/>
    <cellStyle name="Normal 2 4 2 3 4 3 3 2" xfId="13940" xr:uid="{5FFE7A21-4A2C-47FC-BA0F-B4EE78F2D707}"/>
    <cellStyle name="Normal 2 4 2 3 4 3 4" xfId="9722" xr:uid="{0610F1BC-8528-4B71-89F4-D36106530CA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85384B44-4D47-476C-8E5A-788602C14C98}"/>
    <cellStyle name="Normal 2 4 2 3 4 4 2 3" xfId="12280" xr:uid="{058C48EE-5589-442E-84F1-0CD734B9D084}"/>
    <cellStyle name="Normal 2 4 2 3 4 4 3" xfId="5924" xr:uid="{00000000-0005-0000-0000-00001B0F0000}"/>
    <cellStyle name="Normal 2 4 2 3 4 4 3 2" xfId="14353" xr:uid="{2994BFF3-A766-4A9E-A392-250F8067A60B}"/>
    <cellStyle name="Normal 2 4 2 3 4 4 4" xfId="10135" xr:uid="{700E31EC-64DD-44A9-A91C-F187768B49E6}"/>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7962C868-7A95-4955-825B-4F6143776887}"/>
    <cellStyle name="Normal 2 4 2 3 4 5 2 3" xfId="12693" xr:uid="{C4B82168-4121-4AD2-82A1-C767B3302F4A}"/>
    <cellStyle name="Normal 2 4 2 3 4 5 3" xfId="6337" xr:uid="{00000000-0005-0000-0000-00001F0F0000}"/>
    <cellStyle name="Normal 2 4 2 3 4 5 3 2" xfId="14766" xr:uid="{BA01CA32-AD78-40A6-B579-E5B4511D4F0A}"/>
    <cellStyle name="Normal 2 4 2 3 4 5 4" xfId="10548" xr:uid="{8192CE45-48A2-4348-968C-D7B48BDE76B4}"/>
    <cellStyle name="Normal 2 4 2 3 4 6" xfId="2465" xr:uid="{00000000-0005-0000-0000-0000200F0000}"/>
    <cellStyle name="Normal 2 4 2 3 4 6 2" xfId="6750" xr:uid="{00000000-0005-0000-0000-0000210F0000}"/>
    <cellStyle name="Normal 2 4 2 3 4 6 2 2" xfId="15179" xr:uid="{DB2048F4-E337-4E3F-A5B1-4BB550D62DD6}"/>
    <cellStyle name="Normal 2 4 2 3 4 6 3" xfId="10961" xr:uid="{CB8D0EE8-6E53-426B-ACF3-FA62A849C32C}"/>
    <cellStyle name="Normal 2 4 2 3 4 7" xfId="4684" xr:uid="{00000000-0005-0000-0000-0000220F0000}"/>
    <cellStyle name="Normal 2 4 2 3 4 7 2" xfId="13113" xr:uid="{88F9BD24-73E8-4898-B92E-5A4644228C98}"/>
    <cellStyle name="Normal 2 4 2 3 4 8" xfId="8895" xr:uid="{8F08404A-45A9-4FC5-A96C-C0DE2A2E6FC6}"/>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9FEAFE93-5585-4D3F-A4CD-1D72F617042E}"/>
    <cellStyle name="Normal 2 4 2 3 5 2 3" xfId="11447" xr:uid="{24AB6301-4130-4E54-8D6C-D5CF3319A78B}"/>
    <cellStyle name="Normal 2 4 2 3 5 3" xfId="5091" xr:uid="{00000000-0005-0000-0000-0000260F0000}"/>
    <cellStyle name="Normal 2 4 2 3 5 3 2" xfId="13520" xr:uid="{28C66017-097E-4797-B574-746C6FAD61FA}"/>
    <cellStyle name="Normal 2 4 2 3 5 4" xfId="9302" xr:uid="{E0F99E06-28B9-4F37-A3A3-27EDD476CB70}"/>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E34444FD-C42A-4CFF-86F7-BC90A5514564}"/>
    <cellStyle name="Normal 2 4 2 3 6 2 3" xfId="11860" xr:uid="{5E91C23E-9A38-4383-A3F3-E4E1675F93B5}"/>
    <cellStyle name="Normal 2 4 2 3 6 3" xfId="5504" xr:uid="{00000000-0005-0000-0000-00002A0F0000}"/>
    <cellStyle name="Normal 2 4 2 3 6 3 2" xfId="13933" xr:uid="{88EA6494-C10F-47EE-8F65-173C98671583}"/>
    <cellStyle name="Normal 2 4 2 3 6 4" xfId="9715" xr:uid="{6BD77F77-AB04-4548-A68A-B6DBECEA5C86}"/>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C67B470C-C345-42CB-97B6-DFE8D5CEA124}"/>
    <cellStyle name="Normal 2 4 2 3 7 2 3" xfId="12273" xr:uid="{9EC5906A-8EA1-42E6-819F-48F602783632}"/>
    <cellStyle name="Normal 2 4 2 3 7 3" xfId="5917" xr:uid="{00000000-0005-0000-0000-00002E0F0000}"/>
    <cellStyle name="Normal 2 4 2 3 7 3 2" xfId="14346" xr:uid="{F42BC290-F8F1-4526-B229-4AECF1821CDE}"/>
    <cellStyle name="Normal 2 4 2 3 7 4" xfId="10128" xr:uid="{DF616FDA-CBBC-4A44-B2E8-7DC2BE52CF6B}"/>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6A8BC476-1F4E-4006-BC01-C6B925055597}"/>
    <cellStyle name="Normal 2 4 2 3 8 2 3" xfId="12686" xr:uid="{078564C1-1CEB-4796-BD52-461CD37F6D64}"/>
    <cellStyle name="Normal 2 4 2 3 8 3" xfId="6330" xr:uid="{00000000-0005-0000-0000-0000320F0000}"/>
    <cellStyle name="Normal 2 4 2 3 8 3 2" xfId="14759" xr:uid="{514F2619-0151-4775-96B3-E289C7CE3F59}"/>
    <cellStyle name="Normal 2 4 2 3 8 4" xfId="10541" xr:uid="{20106842-E2A6-4506-A1F0-18F6FECEE3E7}"/>
    <cellStyle name="Normal 2 4 2 3 9" xfId="2458" xr:uid="{00000000-0005-0000-0000-0000330F0000}"/>
    <cellStyle name="Normal 2 4 2 3 9 2" xfId="6743" xr:uid="{00000000-0005-0000-0000-0000340F0000}"/>
    <cellStyle name="Normal 2 4 2 3 9 2 2" xfId="15172" xr:uid="{E67BFA52-F3BE-4C00-B1B3-0894509CAE0E}"/>
    <cellStyle name="Normal 2 4 2 3 9 3" xfId="10954" xr:uid="{591C87A8-3A50-4A48-93F5-567614895328}"/>
    <cellStyle name="Normal 2 4 2 4" xfId="289" xr:uid="{00000000-0005-0000-0000-0000350F0000}"/>
    <cellStyle name="Normal 2 4 2 4 10" xfId="8896" xr:uid="{42C62319-E3EF-4D8C-8667-8519EFE4F09E}"/>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6FD975CC-53BD-4E6C-9946-E664719786B2}"/>
    <cellStyle name="Normal 2 4 2 4 2 2 2 2 3" xfId="11457" xr:uid="{E1C9E699-44CB-4A22-9A38-C7BCA7D6EF99}"/>
    <cellStyle name="Normal 2 4 2 4 2 2 2 3" xfId="5101" xr:uid="{00000000-0005-0000-0000-00003B0F0000}"/>
    <cellStyle name="Normal 2 4 2 4 2 2 2 3 2" xfId="13530" xr:uid="{1202D397-6B0C-432C-BA1A-972968895838}"/>
    <cellStyle name="Normal 2 4 2 4 2 2 2 4" xfId="9312" xr:uid="{C682F46D-90D6-43F0-B58B-4BC0411FB9A4}"/>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1ADABE35-3FA3-40B7-8112-8C561BC9513B}"/>
    <cellStyle name="Normal 2 4 2 4 2 2 3 2 3" xfId="11870" xr:uid="{7DD76303-1EA1-47CD-9691-24FAF699F5B2}"/>
    <cellStyle name="Normal 2 4 2 4 2 2 3 3" xfId="5514" xr:uid="{00000000-0005-0000-0000-00003F0F0000}"/>
    <cellStyle name="Normal 2 4 2 4 2 2 3 3 2" xfId="13943" xr:uid="{B7298F00-8D22-4526-B384-C0283132BB69}"/>
    <cellStyle name="Normal 2 4 2 4 2 2 3 4" xfId="9725" xr:uid="{606A8D59-F1D0-4D26-A5F0-15DC7D67F7AD}"/>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DEB90046-FF11-429B-A978-F8BCD1BE6543}"/>
    <cellStyle name="Normal 2 4 2 4 2 2 4 2 3" xfId="12283" xr:uid="{D9885F69-AFC8-4425-BF4C-F5637A04AD7F}"/>
    <cellStyle name="Normal 2 4 2 4 2 2 4 3" xfId="5927" xr:uid="{00000000-0005-0000-0000-0000430F0000}"/>
    <cellStyle name="Normal 2 4 2 4 2 2 4 3 2" xfId="14356" xr:uid="{F8978304-9BE7-400A-B5AB-AA7566B99F25}"/>
    <cellStyle name="Normal 2 4 2 4 2 2 4 4" xfId="10138" xr:uid="{848563F1-E51C-4ABA-9F4A-61AA47027CA8}"/>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9AD10351-1D61-4C3D-886D-2951F63640F7}"/>
    <cellStyle name="Normal 2 4 2 4 2 2 5 2 3" xfId="12696" xr:uid="{7B15C672-BA4F-4E0A-9D46-BC1BF2803F61}"/>
    <cellStyle name="Normal 2 4 2 4 2 2 5 3" xfId="6340" xr:uid="{00000000-0005-0000-0000-0000470F0000}"/>
    <cellStyle name="Normal 2 4 2 4 2 2 5 3 2" xfId="14769" xr:uid="{3AC55990-462D-4286-AE9D-F46723CAF9B5}"/>
    <cellStyle name="Normal 2 4 2 4 2 2 5 4" xfId="10551" xr:uid="{3FB3FF34-EECB-4A83-BD03-0CF80856DA10}"/>
    <cellStyle name="Normal 2 4 2 4 2 2 6" xfId="2468" xr:uid="{00000000-0005-0000-0000-0000480F0000}"/>
    <cellStyle name="Normal 2 4 2 4 2 2 6 2" xfId="6753" xr:uid="{00000000-0005-0000-0000-0000490F0000}"/>
    <cellStyle name="Normal 2 4 2 4 2 2 6 2 2" xfId="15182" xr:uid="{0BDBC41B-076B-413F-9D0E-D8F0D8C10EF0}"/>
    <cellStyle name="Normal 2 4 2 4 2 2 6 3" xfId="10964" xr:uid="{36015A20-0434-478C-9FD8-D1CCAEF1115D}"/>
    <cellStyle name="Normal 2 4 2 4 2 2 7" xfId="4687" xr:uid="{00000000-0005-0000-0000-00004A0F0000}"/>
    <cellStyle name="Normal 2 4 2 4 2 2 7 2" xfId="13116" xr:uid="{0F7BD6C4-B6F9-4FDB-859D-E300BC7CAB0D}"/>
    <cellStyle name="Normal 2 4 2 4 2 2 8" xfId="8898" xr:uid="{3D145FB0-EB06-413F-A641-AB690DBB86B9}"/>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CFC946D0-2572-469F-B4CC-5F8B149F8953}"/>
    <cellStyle name="Normal 2 4 2 4 2 3 2 3" xfId="11456" xr:uid="{946388E2-49AF-4C47-9178-614203324165}"/>
    <cellStyle name="Normal 2 4 2 4 2 3 3" xfId="5100" xr:uid="{00000000-0005-0000-0000-00004E0F0000}"/>
    <cellStyle name="Normal 2 4 2 4 2 3 3 2" xfId="13529" xr:uid="{6DBB7ACA-BD8A-4B4B-8948-53E0D088940A}"/>
    <cellStyle name="Normal 2 4 2 4 2 3 4" xfId="9311" xr:uid="{21614845-41B0-406E-A790-3E8EB0590891}"/>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BD09F13A-9AE9-4227-9898-250AC78258A5}"/>
    <cellStyle name="Normal 2 4 2 4 2 4 2 3" xfId="11869" xr:uid="{66E1827E-E5BD-455F-B10E-3FCFA2A56714}"/>
    <cellStyle name="Normal 2 4 2 4 2 4 3" xfId="5513" xr:uid="{00000000-0005-0000-0000-0000520F0000}"/>
    <cellStyle name="Normal 2 4 2 4 2 4 3 2" xfId="13942" xr:uid="{3866A6F2-3E83-408D-92CD-246107DB9A9D}"/>
    <cellStyle name="Normal 2 4 2 4 2 4 4" xfId="9724" xr:uid="{3DB1DCB8-EE08-41F7-A9FF-C2D54CEF571A}"/>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54D616B0-7667-400C-AF8D-8154DFE2DBD4}"/>
    <cellStyle name="Normal 2 4 2 4 2 5 2 3" xfId="12282" xr:uid="{89C30A67-A0A3-4CD2-BAA1-CE9201608C43}"/>
    <cellStyle name="Normal 2 4 2 4 2 5 3" xfId="5926" xr:uid="{00000000-0005-0000-0000-0000560F0000}"/>
    <cellStyle name="Normal 2 4 2 4 2 5 3 2" xfId="14355" xr:uid="{B96D84A9-37FA-4110-BBAD-B38699482A6C}"/>
    <cellStyle name="Normal 2 4 2 4 2 5 4" xfId="10137" xr:uid="{E3134A2E-2C4A-4E04-AC50-47B366EF4231}"/>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1618FD99-0A78-43B9-8933-459B064D5CFC}"/>
    <cellStyle name="Normal 2 4 2 4 2 6 2 3" xfId="12695" xr:uid="{D39764A1-1EBA-4E3D-B078-071197A07EED}"/>
    <cellStyle name="Normal 2 4 2 4 2 6 3" xfId="6339" xr:uid="{00000000-0005-0000-0000-00005A0F0000}"/>
    <cellStyle name="Normal 2 4 2 4 2 6 3 2" xfId="14768" xr:uid="{ECE96F7B-CCA7-419B-A465-B741D56A32C7}"/>
    <cellStyle name="Normal 2 4 2 4 2 6 4" xfId="10550" xr:uid="{8024AEAF-177A-480D-AF45-088C11B65AD1}"/>
    <cellStyle name="Normal 2 4 2 4 2 7" xfId="2467" xr:uid="{00000000-0005-0000-0000-00005B0F0000}"/>
    <cellStyle name="Normal 2 4 2 4 2 7 2" xfId="6752" xr:uid="{00000000-0005-0000-0000-00005C0F0000}"/>
    <cellStyle name="Normal 2 4 2 4 2 7 2 2" xfId="15181" xr:uid="{076EADA7-2C8E-49EA-A6D2-226B3F77A527}"/>
    <cellStyle name="Normal 2 4 2 4 2 7 3" xfId="10963" xr:uid="{69113FE8-4A62-4BDD-849F-09CCE4894969}"/>
    <cellStyle name="Normal 2 4 2 4 2 8" xfId="4686" xr:uid="{00000000-0005-0000-0000-00005D0F0000}"/>
    <cellStyle name="Normal 2 4 2 4 2 8 2" xfId="13115" xr:uid="{67C8A05A-1052-419C-973D-13601FBA65CC}"/>
    <cellStyle name="Normal 2 4 2 4 2 9" xfId="8897" xr:uid="{A80EAE7F-B46C-4E35-9546-7DEEFD7B61F7}"/>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E950C89-29D0-4795-954C-77E0D491BC0A}"/>
    <cellStyle name="Normal 2 4 2 4 3 2 2 3" xfId="11458" xr:uid="{A98115E9-A842-4DA1-A6CA-9D4852A1B6E1}"/>
    <cellStyle name="Normal 2 4 2 4 3 2 3" xfId="5102" xr:uid="{00000000-0005-0000-0000-0000620F0000}"/>
    <cellStyle name="Normal 2 4 2 4 3 2 3 2" xfId="13531" xr:uid="{97A95E4B-B61E-496D-94B2-6DCAA6F7B9D1}"/>
    <cellStyle name="Normal 2 4 2 4 3 2 4" xfId="9313" xr:uid="{3EED0FBD-E259-421E-87BB-76B039D7F0B4}"/>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5570A6A2-15CF-4293-8CE2-391DC4807241}"/>
    <cellStyle name="Normal 2 4 2 4 3 3 2 3" xfId="11871" xr:uid="{BA3FC480-8A38-41F2-BB08-B55F9927DB6C}"/>
    <cellStyle name="Normal 2 4 2 4 3 3 3" xfId="5515" xr:uid="{00000000-0005-0000-0000-0000660F0000}"/>
    <cellStyle name="Normal 2 4 2 4 3 3 3 2" xfId="13944" xr:uid="{C9E13F65-6759-4D54-8D43-42561589CC58}"/>
    <cellStyle name="Normal 2 4 2 4 3 3 4" xfId="9726" xr:uid="{2CC02BAE-E3C2-4EF0-AF91-85B2F5B1F016}"/>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6279FAB8-426F-40EB-8663-0EA452C99394}"/>
    <cellStyle name="Normal 2 4 2 4 3 4 2 3" xfId="12284" xr:uid="{C9AE6277-C3E2-41D4-A578-8A57F6C68FA7}"/>
    <cellStyle name="Normal 2 4 2 4 3 4 3" xfId="5928" xr:uid="{00000000-0005-0000-0000-00006A0F0000}"/>
    <cellStyle name="Normal 2 4 2 4 3 4 3 2" xfId="14357" xr:uid="{AFAB7BA1-B5BF-4E29-A944-5EB93786C40D}"/>
    <cellStyle name="Normal 2 4 2 4 3 4 4" xfId="10139" xr:uid="{590B6FDA-8DCF-468D-B34F-89C260056A8D}"/>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18AE3808-CC77-486D-916C-F994C3001EDE}"/>
    <cellStyle name="Normal 2 4 2 4 3 5 2 3" xfId="12697" xr:uid="{5D22B761-C627-4FF1-ADF8-56FE1418F690}"/>
    <cellStyle name="Normal 2 4 2 4 3 5 3" xfId="6341" xr:uid="{00000000-0005-0000-0000-00006E0F0000}"/>
    <cellStyle name="Normal 2 4 2 4 3 5 3 2" xfId="14770" xr:uid="{0A796B68-C9F8-4A37-B835-805279A31DF7}"/>
    <cellStyle name="Normal 2 4 2 4 3 5 4" xfId="10552" xr:uid="{CC8610F4-7B66-44A2-A542-3E119035D0A9}"/>
    <cellStyle name="Normal 2 4 2 4 3 6" xfId="2469" xr:uid="{00000000-0005-0000-0000-00006F0F0000}"/>
    <cellStyle name="Normal 2 4 2 4 3 6 2" xfId="6754" xr:uid="{00000000-0005-0000-0000-0000700F0000}"/>
    <cellStyle name="Normal 2 4 2 4 3 6 2 2" xfId="15183" xr:uid="{B8E5315A-732C-4134-940C-61DD0BD3E894}"/>
    <cellStyle name="Normal 2 4 2 4 3 6 3" xfId="10965" xr:uid="{CEF73B2F-D10F-4594-89D1-98C647ABBFAE}"/>
    <cellStyle name="Normal 2 4 2 4 3 7" xfId="4688" xr:uid="{00000000-0005-0000-0000-0000710F0000}"/>
    <cellStyle name="Normal 2 4 2 4 3 7 2" xfId="13117" xr:uid="{0CE46904-3904-4F79-AD78-C1A0546A6894}"/>
    <cellStyle name="Normal 2 4 2 4 3 8" xfId="8899" xr:uid="{70C1335D-5DAF-4A93-8116-CFC1B545F7C8}"/>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ADBC8994-30EB-4DB5-835E-4C5395131934}"/>
    <cellStyle name="Normal 2 4 2 4 4 2 3" xfId="11455" xr:uid="{752DDB5D-EBE5-493B-81D4-851BAEE52490}"/>
    <cellStyle name="Normal 2 4 2 4 4 3" xfId="5099" xr:uid="{00000000-0005-0000-0000-0000750F0000}"/>
    <cellStyle name="Normal 2 4 2 4 4 3 2" xfId="13528" xr:uid="{C48E9DDB-381A-41A5-BAAD-0CD350E3C2D4}"/>
    <cellStyle name="Normal 2 4 2 4 4 4" xfId="9310" xr:uid="{C9B37840-EC3A-416C-8037-9FD0EF0705E7}"/>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118090F3-F237-43E3-927E-A8832113FF52}"/>
    <cellStyle name="Normal 2 4 2 4 5 2 3" xfId="11868" xr:uid="{F9CFCA8E-64C8-474F-B4C8-29F1EC547DB5}"/>
    <cellStyle name="Normal 2 4 2 4 5 3" xfId="5512" xr:uid="{00000000-0005-0000-0000-0000790F0000}"/>
    <cellStyle name="Normal 2 4 2 4 5 3 2" xfId="13941" xr:uid="{CA6F67A6-9002-4FDF-91DD-EED78010FCA6}"/>
    <cellStyle name="Normal 2 4 2 4 5 4" xfId="9723" xr:uid="{E7CDBDC7-20D0-4490-9333-4A3135C2DECD}"/>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AAC29BE8-8928-47A0-B4FE-EDA9A1D3946E}"/>
    <cellStyle name="Normal 2 4 2 4 6 2 3" xfId="12281" xr:uid="{38AAE7DE-6DF4-4111-A02C-80667205A7F1}"/>
    <cellStyle name="Normal 2 4 2 4 6 3" xfId="5925" xr:uid="{00000000-0005-0000-0000-00007D0F0000}"/>
    <cellStyle name="Normal 2 4 2 4 6 3 2" xfId="14354" xr:uid="{83464D82-6460-434F-AC9C-CA11DFB0D946}"/>
    <cellStyle name="Normal 2 4 2 4 6 4" xfId="10136" xr:uid="{542752D8-7EF9-4EF8-BB39-4211DA0CAB4C}"/>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50A50E14-9241-4E8E-8044-4A4FF4787F78}"/>
    <cellStyle name="Normal 2 4 2 4 7 2 3" xfId="12694" xr:uid="{B2ACCD19-4168-44E6-833E-E7E2F464AED9}"/>
    <cellStyle name="Normal 2 4 2 4 7 3" xfId="6338" xr:uid="{00000000-0005-0000-0000-0000810F0000}"/>
    <cellStyle name="Normal 2 4 2 4 7 3 2" xfId="14767" xr:uid="{49DDB08B-AD8A-44F7-9498-CCF3CFE3C8A4}"/>
    <cellStyle name="Normal 2 4 2 4 7 4" xfId="10549" xr:uid="{E02DC666-5A01-4856-97D5-1E7E6AE8CE77}"/>
    <cellStyle name="Normal 2 4 2 4 8" xfId="2466" xr:uid="{00000000-0005-0000-0000-0000820F0000}"/>
    <cellStyle name="Normal 2 4 2 4 8 2" xfId="6751" xr:uid="{00000000-0005-0000-0000-0000830F0000}"/>
    <cellStyle name="Normal 2 4 2 4 8 2 2" xfId="15180" xr:uid="{3BC1D6BA-2D02-4F78-9AF1-D8E0BD084BD7}"/>
    <cellStyle name="Normal 2 4 2 4 8 3" xfId="10962" xr:uid="{4077721A-FD18-448F-9455-862C3F4BB2C6}"/>
    <cellStyle name="Normal 2 4 2 4 9" xfId="4685" xr:uid="{00000000-0005-0000-0000-0000840F0000}"/>
    <cellStyle name="Normal 2 4 2 4 9 2" xfId="13114" xr:uid="{0E296423-1FA5-40C3-B0A8-62891F382437}"/>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A1B70FBE-B0B3-4F14-A69A-DA4E89FB818F}"/>
    <cellStyle name="Normal 2 4 2 5 2 2 2 3" xfId="11460" xr:uid="{43FD98E6-6BF8-4444-B552-4857DBCB4914}"/>
    <cellStyle name="Normal 2 4 2 5 2 2 3" xfId="5104" xr:uid="{00000000-0005-0000-0000-00008A0F0000}"/>
    <cellStyle name="Normal 2 4 2 5 2 2 3 2" xfId="13533" xr:uid="{5334BE80-CA1D-4587-A3A2-BBFF753477DC}"/>
    <cellStyle name="Normal 2 4 2 5 2 2 4" xfId="9315" xr:uid="{198FCA3D-BD91-47AC-B030-DFE0E679A2D4}"/>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5FE22DBA-C07E-46E6-A24A-4D642C0E900C}"/>
    <cellStyle name="Normal 2 4 2 5 2 3 2 3" xfId="11873" xr:uid="{0EBC8139-4739-4AEB-B784-A53264CF60BB}"/>
    <cellStyle name="Normal 2 4 2 5 2 3 3" xfId="5517" xr:uid="{00000000-0005-0000-0000-00008E0F0000}"/>
    <cellStyle name="Normal 2 4 2 5 2 3 3 2" xfId="13946" xr:uid="{B4A17ADD-43A7-456C-9C6E-54FC530161EE}"/>
    <cellStyle name="Normal 2 4 2 5 2 3 4" xfId="9728" xr:uid="{0E7910E6-87B9-4A3F-A34C-A87E23157D3B}"/>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6FD58590-CF13-47A2-8175-4C8D9E0A07E4}"/>
    <cellStyle name="Normal 2 4 2 5 2 4 2 3" xfId="12286" xr:uid="{9E8B9D14-FFC0-48BA-B081-F84F0DDB7F6B}"/>
    <cellStyle name="Normal 2 4 2 5 2 4 3" xfId="5930" xr:uid="{00000000-0005-0000-0000-0000920F0000}"/>
    <cellStyle name="Normal 2 4 2 5 2 4 3 2" xfId="14359" xr:uid="{E000F648-CB6D-4540-A520-001CE4029EA4}"/>
    <cellStyle name="Normal 2 4 2 5 2 4 4" xfId="10141" xr:uid="{EB56EC7B-A0C4-4BE3-8AA0-503CCEC97053}"/>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011AA2A0-BE64-49C3-8881-D4C6E3969EE8}"/>
    <cellStyle name="Normal 2 4 2 5 2 5 2 3" xfId="12699" xr:uid="{881C0C05-3862-4647-89AE-34E9E83EFA9B}"/>
    <cellStyle name="Normal 2 4 2 5 2 5 3" xfId="6343" xr:uid="{00000000-0005-0000-0000-0000960F0000}"/>
    <cellStyle name="Normal 2 4 2 5 2 5 3 2" xfId="14772" xr:uid="{267E3053-017D-4553-8383-B08D77D7192D}"/>
    <cellStyle name="Normal 2 4 2 5 2 5 4" xfId="10554" xr:uid="{1A457D30-670A-4238-AE6E-AC102386197D}"/>
    <cellStyle name="Normal 2 4 2 5 2 6" xfId="2471" xr:uid="{00000000-0005-0000-0000-0000970F0000}"/>
    <cellStyle name="Normal 2 4 2 5 2 6 2" xfId="6756" xr:uid="{00000000-0005-0000-0000-0000980F0000}"/>
    <cellStyle name="Normal 2 4 2 5 2 6 2 2" xfId="15185" xr:uid="{B8B1B756-AE55-423D-8C45-1C4DFF4CBD5E}"/>
    <cellStyle name="Normal 2 4 2 5 2 6 3" xfId="10967" xr:uid="{3A4EB9D2-2042-4DDA-860B-EE9B2B6210DC}"/>
    <cellStyle name="Normal 2 4 2 5 2 7" xfId="4690" xr:uid="{00000000-0005-0000-0000-0000990F0000}"/>
    <cellStyle name="Normal 2 4 2 5 2 7 2" xfId="13119" xr:uid="{60DFB35C-3A3D-4560-989E-049847621268}"/>
    <cellStyle name="Normal 2 4 2 5 2 8" xfId="8901" xr:uid="{22815838-F8A2-42A0-9C82-2465F53F8A03}"/>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99882AC6-FD52-4124-9B7F-E9336637FA1F}"/>
    <cellStyle name="Normal 2 4 2 5 3 2 3" xfId="11459" xr:uid="{43502FA2-C7E0-41FB-A5D5-85FB19BD89DA}"/>
    <cellStyle name="Normal 2 4 2 5 3 3" xfId="5103" xr:uid="{00000000-0005-0000-0000-00009D0F0000}"/>
    <cellStyle name="Normal 2 4 2 5 3 3 2" xfId="13532" xr:uid="{37F5DFCF-A78E-43AB-B62B-697DB774C879}"/>
    <cellStyle name="Normal 2 4 2 5 3 4" xfId="9314" xr:uid="{C3099908-C7D4-4034-B5F4-2898E820DC0D}"/>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47C30A3B-C193-4204-B0B3-23B1B8650491}"/>
    <cellStyle name="Normal 2 4 2 5 4 2 3" xfId="11872" xr:uid="{BF1C1F39-5BC0-49DA-A96A-7989BD81D807}"/>
    <cellStyle name="Normal 2 4 2 5 4 3" xfId="5516" xr:uid="{00000000-0005-0000-0000-0000A10F0000}"/>
    <cellStyle name="Normal 2 4 2 5 4 3 2" xfId="13945" xr:uid="{989D1217-0B55-4997-92DD-0F7D500D64B5}"/>
    <cellStyle name="Normal 2 4 2 5 4 4" xfId="9727" xr:uid="{1FBB75DF-38FA-4907-87D3-710E23A7BD3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36EFB083-0454-4D2B-BF4E-748154A912C2}"/>
    <cellStyle name="Normal 2 4 2 5 5 2 3" xfId="12285" xr:uid="{1EB132E6-437B-4895-9C0F-D179632E9823}"/>
    <cellStyle name="Normal 2 4 2 5 5 3" xfId="5929" xr:uid="{00000000-0005-0000-0000-0000A50F0000}"/>
    <cellStyle name="Normal 2 4 2 5 5 3 2" xfId="14358" xr:uid="{8CAFDB1C-7CDE-4D38-BF41-99B702A919BA}"/>
    <cellStyle name="Normal 2 4 2 5 5 4" xfId="10140" xr:uid="{C1F55190-8098-4D41-88C5-312925A8D793}"/>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CE6B7CD4-A0B3-49B8-AF8B-B5FF14B40404}"/>
    <cellStyle name="Normal 2 4 2 5 6 2 3" xfId="12698" xr:uid="{FDFFEEEC-9128-429D-A827-96EAC137D976}"/>
    <cellStyle name="Normal 2 4 2 5 6 3" xfId="6342" xr:uid="{00000000-0005-0000-0000-0000A90F0000}"/>
    <cellStyle name="Normal 2 4 2 5 6 3 2" xfId="14771" xr:uid="{C291A54D-B30B-42AB-8746-E1613A7C4A73}"/>
    <cellStyle name="Normal 2 4 2 5 6 4" xfId="10553" xr:uid="{3B937E33-7005-4C64-A292-4DB095CCD6A3}"/>
    <cellStyle name="Normal 2 4 2 5 7" xfId="2470" xr:uid="{00000000-0005-0000-0000-0000AA0F0000}"/>
    <cellStyle name="Normal 2 4 2 5 7 2" xfId="6755" xr:uid="{00000000-0005-0000-0000-0000AB0F0000}"/>
    <cellStyle name="Normal 2 4 2 5 7 2 2" xfId="15184" xr:uid="{9DF7AB63-F07C-4BDC-A35E-EF019BAD1127}"/>
    <cellStyle name="Normal 2 4 2 5 7 3" xfId="10966" xr:uid="{BB24268F-88EC-4EE6-8AD8-1C854436BFD9}"/>
    <cellStyle name="Normal 2 4 2 5 8" xfId="4689" xr:uid="{00000000-0005-0000-0000-0000AC0F0000}"/>
    <cellStyle name="Normal 2 4 2 5 8 2" xfId="13118" xr:uid="{13C318BB-4394-4F20-8C8A-0BF7262377F1}"/>
    <cellStyle name="Normal 2 4 2 5 9" xfId="8900" xr:uid="{AEF6D8FC-3FBA-49FD-B785-69AF84CDD943}"/>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5CD30543-3BA6-4BE1-951D-79584C1C477B}"/>
    <cellStyle name="Normal 2 4 2 6 2 2 3" xfId="11461" xr:uid="{035B446D-A0DA-4F04-AC50-342F487020BD}"/>
    <cellStyle name="Normal 2 4 2 6 2 3" xfId="5105" xr:uid="{00000000-0005-0000-0000-0000B10F0000}"/>
    <cellStyle name="Normal 2 4 2 6 2 3 2" xfId="13534" xr:uid="{1FC4539A-981E-4865-A335-6B43612F0601}"/>
    <cellStyle name="Normal 2 4 2 6 2 4" xfId="9316" xr:uid="{8A1EBCC9-2046-45BA-9C12-5D8B704635B6}"/>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11DAF2A0-D801-4C99-80D4-FD889251539E}"/>
    <cellStyle name="Normal 2 4 2 6 3 2 3" xfId="11874" xr:uid="{4FF1E783-F7CC-4CF1-95D7-B624AAC9BDD7}"/>
    <cellStyle name="Normal 2 4 2 6 3 3" xfId="5518" xr:uid="{00000000-0005-0000-0000-0000B50F0000}"/>
    <cellStyle name="Normal 2 4 2 6 3 3 2" xfId="13947" xr:uid="{759A9702-09D4-49A7-AD4F-506115FCAFA2}"/>
    <cellStyle name="Normal 2 4 2 6 3 4" xfId="9729" xr:uid="{D640B0E9-F365-42CD-835A-FE8DCE96C3CA}"/>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BC93FCF4-115E-424A-AAFD-BA1E86482A0F}"/>
    <cellStyle name="Normal 2 4 2 6 4 2 3" xfId="12287" xr:uid="{057D14A6-9B5C-4D24-B176-64256038D532}"/>
    <cellStyle name="Normal 2 4 2 6 4 3" xfId="5931" xr:uid="{00000000-0005-0000-0000-0000B90F0000}"/>
    <cellStyle name="Normal 2 4 2 6 4 3 2" xfId="14360" xr:uid="{3271876D-1816-4EB8-84F8-7278ED920FBE}"/>
    <cellStyle name="Normal 2 4 2 6 4 4" xfId="10142" xr:uid="{22A97642-2D4A-47D7-86B5-9045AA73CB75}"/>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650D116D-6805-4BDF-8AAE-0A050D608903}"/>
    <cellStyle name="Normal 2 4 2 6 5 2 3" xfId="12700" xr:uid="{57173006-3844-4F83-BDED-2E42F8471837}"/>
    <cellStyle name="Normal 2 4 2 6 5 3" xfId="6344" xr:uid="{00000000-0005-0000-0000-0000BD0F0000}"/>
    <cellStyle name="Normal 2 4 2 6 5 3 2" xfId="14773" xr:uid="{8E32DE90-6AF4-4399-BAE8-4CB9A8656D2C}"/>
    <cellStyle name="Normal 2 4 2 6 5 4" xfId="10555" xr:uid="{A9F2DA10-FFAB-4E6C-86C8-0909F99BBAA2}"/>
    <cellStyle name="Normal 2 4 2 6 6" xfId="2472" xr:uid="{00000000-0005-0000-0000-0000BE0F0000}"/>
    <cellStyle name="Normal 2 4 2 6 6 2" xfId="6757" xr:uid="{00000000-0005-0000-0000-0000BF0F0000}"/>
    <cellStyle name="Normal 2 4 2 6 6 2 2" xfId="15186" xr:uid="{AAD65A05-FCA1-4411-B32F-E49C5CD2335B}"/>
    <cellStyle name="Normal 2 4 2 6 6 3" xfId="10968" xr:uid="{6A85981E-EF31-4200-B7F8-E1556FD138A2}"/>
    <cellStyle name="Normal 2 4 2 6 7" xfId="4691" xr:uid="{00000000-0005-0000-0000-0000C00F0000}"/>
    <cellStyle name="Normal 2 4 2 6 7 2" xfId="13120" xr:uid="{ACEB832B-7D4D-414B-A28F-D5ADC80BAB47}"/>
    <cellStyle name="Normal 2 4 2 6 8" xfId="8902" xr:uid="{F2BEA7E2-4943-4F09-AAD5-2363B2E812DB}"/>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C75FBE05-83DF-48CC-92FA-A0CACE7D7456}"/>
    <cellStyle name="Normal 2 4 2 7 2 3" xfId="11446" xr:uid="{4B8CEF5E-9E69-40E1-95B1-0411218928D1}"/>
    <cellStyle name="Normal 2 4 2 7 3" xfId="5090" xr:uid="{00000000-0005-0000-0000-0000C40F0000}"/>
    <cellStyle name="Normal 2 4 2 7 3 2" xfId="13519" xr:uid="{3480C94F-D9E1-4969-95F8-C3071336C8F6}"/>
    <cellStyle name="Normal 2 4 2 7 4" xfId="9301" xr:uid="{BE433D03-9A59-4E75-BA3E-727FFB814F77}"/>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22D348C1-07FD-45E5-9E51-ADEBFA7A259E}"/>
    <cellStyle name="Normal 2 4 2 8 2 3" xfId="11859" xr:uid="{A6804EF5-D9C6-4B52-B4FE-F8F10B76EAE4}"/>
    <cellStyle name="Normal 2 4 2 8 3" xfId="5503" xr:uid="{00000000-0005-0000-0000-0000C80F0000}"/>
    <cellStyle name="Normal 2 4 2 8 3 2" xfId="13932" xr:uid="{D6947519-AA45-45A0-9BAC-C8CA0F0DFAD5}"/>
    <cellStyle name="Normal 2 4 2 8 4" xfId="9714" xr:uid="{88E272A4-C53B-4CBB-8D40-2591E04290F6}"/>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6E8602C8-8355-4F6F-9A99-CD4A317CC90A}"/>
    <cellStyle name="Normal 2 4 2 9 2 3" xfId="12272" xr:uid="{EC9E2319-A9E3-4B0E-AE8A-D301A1EF4DF1}"/>
    <cellStyle name="Normal 2 4 2 9 3" xfId="5916" xr:uid="{00000000-0005-0000-0000-0000CC0F0000}"/>
    <cellStyle name="Normal 2 4 2 9 3 2" xfId="14345" xr:uid="{79A2004F-D07C-4C42-8B8E-D7420C9FAD16}"/>
    <cellStyle name="Normal 2 4 2 9 4" xfId="10127" xr:uid="{0966F4D0-CEF9-4681-A7F6-0C930EFB22AD}"/>
    <cellStyle name="Normal 2 4 3" xfId="296" xr:uid="{00000000-0005-0000-0000-0000CD0F0000}"/>
    <cellStyle name="Normal 2 4 3 10" xfId="8903" xr:uid="{9931FC3C-709C-4232-8DAA-A7E340D0E1D4}"/>
    <cellStyle name="Normal 2 4 3 2" xfId="297" xr:uid="{00000000-0005-0000-0000-0000CE0F0000}"/>
    <cellStyle name="Normal 2 4 3 3" xfId="298" xr:uid="{00000000-0005-0000-0000-0000CF0F0000}"/>
    <cellStyle name="Normal 2 4 3 3 10" xfId="8904" xr:uid="{3D2A132E-9E7A-4B29-83FE-A9F4956FD593}"/>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CEC89BAB-C1E1-4366-8461-C34C52FEB0A0}"/>
    <cellStyle name="Normal 2 4 3 3 2 2 2 2 3" xfId="11465" xr:uid="{BF3399B0-60E8-4571-BFD6-CB60A8D043F0}"/>
    <cellStyle name="Normal 2 4 3 3 2 2 2 3" xfId="5109" xr:uid="{00000000-0005-0000-0000-0000D50F0000}"/>
    <cellStyle name="Normal 2 4 3 3 2 2 2 3 2" xfId="13538" xr:uid="{8828B386-75CE-41F8-A23B-F8AB16867E20}"/>
    <cellStyle name="Normal 2 4 3 3 2 2 2 4" xfId="9320" xr:uid="{6CC51FDC-4FED-4673-9AEF-5964B0DAE004}"/>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EC7AC59B-7700-4E5D-B62D-6BF712E07FBE}"/>
    <cellStyle name="Normal 2 4 3 3 2 2 3 2 3" xfId="11878" xr:uid="{0287DA85-A1A5-4EBE-96AF-754E3F70A9F1}"/>
    <cellStyle name="Normal 2 4 3 3 2 2 3 3" xfId="5522" xr:uid="{00000000-0005-0000-0000-0000D90F0000}"/>
    <cellStyle name="Normal 2 4 3 3 2 2 3 3 2" xfId="13951" xr:uid="{4CCB128B-54DA-4643-A19B-F40C92F29DD4}"/>
    <cellStyle name="Normal 2 4 3 3 2 2 3 4" xfId="9733" xr:uid="{43F1CB62-53B2-4FE4-B538-D3E87FCD73F1}"/>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10402595-6AD4-4689-9AAE-3D9E965DBA9C}"/>
    <cellStyle name="Normal 2 4 3 3 2 2 4 2 3" xfId="12291" xr:uid="{6456DC86-BD41-4868-81B8-401B84B590B4}"/>
    <cellStyle name="Normal 2 4 3 3 2 2 4 3" xfId="5935" xr:uid="{00000000-0005-0000-0000-0000DD0F0000}"/>
    <cellStyle name="Normal 2 4 3 3 2 2 4 3 2" xfId="14364" xr:uid="{550F4C4F-798E-4A7F-B9A9-D21501EEC0C4}"/>
    <cellStyle name="Normal 2 4 3 3 2 2 4 4" xfId="10146" xr:uid="{8F27E76B-6B56-4D7B-98A6-9A521EDDA631}"/>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BD3EEC7F-5E24-4486-BE7A-ECD9E07BAEF8}"/>
    <cellStyle name="Normal 2 4 3 3 2 2 5 2 3" xfId="12704" xr:uid="{02A95131-3056-41AE-B5B8-BF7B90C0DB2A}"/>
    <cellStyle name="Normal 2 4 3 3 2 2 5 3" xfId="6348" xr:uid="{00000000-0005-0000-0000-0000E10F0000}"/>
    <cellStyle name="Normal 2 4 3 3 2 2 5 3 2" xfId="14777" xr:uid="{B3C149B1-B86E-4380-839D-480D50452BC4}"/>
    <cellStyle name="Normal 2 4 3 3 2 2 5 4" xfId="10559" xr:uid="{924984A2-0443-4CB4-9AE0-06078D505AD1}"/>
    <cellStyle name="Normal 2 4 3 3 2 2 6" xfId="2476" xr:uid="{00000000-0005-0000-0000-0000E20F0000}"/>
    <cellStyle name="Normal 2 4 3 3 2 2 6 2" xfId="6761" xr:uid="{00000000-0005-0000-0000-0000E30F0000}"/>
    <cellStyle name="Normal 2 4 3 3 2 2 6 2 2" xfId="15190" xr:uid="{78EBBFAC-2A66-47BF-9960-F184BE522898}"/>
    <cellStyle name="Normal 2 4 3 3 2 2 6 3" xfId="10972" xr:uid="{BBF7B908-5777-4780-98E6-D2AA1E5EC78E}"/>
    <cellStyle name="Normal 2 4 3 3 2 2 7" xfId="4695" xr:uid="{00000000-0005-0000-0000-0000E40F0000}"/>
    <cellStyle name="Normal 2 4 3 3 2 2 7 2" xfId="13124" xr:uid="{BEF15EBF-F383-4962-A768-9398ABC47D8D}"/>
    <cellStyle name="Normal 2 4 3 3 2 2 8" xfId="8906" xr:uid="{E6B9A6C3-5460-452F-A44B-1E3C1E952841}"/>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99195EC7-F950-4A72-99D7-D621DEACB810}"/>
    <cellStyle name="Normal 2 4 3 3 2 3 2 3" xfId="11464" xr:uid="{FDF110D7-11A3-4A35-A4F2-35FD6EEC6F04}"/>
    <cellStyle name="Normal 2 4 3 3 2 3 3" xfId="5108" xr:uid="{00000000-0005-0000-0000-0000E80F0000}"/>
    <cellStyle name="Normal 2 4 3 3 2 3 3 2" xfId="13537" xr:uid="{992030A1-FE94-48B1-8ECD-84188D3A314C}"/>
    <cellStyle name="Normal 2 4 3 3 2 3 4" xfId="9319" xr:uid="{410150ED-1703-4B67-9637-EF43657E7465}"/>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20374ACA-E5E8-4513-B86D-B0E5532BDAEE}"/>
    <cellStyle name="Normal 2 4 3 3 2 4 2 3" xfId="11877" xr:uid="{A91E783F-65C5-4266-869A-F4E12D6D4A13}"/>
    <cellStyle name="Normal 2 4 3 3 2 4 3" xfId="5521" xr:uid="{00000000-0005-0000-0000-0000EC0F0000}"/>
    <cellStyle name="Normal 2 4 3 3 2 4 3 2" xfId="13950" xr:uid="{F14DC4A7-1699-4D1B-B438-D355C5195A10}"/>
    <cellStyle name="Normal 2 4 3 3 2 4 4" xfId="9732" xr:uid="{A8FE9973-7910-4C44-81AB-7DCAF2920C1C}"/>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1851A92E-2B56-4699-B046-F6F18936FCD8}"/>
    <cellStyle name="Normal 2 4 3 3 2 5 2 3" xfId="12290" xr:uid="{B6C88DF6-59FF-4C00-8EB3-5477A7AE4209}"/>
    <cellStyle name="Normal 2 4 3 3 2 5 3" xfId="5934" xr:uid="{00000000-0005-0000-0000-0000F00F0000}"/>
    <cellStyle name="Normal 2 4 3 3 2 5 3 2" xfId="14363" xr:uid="{E80EF959-C58D-4221-BE25-47740547BBBA}"/>
    <cellStyle name="Normal 2 4 3 3 2 5 4" xfId="10145" xr:uid="{3B6A1BE0-D9EB-4B57-AE59-E10D550E1046}"/>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C8FEDFB6-2CD3-448C-9A2C-B7EEB0600D6D}"/>
    <cellStyle name="Normal 2 4 3 3 2 6 2 3" xfId="12703" xr:uid="{4AA0AF52-EB77-4DC2-927F-8118E5EB95C3}"/>
    <cellStyle name="Normal 2 4 3 3 2 6 3" xfId="6347" xr:uid="{00000000-0005-0000-0000-0000F40F0000}"/>
    <cellStyle name="Normal 2 4 3 3 2 6 3 2" xfId="14776" xr:uid="{E0927E8A-EE4B-4203-A16B-84BE8883A1D0}"/>
    <cellStyle name="Normal 2 4 3 3 2 6 4" xfId="10558" xr:uid="{C446BDA7-A830-423B-B12A-D37F8327E72B}"/>
    <cellStyle name="Normal 2 4 3 3 2 7" xfId="2475" xr:uid="{00000000-0005-0000-0000-0000F50F0000}"/>
    <cellStyle name="Normal 2 4 3 3 2 7 2" xfId="6760" xr:uid="{00000000-0005-0000-0000-0000F60F0000}"/>
    <cellStyle name="Normal 2 4 3 3 2 7 2 2" xfId="15189" xr:uid="{C2FCEB36-80F1-444B-9B24-F781EBDF4410}"/>
    <cellStyle name="Normal 2 4 3 3 2 7 3" xfId="10971" xr:uid="{838C9F64-DB60-4986-82CF-315A634B6517}"/>
    <cellStyle name="Normal 2 4 3 3 2 8" xfId="4694" xr:uid="{00000000-0005-0000-0000-0000F70F0000}"/>
    <cellStyle name="Normal 2 4 3 3 2 8 2" xfId="13123" xr:uid="{5045BBE4-6206-4164-889A-7F9753ABF63E}"/>
    <cellStyle name="Normal 2 4 3 3 2 9" xfId="8905" xr:uid="{5B04310D-E4B7-45E6-89BC-11B4C25BE99B}"/>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C797F4A1-53B5-4F63-8B4F-4B6EFFBB5178}"/>
    <cellStyle name="Normal 2 4 3 3 3 2 2 3" xfId="11466" xr:uid="{268EF061-BE18-499D-8997-E0D694BC0AAE}"/>
    <cellStyle name="Normal 2 4 3 3 3 2 3" xfId="5110" xr:uid="{00000000-0005-0000-0000-0000FC0F0000}"/>
    <cellStyle name="Normal 2 4 3 3 3 2 3 2" xfId="13539" xr:uid="{D3EBA922-6530-46AC-83B9-D0E35C2B1417}"/>
    <cellStyle name="Normal 2 4 3 3 3 2 4" xfId="9321" xr:uid="{507A0D1F-4DF0-409D-9C09-11DAEC6AD756}"/>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349D7431-D767-43E8-8A65-6327FC4478E2}"/>
    <cellStyle name="Normal 2 4 3 3 3 3 2 3" xfId="11879" xr:uid="{99E06B47-6F29-42B3-821A-379CC432489B}"/>
    <cellStyle name="Normal 2 4 3 3 3 3 3" xfId="5523" xr:uid="{00000000-0005-0000-0000-000000100000}"/>
    <cellStyle name="Normal 2 4 3 3 3 3 3 2" xfId="13952" xr:uid="{38CA4468-47A4-4C5C-BA19-79ADDE70D06D}"/>
    <cellStyle name="Normal 2 4 3 3 3 3 4" xfId="9734" xr:uid="{7196444C-092F-42E4-A7D4-74B5357E9892}"/>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596A0948-EB81-47FC-AD35-5D90A64FA103}"/>
    <cellStyle name="Normal 2 4 3 3 3 4 2 3" xfId="12292" xr:uid="{EBFCC4B3-A6B0-4D3B-BF20-52F4DF6C0CE9}"/>
    <cellStyle name="Normal 2 4 3 3 3 4 3" xfId="5936" xr:uid="{00000000-0005-0000-0000-000004100000}"/>
    <cellStyle name="Normal 2 4 3 3 3 4 3 2" xfId="14365" xr:uid="{7F0FF8E5-D54F-43CB-B743-E4AFCD01157C}"/>
    <cellStyle name="Normal 2 4 3 3 3 4 4" xfId="10147" xr:uid="{A88FDBA7-A687-457F-9E18-B5BBBF881677}"/>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DC97003A-1D28-4CC4-821D-F939DB65ABD7}"/>
    <cellStyle name="Normal 2 4 3 3 3 5 2 3" xfId="12705" xr:uid="{00151840-D8B1-4878-8B4A-97A345720DB9}"/>
    <cellStyle name="Normal 2 4 3 3 3 5 3" xfId="6349" xr:uid="{00000000-0005-0000-0000-000008100000}"/>
    <cellStyle name="Normal 2 4 3 3 3 5 3 2" xfId="14778" xr:uid="{10831D02-43D3-4C48-A688-E41AEF327F85}"/>
    <cellStyle name="Normal 2 4 3 3 3 5 4" xfId="10560" xr:uid="{3E90FBF5-EF1D-4E83-9302-CCE2C28A8720}"/>
    <cellStyle name="Normal 2 4 3 3 3 6" xfId="2477" xr:uid="{00000000-0005-0000-0000-000009100000}"/>
    <cellStyle name="Normal 2 4 3 3 3 6 2" xfId="6762" xr:uid="{00000000-0005-0000-0000-00000A100000}"/>
    <cellStyle name="Normal 2 4 3 3 3 6 2 2" xfId="15191" xr:uid="{5F1C0D33-826D-4132-B5D0-45C42020263E}"/>
    <cellStyle name="Normal 2 4 3 3 3 6 3" xfId="10973" xr:uid="{73B24F84-2234-44F4-98EA-25CE449606A3}"/>
    <cellStyle name="Normal 2 4 3 3 3 7" xfId="4696" xr:uid="{00000000-0005-0000-0000-00000B100000}"/>
    <cellStyle name="Normal 2 4 3 3 3 7 2" xfId="13125" xr:uid="{0BBC7FEC-3A9F-4E0C-9E91-FE7459DF0354}"/>
    <cellStyle name="Normal 2 4 3 3 3 8" xfId="8907" xr:uid="{704FE86D-DA6B-45FB-B6CB-3BF8460A1F76}"/>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51741FB8-E30E-4C81-94C9-5132D97FBC26}"/>
    <cellStyle name="Normal 2 4 3 3 4 2 3" xfId="11463" xr:uid="{B45CCFB3-C64D-44AE-A334-32E750763723}"/>
    <cellStyle name="Normal 2 4 3 3 4 3" xfId="5107" xr:uid="{00000000-0005-0000-0000-00000F100000}"/>
    <cellStyle name="Normal 2 4 3 3 4 3 2" xfId="13536" xr:uid="{2C08FDFD-5C99-47B4-A9E4-473C0BA8B612}"/>
    <cellStyle name="Normal 2 4 3 3 4 4" xfId="9318" xr:uid="{8338617A-146B-41C6-BCF9-3D6974913B1B}"/>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924E15CB-42CD-4BEA-AF60-A71659FE04CB}"/>
    <cellStyle name="Normal 2 4 3 3 5 2 3" xfId="11876" xr:uid="{AC62F074-0E08-43A2-A390-03E95896BBED}"/>
    <cellStyle name="Normal 2 4 3 3 5 3" xfId="5520" xr:uid="{00000000-0005-0000-0000-000013100000}"/>
    <cellStyle name="Normal 2 4 3 3 5 3 2" xfId="13949" xr:uid="{96DB95D6-E291-4C59-8875-A155AC60701D}"/>
    <cellStyle name="Normal 2 4 3 3 5 4" xfId="9731" xr:uid="{EBF1D66B-8D74-4563-A434-1FD0BD0C8B73}"/>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4B84DE02-77D6-4E5A-A00D-06D134EE61A6}"/>
    <cellStyle name="Normal 2 4 3 3 6 2 3" xfId="12289" xr:uid="{16F53145-E933-412F-B2F2-DD3F4E1ADFBF}"/>
    <cellStyle name="Normal 2 4 3 3 6 3" xfId="5933" xr:uid="{00000000-0005-0000-0000-000017100000}"/>
    <cellStyle name="Normal 2 4 3 3 6 3 2" xfId="14362" xr:uid="{E30A20AE-EC56-4F2A-8AD3-EA28E9CC02F0}"/>
    <cellStyle name="Normal 2 4 3 3 6 4" xfId="10144" xr:uid="{4BC990E0-0570-4F60-B040-8140EF444CBE}"/>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28B47A0C-F9EB-4D03-8FD7-88B000EF4342}"/>
    <cellStyle name="Normal 2 4 3 3 7 2 3" xfId="12702" xr:uid="{78E59FD5-BFF9-49B8-9368-1D82B67F8FA0}"/>
    <cellStyle name="Normal 2 4 3 3 7 3" xfId="6346" xr:uid="{00000000-0005-0000-0000-00001B100000}"/>
    <cellStyle name="Normal 2 4 3 3 7 3 2" xfId="14775" xr:uid="{EAA69920-5CF0-4519-A302-FCEFCE1DE6E8}"/>
    <cellStyle name="Normal 2 4 3 3 7 4" xfId="10557" xr:uid="{BA08772C-4230-45A5-9C05-27AFA3C60C85}"/>
    <cellStyle name="Normal 2 4 3 3 8" xfId="2474" xr:uid="{00000000-0005-0000-0000-00001C100000}"/>
    <cellStyle name="Normal 2 4 3 3 8 2" xfId="6759" xr:uid="{00000000-0005-0000-0000-00001D100000}"/>
    <cellStyle name="Normal 2 4 3 3 8 2 2" xfId="15188" xr:uid="{83000961-3AF4-4DB5-8C0D-66BB26966C77}"/>
    <cellStyle name="Normal 2 4 3 3 8 3" xfId="10970" xr:uid="{6699B381-3A69-45F2-AEE2-7D2402A97B2B}"/>
    <cellStyle name="Normal 2 4 3 3 9" xfId="4693" xr:uid="{00000000-0005-0000-0000-00001E100000}"/>
    <cellStyle name="Normal 2 4 3 3 9 2" xfId="13122" xr:uid="{1C9D9389-408D-449C-A122-AB1740D11851}"/>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47AF1BC5-5425-499E-945B-CC57A9CBF5A1}"/>
    <cellStyle name="Normal 2 4 3 4 2 3" xfId="11462" xr:uid="{4220ADB4-9E52-4457-8361-4764FFE42EB4}"/>
    <cellStyle name="Normal 2 4 3 4 3" xfId="5106" xr:uid="{00000000-0005-0000-0000-000022100000}"/>
    <cellStyle name="Normal 2 4 3 4 3 2" xfId="13535" xr:uid="{8F718200-2767-40CC-BDA7-A9E615772644}"/>
    <cellStyle name="Normal 2 4 3 4 4" xfId="9317" xr:uid="{659B9F2E-CE8C-4C68-865D-3B39040628CD}"/>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98F31DD0-0FC3-4D09-8E8B-5E971E2D148A}"/>
    <cellStyle name="Normal 2 4 3 5 2 3" xfId="11875" xr:uid="{1A63FFC4-57C8-4397-8404-1D74BEA174E2}"/>
    <cellStyle name="Normal 2 4 3 5 3" xfId="5519" xr:uid="{00000000-0005-0000-0000-000026100000}"/>
    <cellStyle name="Normal 2 4 3 5 3 2" xfId="13948" xr:uid="{6D318891-8419-4EB8-A590-F9BE4C5383C5}"/>
    <cellStyle name="Normal 2 4 3 5 4" xfId="9730" xr:uid="{3EF32DD1-20CB-43DF-8A4C-D4C04DB8F2FE}"/>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4AF0CF3B-D778-4678-8AA9-AFFCC30872D2}"/>
    <cellStyle name="Normal 2 4 3 6 2 3" xfId="12288" xr:uid="{A13A0B3D-1859-4976-8D3F-6F1481A1DEE5}"/>
    <cellStyle name="Normal 2 4 3 6 3" xfId="5932" xr:uid="{00000000-0005-0000-0000-00002A100000}"/>
    <cellStyle name="Normal 2 4 3 6 3 2" xfId="14361" xr:uid="{C9013A41-EC9C-47BE-BE19-C8913B0B3695}"/>
    <cellStyle name="Normal 2 4 3 6 4" xfId="10143" xr:uid="{DA5C6205-C566-49C4-BFE6-CF54F8DD8DB9}"/>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431A8439-117B-4D22-8799-0685143B541E}"/>
    <cellStyle name="Normal 2 4 3 7 2 3" xfId="12701" xr:uid="{F8F5C4DE-E420-4FA3-B87D-8C3594114865}"/>
    <cellStyle name="Normal 2 4 3 7 3" xfId="6345" xr:uid="{00000000-0005-0000-0000-00002E100000}"/>
    <cellStyle name="Normal 2 4 3 7 3 2" xfId="14774" xr:uid="{0AAA4EEF-0AD3-4063-98FF-B819E290BF89}"/>
    <cellStyle name="Normal 2 4 3 7 4" xfId="10556" xr:uid="{84817EA7-A755-4670-8964-22B2120808D8}"/>
    <cellStyle name="Normal 2 4 3 8" xfId="2473" xr:uid="{00000000-0005-0000-0000-00002F100000}"/>
    <cellStyle name="Normal 2 4 3 8 2" xfId="6758" xr:uid="{00000000-0005-0000-0000-000030100000}"/>
    <cellStyle name="Normal 2 4 3 8 2 2" xfId="15187" xr:uid="{071D4645-7223-44FB-B8A1-017BF198C7C9}"/>
    <cellStyle name="Normal 2 4 3 8 3" xfId="10969" xr:uid="{1BD4919F-E4ED-4AEE-95EF-342DB38377FA}"/>
    <cellStyle name="Normal 2 4 3 9" xfId="4692" xr:uid="{00000000-0005-0000-0000-000031100000}"/>
    <cellStyle name="Normal 2 4 3 9 2" xfId="13121" xr:uid="{F668B154-A784-459C-8ED8-FFAADE3687FD}"/>
    <cellStyle name="Normal 2 4 4" xfId="302" xr:uid="{00000000-0005-0000-0000-000032100000}"/>
    <cellStyle name="Normal 2 4 5" xfId="303" xr:uid="{00000000-0005-0000-0000-000033100000}"/>
    <cellStyle name="Normal 2 4 5 10" xfId="4697" xr:uid="{00000000-0005-0000-0000-000034100000}"/>
    <cellStyle name="Normal 2 4 5 10 2" xfId="13126" xr:uid="{E673A35F-9E66-4F76-ACE3-C20F7DAB9359}"/>
    <cellStyle name="Normal 2 4 5 11" xfId="8908" xr:uid="{72D849C5-78F6-480A-9BE5-C1F027AFC450}"/>
    <cellStyle name="Normal 2 4 5 2" xfId="304" xr:uid="{00000000-0005-0000-0000-000035100000}"/>
    <cellStyle name="Normal 2 4 5 2 10" xfId="8909" xr:uid="{77EDFC70-150D-4A81-BC8B-84AB27105059}"/>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CBD1F1BE-BD1E-40EA-A675-8C7188747E25}"/>
    <cellStyle name="Normal 2 4 5 2 2 2 2 2 3" xfId="11470" xr:uid="{2D79A743-6AF4-4569-A3A0-CF63019911DF}"/>
    <cellStyle name="Normal 2 4 5 2 2 2 2 3" xfId="5114" xr:uid="{00000000-0005-0000-0000-00003B100000}"/>
    <cellStyle name="Normal 2 4 5 2 2 2 2 3 2" xfId="13543" xr:uid="{05F2BDB5-4D76-4E82-8259-A89FFDB62D51}"/>
    <cellStyle name="Normal 2 4 5 2 2 2 2 4" xfId="9325" xr:uid="{0B2DE8B7-C4D0-4F0D-A23A-D2D96F5167AB}"/>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F62E4222-4C61-4C00-91B5-3008E8E6FED4}"/>
    <cellStyle name="Normal 2 4 5 2 2 2 3 2 3" xfId="11883" xr:uid="{8E50EFD8-28BC-456C-8C07-C5F7EC065EBC}"/>
    <cellStyle name="Normal 2 4 5 2 2 2 3 3" xfId="5527" xr:uid="{00000000-0005-0000-0000-00003F100000}"/>
    <cellStyle name="Normal 2 4 5 2 2 2 3 3 2" xfId="13956" xr:uid="{F212D7B2-8605-41BE-8EC6-26DCBF418FB6}"/>
    <cellStyle name="Normal 2 4 5 2 2 2 3 4" xfId="9738" xr:uid="{51AEDBE2-A045-4D4B-968F-BB48D600B169}"/>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8E9F5FE4-9538-44DB-A28A-ADEE218E259F}"/>
    <cellStyle name="Normal 2 4 5 2 2 2 4 2 3" xfId="12296" xr:uid="{9D4720BC-2982-4706-B3CE-16C157DE8A97}"/>
    <cellStyle name="Normal 2 4 5 2 2 2 4 3" xfId="5940" xr:uid="{00000000-0005-0000-0000-000043100000}"/>
    <cellStyle name="Normal 2 4 5 2 2 2 4 3 2" xfId="14369" xr:uid="{4ADC4795-7DA0-4C82-8CBD-275883B9AB24}"/>
    <cellStyle name="Normal 2 4 5 2 2 2 4 4" xfId="10151" xr:uid="{AC8422DF-2DB9-41BA-BD2B-AFDEE6C148A8}"/>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E39A1AEA-44A7-4B31-8CA3-9E9B90CF2437}"/>
    <cellStyle name="Normal 2 4 5 2 2 2 5 2 3" xfId="12709" xr:uid="{90A466EB-0F83-44C6-ADE6-3E4C82E3550B}"/>
    <cellStyle name="Normal 2 4 5 2 2 2 5 3" xfId="6353" xr:uid="{00000000-0005-0000-0000-000047100000}"/>
    <cellStyle name="Normal 2 4 5 2 2 2 5 3 2" xfId="14782" xr:uid="{23BC3B4B-93FD-4669-8383-D7A44638B8AA}"/>
    <cellStyle name="Normal 2 4 5 2 2 2 5 4" xfId="10564" xr:uid="{A194DCB9-FE8D-4EA1-90A2-635AB1CB60A1}"/>
    <cellStyle name="Normal 2 4 5 2 2 2 6" xfId="2481" xr:uid="{00000000-0005-0000-0000-000048100000}"/>
    <cellStyle name="Normal 2 4 5 2 2 2 6 2" xfId="6766" xr:uid="{00000000-0005-0000-0000-000049100000}"/>
    <cellStyle name="Normal 2 4 5 2 2 2 6 2 2" xfId="15195" xr:uid="{FD0DB436-9300-4504-9F2A-D63E69BE1D2D}"/>
    <cellStyle name="Normal 2 4 5 2 2 2 6 3" xfId="10977" xr:uid="{C2168A2B-316B-410A-B542-97531680BC51}"/>
    <cellStyle name="Normal 2 4 5 2 2 2 7" xfId="4700" xr:uid="{00000000-0005-0000-0000-00004A100000}"/>
    <cellStyle name="Normal 2 4 5 2 2 2 7 2" xfId="13129" xr:uid="{15440147-DCAA-470C-A794-16FA2C99D7B5}"/>
    <cellStyle name="Normal 2 4 5 2 2 2 8" xfId="8911" xr:uid="{BBF5E901-559B-4E56-B63A-526ADCD08404}"/>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FFDC0C40-4C04-46B9-BC5D-C0E2EE35F747}"/>
    <cellStyle name="Normal 2 4 5 2 2 3 2 3" xfId="11469" xr:uid="{11538DA6-1BF2-491B-BA7C-62680C710EFE}"/>
    <cellStyle name="Normal 2 4 5 2 2 3 3" xfId="5113" xr:uid="{00000000-0005-0000-0000-00004E100000}"/>
    <cellStyle name="Normal 2 4 5 2 2 3 3 2" xfId="13542" xr:uid="{8D1D8F27-27E5-4AC4-88EC-D87A0347278F}"/>
    <cellStyle name="Normal 2 4 5 2 2 3 4" xfId="9324" xr:uid="{1162CF95-EB93-42B6-9774-99D4B1CC069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45884919-8E11-4C93-A1B6-744EC6FCDB30}"/>
    <cellStyle name="Normal 2 4 5 2 2 4 2 3" xfId="11882" xr:uid="{8E0090A2-05D9-42FF-AA32-3319CE80B9C5}"/>
    <cellStyle name="Normal 2 4 5 2 2 4 3" xfId="5526" xr:uid="{00000000-0005-0000-0000-000052100000}"/>
    <cellStyle name="Normal 2 4 5 2 2 4 3 2" xfId="13955" xr:uid="{4CD6493F-38F0-4CDD-97EC-C9AE9E3DAB27}"/>
    <cellStyle name="Normal 2 4 5 2 2 4 4" xfId="9737" xr:uid="{71AF826F-4393-47C9-8E42-BE0686A083FA}"/>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F4257BA1-27CB-494E-9A7E-60E7A1F3CF46}"/>
    <cellStyle name="Normal 2 4 5 2 2 5 2 3" xfId="12295" xr:uid="{E50C5280-3C21-4D4B-9A1B-0A30E5B63982}"/>
    <cellStyle name="Normal 2 4 5 2 2 5 3" xfId="5939" xr:uid="{00000000-0005-0000-0000-000056100000}"/>
    <cellStyle name="Normal 2 4 5 2 2 5 3 2" xfId="14368" xr:uid="{CE291252-60C5-49ED-94F9-1F500093FCF1}"/>
    <cellStyle name="Normal 2 4 5 2 2 5 4" xfId="10150" xr:uid="{7EB8B788-512C-4EF3-90D5-16D617C3EE77}"/>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7B6616DD-5B27-4789-98FA-DC36BCAEC4F5}"/>
    <cellStyle name="Normal 2 4 5 2 2 6 2 3" xfId="12708" xr:uid="{71DEEF74-1CF5-4CF8-9582-81498D8C61E9}"/>
    <cellStyle name="Normal 2 4 5 2 2 6 3" xfId="6352" xr:uid="{00000000-0005-0000-0000-00005A100000}"/>
    <cellStyle name="Normal 2 4 5 2 2 6 3 2" xfId="14781" xr:uid="{CE4BB34B-CD45-4A5F-92F6-DA43A2757CB4}"/>
    <cellStyle name="Normal 2 4 5 2 2 6 4" xfId="10563" xr:uid="{C35E5EFA-F5ED-4408-83E0-18A967AB3B32}"/>
    <cellStyle name="Normal 2 4 5 2 2 7" xfId="2480" xr:uid="{00000000-0005-0000-0000-00005B100000}"/>
    <cellStyle name="Normal 2 4 5 2 2 7 2" xfId="6765" xr:uid="{00000000-0005-0000-0000-00005C100000}"/>
    <cellStyle name="Normal 2 4 5 2 2 7 2 2" xfId="15194" xr:uid="{7F3CB7F1-CE64-4F98-9031-AB45B178C235}"/>
    <cellStyle name="Normal 2 4 5 2 2 7 3" xfId="10976" xr:uid="{188C37D5-9126-4DFC-A40E-FF8D5A16B55E}"/>
    <cellStyle name="Normal 2 4 5 2 2 8" xfId="4699" xr:uid="{00000000-0005-0000-0000-00005D100000}"/>
    <cellStyle name="Normal 2 4 5 2 2 8 2" xfId="13128" xr:uid="{74EFC536-D1D5-409B-A608-FB7D6706B72E}"/>
    <cellStyle name="Normal 2 4 5 2 2 9" xfId="8910" xr:uid="{64E0247C-1B88-481B-A827-7013FF32ADA2}"/>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88BEC6B9-6D58-4104-B6F2-0405047ED1B5}"/>
    <cellStyle name="Normal 2 4 5 2 3 2 2 3" xfId="11471" xr:uid="{3ED0B55A-5AF3-4F3C-ADD7-45394BB914DE}"/>
    <cellStyle name="Normal 2 4 5 2 3 2 3" xfId="5115" xr:uid="{00000000-0005-0000-0000-000062100000}"/>
    <cellStyle name="Normal 2 4 5 2 3 2 3 2" xfId="13544" xr:uid="{0841EA4D-8A44-4F83-8175-E3BF08D332F7}"/>
    <cellStyle name="Normal 2 4 5 2 3 2 4" xfId="9326" xr:uid="{C96919FE-60E3-4DB8-B646-DF21E164C81A}"/>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90142976-F7CE-4BBE-A6E4-98E4229F484F}"/>
    <cellStyle name="Normal 2 4 5 2 3 3 2 3" xfId="11884" xr:uid="{E8AC0B82-E9B4-49E1-AAE4-13F7035DE3C5}"/>
    <cellStyle name="Normal 2 4 5 2 3 3 3" xfId="5528" xr:uid="{00000000-0005-0000-0000-000066100000}"/>
    <cellStyle name="Normal 2 4 5 2 3 3 3 2" xfId="13957" xr:uid="{C4F8E6F8-879B-4E2A-B71B-26418E4B79E9}"/>
    <cellStyle name="Normal 2 4 5 2 3 3 4" xfId="9739" xr:uid="{00E67E91-E42E-423B-84AE-D3DEBD9731AE}"/>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1C100082-19FC-42F1-937D-8AADB366981E}"/>
    <cellStyle name="Normal 2 4 5 2 3 4 2 3" xfId="12297" xr:uid="{4CB4BED0-115B-497F-8BAC-74758D8DCCDC}"/>
    <cellStyle name="Normal 2 4 5 2 3 4 3" xfId="5941" xr:uid="{00000000-0005-0000-0000-00006A100000}"/>
    <cellStyle name="Normal 2 4 5 2 3 4 3 2" xfId="14370" xr:uid="{E114489B-E7AE-4606-909B-7EC0ADAF4810}"/>
    <cellStyle name="Normal 2 4 5 2 3 4 4" xfId="10152" xr:uid="{5F6CF525-1198-4460-AFC2-4C9E303623E5}"/>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9A6D9BBC-221E-42A8-821D-8590FECD70B9}"/>
    <cellStyle name="Normal 2 4 5 2 3 5 2 3" xfId="12710" xr:uid="{7D994C07-A2B7-4F60-B7A2-315305D15280}"/>
    <cellStyle name="Normal 2 4 5 2 3 5 3" xfId="6354" xr:uid="{00000000-0005-0000-0000-00006E100000}"/>
    <cellStyle name="Normal 2 4 5 2 3 5 3 2" xfId="14783" xr:uid="{49F0364D-D8E9-4660-8C97-DD6A65DA5EFB}"/>
    <cellStyle name="Normal 2 4 5 2 3 5 4" xfId="10565" xr:uid="{69960CC5-145E-4867-8FB6-51B478A30368}"/>
    <cellStyle name="Normal 2 4 5 2 3 6" xfId="2482" xr:uid="{00000000-0005-0000-0000-00006F100000}"/>
    <cellStyle name="Normal 2 4 5 2 3 6 2" xfId="6767" xr:uid="{00000000-0005-0000-0000-000070100000}"/>
    <cellStyle name="Normal 2 4 5 2 3 6 2 2" xfId="15196" xr:uid="{0113ECED-0B8F-4664-9C53-03C10E5BE7E9}"/>
    <cellStyle name="Normal 2 4 5 2 3 6 3" xfId="10978" xr:uid="{DEF5BA3F-BC26-40DE-AFB0-CC8C766E1B22}"/>
    <cellStyle name="Normal 2 4 5 2 3 7" xfId="4701" xr:uid="{00000000-0005-0000-0000-000071100000}"/>
    <cellStyle name="Normal 2 4 5 2 3 7 2" xfId="13130" xr:uid="{8732629E-882E-4F38-A23F-F6F8688CB8C2}"/>
    <cellStyle name="Normal 2 4 5 2 3 8" xfId="8912" xr:uid="{7F834414-95F5-40E8-9D68-A5AD656DEE88}"/>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07F4743D-40C2-4443-B5C2-5719DCA2D099}"/>
    <cellStyle name="Normal 2 4 5 2 4 2 3" xfId="11468" xr:uid="{7ADDBBB8-2FAB-4C87-A4BC-D7EFB95C2E3F}"/>
    <cellStyle name="Normal 2 4 5 2 4 3" xfId="5112" xr:uid="{00000000-0005-0000-0000-000075100000}"/>
    <cellStyle name="Normal 2 4 5 2 4 3 2" xfId="13541" xr:uid="{6638782B-F36C-4554-8CDC-EDDDDEC7877C}"/>
    <cellStyle name="Normal 2 4 5 2 4 4" xfId="9323" xr:uid="{22F2130F-D0A9-4144-B05F-3E3535D2274F}"/>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14D5A38D-15B7-4896-8892-438106691885}"/>
    <cellStyle name="Normal 2 4 5 2 5 2 3" xfId="11881" xr:uid="{194A7769-1E26-4A19-AF7F-4210B6E27319}"/>
    <cellStyle name="Normal 2 4 5 2 5 3" xfId="5525" xr:uid="{00000000-0005-0000-0000-000079100000}"/>
    <cellStyle name="Normal 2 4 5 2 5 3 2" xfId="13954" xr:uid="{99CD59AA-AA73-4259-BEE7-F96038B55274}"/>
    <cellStyle name="Normal 2 4 5 2 5 4" xfId="9736" xr:uid="{87DF676F-9732-4191-9C60-BB04E4E7B05A}"/>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E462334C-19FB-4738-92F7-28407035DB27}"/>
    <cellStyle name="Normal 2 4 5 2 6 2 3" xfId="12294" xr:uid="{D83149A7-46FE-4705-AD64-98049A7F77B1}"/>
    <cellStyle name="Normal 2 4 5 2 6 3" xfId="5938" xr:uid="{00000000-0005-0000-0000-00007D100000}"/>
    <cellStyle name="Normal 2 4 5 2 6 3 2" xfId="14367" xr:uid="{D8BF21BA-C6AA-423E-BD84-C97BE4294C9E}"/>
    <cellStyle name="Normal 2 4 5 2 6 4" xfId="10149" xr:uid="{F7070AD0-E3B8-499C-9351-FD5213415807}"/>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B451881C-73CD-4656-912C-1165F7C14BC5}"/>
    <cellStyle name="Normal 2 4 5 2 7 2 3" xfId="12707" xr:uid="{360E0297-2C67-4DF6-86D9-3936EBC63994}"/>
    <cellStyle name="Normal 2 4 5 2 7 3" xfId="6351" xr:uid="{00000000-0005-0000-0000-000081100000}"/>
    <cellStyle name="Normal 2 4 5 2 7 3 2" xfId="14780" xr:uid="{6FB0DAF6-3470-4F35-916A-0B3FAF7304E9}"/>
    <cellStyle name="Normal 2 4 5 2 7 4" xfId="10562" xr:uid="{9D1967B1-7BEB-4858-A024-9E212E2F0169}"/>
    <cellStyle name="Normal 2 4 5 2 8" xfId="2479" xr:uid="{00000000-0005-0000-0000-000082100000}"/>
    <cellStyle name="Normal 2 4 5 2 8 2" xfId="6764" xr:uid="{00000000-0005-0000-0000-000083100000}"/>
    <cellStyle name="Normal 2 4 5 2 8 2 2" xfId="15193" xr:uid="{2277ACBA-F3D6-4831-BD75-2BD94AF1B13C}"/>
    <cellStyle name="Normal 2 4 5 2 8 3" xfId="10975" xr:uid="{0205FE8F-20F9-4939-9B90-0A2AF3E603E1}"/>
    <cellStyle name="Normal 2 4 5 2 9" xfId="4698" xr:uid="{00000000-0005-0000-0000-000084100000}"/>
    <cellStyle name="Normal 2 4 5 2 9 2" xfId="13127" xr:uid="{A79FD462-19B7-49E5-8A6B-1138E173F06C}"/>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3019350B-4293-4AAE-B293-0B762615730B}"/>
    <cellStyle name="Normal 2 4 5 3 2 2 2 3" xfId="11473" xr:uid="{EB278DDF-8B94-42B3-B1BF-0EEDEAC27F8C}"/>
    <cellStyle name="Normal 2 4 5 3 2 2 3" xfId="5117" xr:uid="{00000000-0005-0000-0000-00008A100000}"/>
    <cellStyle name="Normal 2 4 5 3 2 2 3 2" xfId="13546" xr:uid="{FC04BE1F-6A53-487C-80AE-308D8C4CBE89}"/>
    <cellStyle name="Normal 2 4 5 3 2 2 4" xfId="9328" xr:uid="{3F3DECB0-E226-4022-B901-5128A510AC7E}"/>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E2D443BB-6018-4B93-B544-D6EDF1D86C4F}"/>
    <cellStyle name="Normal 2 4 5 3 2 3 2 3" xfId="11886" xr:uid="{EA4C676E-2034-4C66-9AB3-C10AD4F8BD0A}"/>
    <cellStyle name="Normal 2 4 5 3 2 3 3" xfId="5530" xr:uid="{00000000-0005-0000-0000-00008E100000}"/>
    <cellStyle name="Normal 2 4 5 3 2 3 3 2" xfId="13959" xr:uid="{869EAFBB-499A-4B37-992A-419A6A959BD1}"/>
    <cellStyle name="Normal 2 4 5 3 2 3 4" xfId="9741" xr:uid="{30E413F4-8C0B-41CC-A173-C4B9899142EC}"/>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8E65046F-4860-4371-B6B9-625BD22B3536}"/>
    <cellStyle name="Normal 2 4 5 3 2 4 2 3" xfId="12299" xr:uid="{1286C454-8EE4-4C82-BFFD-B9789E4FB357}"/>
    <cellStyle name="Normal 2 4 5 3 2 4 3" xfId="5943" xr:uid="{00000000-0005-0000-0000-000092100000}"/>
    <cellStyle name="Normal 2 4 5 3 2 4 3 2" xfId="14372" xr:uid="{D2EF2D9B-56BC-4EC6-A272-A37E954CE2E3}"/>
    <cellStyle name="Normal 2 4 5 3 2 4 4" xfId="10154" xr:uid="{53070B90-1995-4E97-9ACE-66380372288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871EDF8B-47F3-417C-B562-333A5A468FA2}"/>
    <cellStyle name="Normal 2 4 5 3 2 5 2 3" xfId="12712" xr:uid="{2237D864-FF14-4A1D-A6AF-2C1A71934FA0}"/>
    <cellStyle name="Normal 2 4 5 3 2 5 3" xfId="6356" xr:uid="{00000000-0005-0000-0000-000096100000}"/>
    <cellStyle name="Normal 2 4 5 3 2 5 3 2" xfId="14785" xr:uid="{47431D21-D87E-49AC-8665-D56179792E8F}"/>
    <cellStyle name="Normal 2 4 5 3 2 5 4" xfId="10567" xr:uid="{0B5DCF9E-C90F-4E40-AEDC-77141068C239}"/>
    <cellStyle name="Normal 2 4 5 3 2 6" xfId="2484" xr:uid="{00000000-0005-0000-0000-000097100000}"/>
    <cellStyle name="Normal 2 4 5 3 2 6 2" xfId="6769" xr:uid="{00000000-0005-0000-0000-000098100000}"/>
    <cellStyle name="Normal 2 4 5 3 2 6 2 2" xfId="15198" xr:uid="{A2F961A1-CBE0-44EB-913A-7081761C8DCD}"/>
    <cellStyle name="Normal 2 4 5 3 2 6 3" xfId="10980" xr:uid="{E32A8F83-8A01-4383-8A48-4C0A4F3A0403}"/>
    <cellStyle name="Normal 2 4 5 3 2 7" xfId="4703" xr:uid="{00000000-0005-0000-0000-000099100000}"/>
    <cellStyle name="Normal 2 4 5 3 2 7 2" xfId="13132" xr:uid="{83226079-F348-462B-AFA7-F24795B6F433}"/>
    <cellStyle name="Normal 2 4 5 3 2 8" xfId="8914" xr:uid="{9402B0C9-54DB-4D4C-A2D6-E735A8EC67C3}"/>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CF846BA9-C1B1-4D5D-BB79-1DFA31B96AE7}"/>
    <cellStyle name="Normal 2 4 5 3 3 2 3" xfId="11472" xr:uid="{6A9BFE1A-6509-4B09-B1DB-E801E5B8562E}"/>
    <cellStyle name="Normal 2 4 5 3 3 3" xfId="5116" xr:uid="{00000000-0005-0000-0000-00009D100000}"/>
    <cellStyle name="Normal 2 4 5 3 3 3 2" xfId="13545" xr:uid="{28FA3D7E-710C-40C4-9763-11F10C06088A}"/>
    <cellStyle name="Normal 2 4 5 3 3 4" xfId="9327" xr:uid="{DD43503C-341E-421C-BB35-9200CB8147DE}"/>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DF24D56F-D06E-46FA-84EE-C3AFE596929F}"/>
    <cellStyle name="Normal 2 4 5 3 4 2 3" xfId="11885" xr:uid="{B10E9AA4-1AB7-46CC-BED7-0A49BFF1EBD1}"/>
    <cellStyle name="Normal 2 4 5 3 4 3" xfId="5529" xr:uid="{00000000-0005-0000-0000-0000A1100000}"/>
    <cellStyle name="Normal 2 4 5 3 4 3 2" xfId="13958" xr:uid="{270C0E1A-6D35-414E-B1B8-4E6752847DA4}"/>
    <cellStyle name="Normal 2 4 5 3 4 4" xfId="9740" xr:uid="{F23A3163-1185-4D42-8C3C-7B715E58A7B4}"/>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99FE82C4-A47B-4C54-9511-5FC272AE7AD5}"/>
    <cellStyle name="Normal 2 4 5 3 5 2 3" xfId="12298" xr:uid="{7C3CF129-05FE-40DB-AD75-889C03454A14}"/>
    <cellStyle name="Normal 2 4 5 3 5 3" xfId="5942" xr:uid="{00000000-0005-0000-0000-0000A5100000}"/>
    <cellStyle name="Normal 2 4 5 3 5 3 2" xfId="14371" xr:uid="{6734E8E8-3B7D-4000-8660-64088D4C4D53}"/>
    <cellStyle name="Normal 2 4 5 3 5 4" xfId="10153" xr:uid="{222C07E4-4A97-433C-B847-76FB1CD1DB44}"/>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BAC2F216-7BD6-49AE-BB7D-7404B1C16E89}"/>
    <cellStyle name="Normal 2 4 5 3 6 2 3" xfId="12711" xr:uid="{6263FF0A-7BDA-4157-A8D8-9B6071AC11F0}"/>
    <cellStyle name="Normal 2 4 5 3 6 3" xfId="6355" xr:uid="{00000000-0005-0000-0000-0000A9100000}"/>
    <cellStyle name="Normal 2 4 5 3 6 3 2" xfId="14784" xr:uid="{4E90DB8B-C891-49C3-9929-87404D990DEE}"/>
    <cellStyle name="Normal 2 4 5 3 6 4" xfId="10566" xr:uid="{8B842B2A-3D0D-4748-A6D1-4584E8F68A31}"/>
    <cellStyle name="Normal 2 4 5 3 7" xfId="2483" xr:uid="{00000000-0005-0000-0000-0000AA100000}"/>
    <cellStyle name="Normal 2 4 5 3 7 2" xfId="6768" xr:uid="{00000000-0005-0000-0000-0000AB100000}"/>
    <cellStyle name="Normal 2 4 5 3 7 2 2" xfId="15197" xr:uid="{CF0542E9-1799-40DE-B80B-50EDBE7204C1}"/>
    <cellStyle name="Normal 2 4 5 3 7 3" xfId="10979" xr:uid="{26FC8BA4-ACDD-4445-B7C7-6B065777E690}"/>
    <cellStyle name="Normal 2 4 5 3 8" xfId="4702" xr:uid="{00000000-0005-0000-0000-0000AC100000}"/>
    <cellStyle name="Normal 2 4 5 3 8 2" xfId="13131" xr:uid="{54C8F88B-5159-4E69-8F0F-D4C77523DD60}"/>
    <cellStyle name="Normal 2 4 5 3 9" xfId="8913" xr:uid="{B45D068B-6A8D-4663-B9A8-F1E84379F1D2}"/>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A6CF67A9-69DB-4E6D-BB1D-D608B38CFC2B}"/>
    <cellStyle name="Normal 2 4 5 4 2 2 3" xfId="11474" xr:uid="{E00B20A0-49B9-4C07-ACDE-6209F06271B5}"/>
    <cellStyle name="Normal 2 4 5 4 2 3" xfId="5118" xr:uid="{00000000-0005-0000-0000-0000B1100000}"/>
    <cellStyle name="Normal 2 4 5 4 2 3 2" xfId="13547" xr:uid="{0F48C6FE-E53D-4B16-B3E8-74994E10F079}"/>
    <cellStyle name="Normal 2 4 5 4 2 4" xfId="9329" xr:uid="{314E5C44-FA0C-468C-8FD2-DA57621C7B76}"/>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92F793C6-58EC-4C19-A5F2-3C9DDFE4FB06}"/>
    <cellStyle name="Normal 2 4 5 4 3 2 3" xfId="11887" xr:uid="{3F35724F-7B7A-4D81-8117-0C587EF6C9BE}"/>
    <cellStyle name="Normal 2 4 5 4 3 3" xfId="5531" xr:uid="{00000000-0005-0000-0000-0000B5100000}"/>
    <cellStyle name="Normal 2 4 5 4 3 3 2" xfId="13960" xr:uid="{4D01B040-CB80-41D9-A396-A630A4315BC0}"/>
    <cellStyle name="Normal 2 4 5 4 3 4" xfId="9742" xr:uid="{31D9DC89-921F-4A9F-B32D-07DAEC9CD486}"/>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63F80CFD-F05B-4609-A331-3FBDA05A6C92}"/>
    <cellStyle name="Normal 2 4 5 4 4 2 3" xfId="12300" xr:uid="{AD8ADC42-7701-4DA0-9B66-7172CBF2FD68}"/>
    <cellStyle name="Normal 2 4 5 4 4 3" xfId="5944" xr:uid="{00000000-0005-0000-0000-0000B9100000}"/>
    <cellStyle name="Normal 2 4 5 4 4 3 2" xfId="14373" xr:uid="{EBB9234E-C99D-46B8-A376-DF9362046CA0}"/>
    <cellStyle name="Normal 2 4 5 4 4 4" xfId="10155" xr:uid="{7A197CC3-D9AC-4315-8FF8-2D0A01E0FC5A}"/>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3B64E5C6-14D2-4E8E-B078-1D4A96CCBAE0}"/>
    <cellStyle name="Normal 2 4 5 4 5 2 3" xfId="12713" xr:uid="{2A423F44-AFD5-4F8C-8065-0BAF4446EA15}"/>
    <cellStyle name="Normal 2 4 5 4 5 3" xfId="6357" xr:uid="{00000000-0005-0000-0000-0000BD100000}"/>
    <cellStyle name="Normal 2 4 5 4 5 3 2" xfId="14786" xr:uid="{10A8A659-7811-4B69-9498-6F1E3F7A97DA}"/>
    <cellStyle name="Normal 2 4 5 4 5 4" xfId="10568" xr:uid="{7F147088-2275-4286-B96F-1BF9BA17A222}"/>
    <cellStyle name="Normal 2 4 5 4 6" xfId="2485" xr:uid="{00000000-0005-0000-0000-0000BE100000}"/>
    <cellStyle name="Normal 2 4 5 4 6 2" xfId="6770" xr:uid="{00000000-0005-0000-0000-0000BF100000}"/>
    <cellStyle name="Normal 2 4 5 4 6 2 2" xfId="15199" xr:uid="{24E6F970-BF64-4D3A-85B1-B663F2979CF7}"/>
    <cellStyle name="Normal 2 4 5 4 6 3" xfId="10981" xr:uid="{94FFF62D-7FC4-47DF-B8D2-6EB8BADB1C80}"/>
    <cellStyle name="Normal 2 4 5 4 7" xfId="4704" xr:uid="{00000000-0005-0000-0000-0000C0100000}"/>
    <cellStyle name="Normal 2 4 5 4 7 2" xfId="13133" xr:uid="{76BC4BA8-3219-4B21-8556-DE0951262CD9}"/>
    <cellStyle name="Normal 2 4 5 4 8" xfId="8915" xr:uid="{0797BA6C-3B4F-4F23-91AC-68F07CF53056}"/>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798C86D2-EE1B-4782-B1EC-A37D3A44E737}"/>
    <cellStyle name="Normal 2 4 5 5 2 3" xfId="11467" xr:uid="{38A2F384-0FFF-43CB-90FA-5BA3EC96460C}"/>
    <cellStyle name="Normal 2 4 5 5 3" xfId="5111" xr:uid="{00000000-0005-0000-0000-0000C4100000}"/>
    <cellStyle name="Normal 2 4 5 5 3 2" xfId="13540" xr:uid="{9421A357-30AD-4CB6-9251-7572ED1A50B4}"/>
    <cellStyle name="Normal 2 4 5 5 4" xfId="9322" xr:uid="{9E00F54D-C582-4750-A772-4BAF24109A1F}"/>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22769EB9-68AB-4A3D-92BD-8974947B91AC}"/>
    <cellStyle name="Normal 2 4 5 6 2 3" xfId="11880" xr:uid="{8DC7EFD7-5877-4012-8556-0BE0CA26951A}"/>
    <cellStyle name="Normal 2 4 5 6 3" xfId="5524" xr:uid="{00000000-0005-0000-0000-0000C8100000}"/>
    <cellStyle name="Normal 2 4 5 6 3 2" xfId="13953" xr:uid="{61432D51-0C8F-4691-82F3-DCFD95BA43B8}"/>
    <cellStyle name="Normal 2 4 5 6 4" xfId="9735" xr:uid="{75D3202F-51A2-4925-B9BE-75E577D724D8}"/>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F5367FEC-7F3A-461B-A575-CF58B708B19F}"/>
    <cellStyle name="Normal 2 4 5 7 2 3" xfId="12293" xr:uid="{529B0312-7031-4932-A972-22161A3BFBA4}"/>
    <cellStyle name="Normal 2 4 5 7 3" xfId="5937" xr:uid="{00000000-0005-0000-0000-0000CC100000}"/>
    <cellStyle name="Normal 2 4 5 7 3 2" xfId="14366" xr:uid="{47919592-577C-4BF0-88C0-2974A8EAC273}"/>
    <cellStyle name="Normal 2 4 5 7 4" xfId="10148" xr:uid="{CDBE4667-5403-42B7-B907-6FDDECF9AD04}"/>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C92AC0B3-F846-4F43-92C9-D7ED56485C9E}"/>
    <cellStyle name="Normal 2 4 5 8 2 3" xfId="12706" xr:uid="{CADD3714-13B1-48A2-B38C-3A46D58BA791}"/>
    <cellStyle name="Normal 2 4 5 8 3" xfId="6350" xr:uid="{00000000-0005-0000-0000-0000D0100000}"/>
    <cellStyle name="Normal 2 4 5 8 3 2" xfId="14779" xr:uid="{A98AFA1F-002A-40C3-B9C5-9F71DE9AE189}"/>
    <cellStyle name="Normal 2 4 5 8 4" xfId="10561" xr:uid="{A1AD19F9-491D-45DA-AB9D-D8D981651FAC}"/>
    <cellStyle name="Normal 2 4 5 9" xfId="2478" xr:uid="{00000000-0005-0000-0000-0000D1100000}"/>
    <cellStyle name="Normal 2 4 5 9 2" xfId="6763" xr:uid="{00000000-0005-0000-0000-0000D2100000}"/>
    <cellStyle name="Normal 2 4 5 9 2 2" xfId="15192" xr:uid="{05BBA882-5089-4C8D-A64F-81EC23FAFF7E}"/>
    <cellStyle name="Normal 2 4 5 9 3" xfId="10974" xr:uid="{6989CB4E-E7B5-4FEC-8192-512A1D423572}"/>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B67BE2EA-75E7-445D-A496-E40918483C96}"/>
    <cellStyle name="Normal 2 4 7 2 2 2 3" xfId="11476" xr:uid="{439BEF4B-BB16-4452-99A5-F6CBE329AAD6}"/>
    <cellStyle name="Normal 2 4 7 2 2 3" xfId="5120" xr:uid="{00000000-0005-0000-0000-0000D9100000}"/>
    <cellStyle name="Normal 2 4 7 2 2 3 2" xfId="13549" xr:uid="{FAD46A71-EB28-4246-8D61-04DBC0946E76}"/>
    <cellStyle name="Normal 2 4 7 2 2 4" xfId="9331" xr:uid="{C6F94A4D-D217-4D46-9702-4DF297C69F56}"/>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D4680C8A-1352-4E15-ABED-735DDFFC60A4}"/>
    <cellStyle name="Normal 2 4 7 2 3 2 3" xfId="11889" xr:uid="{7889A8E7-81E7-464F-8F90-109605EF3119}"/>
    <cellStyle name="Normal 2 4 7 2 3 3" xfId="5533" xr:uid="{00000000-0005-0000-0000-0000DD100000}"/>
    <cellStyle name="Normal 2 4 7 2 3 3 2" xfId="13962" xr:uid="{48945DC8-01CF-4250-9989-94B13AF0C772}"/>
    <cellStyle name="Normal 2 4 7 2 3 4" xfId="9744" xr:uid="{AE9C6513-E636-49B1-87D6-DB21C9A05AD8}"/>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8EE8549C-D460-4E36-B2CF-E83613BB36FE}"/>
    <cellStyle name="Normal 2 4 7 2 4 2 3" xfId="12302" xr:uid="{A80EFD5A-3BBC-45FD-8E26-82B2323BE38F}"/>
    <cellStyle name="Normal 2 4 7 2 4 3" xfId="5946" xr:uid="{00000000-0005-0000-0000-0000E1100000}"/>
    <cellStyle name="Normal 2 4 7 2 4 3 2" xfId="14375" xr:uid="{73011A48-306A-4C45-968A-7C6E9EC79BE3}"/>
    <cellStyle name="Normal 2 4 7 2 4 4" xfId="10157" xr:uid="{EC38483E-4553-43F4-AEA6-93DE3E25F770}"/>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EF973F99-08DB-4153-B19D-973EF3CDACAB}"/>
    <cellStyle name="Normal 2 4 7 2 5 2 3" xfId="12715" xr:uid="{1689DB65-FE53-42A5-BB66-0D3C9A98A9E7}"/>
    <cellStyle name="Normal 2 4 7 2 5 3" xfId="6359" xr:uid="{00000000-0005-0000-0000-0000E5100000}"/>
    <cellStyle name="Normal 2 4 7 2 5 3 2" xfId="14788" xr:uid="{5A8B39B3-D4A5-4CF0-8500-C45BE5BAF1A0}"/>
    <cellStyle name="Normal 2 4 7 2 5 4" xfId="10570" xr:uid="{E51B6732-6C4C-4E2B-8F3F-89DB8073CE81}"/>
    <cellStyle name="Normal 2 4 7 2 6" xfId="2487" xr:uid="{00000000-0005-0000-0000-0000E6100000}"/>
    <cellStyle name="Normal 2 4 7 2 6 2" xfId="6772" xr:uid="{00000000-0005-0000-0000-0000E7100000}"/>
    <cellStyle name="Normal 2 4 7 2 6 2 2" xfId="15201" xr:uid="{B6C78799-E1C0-41DE-AFA5-D5C585AA1471}"/>
    <cellStyle name="Normal 2 4 7 2 6 3" xfId="10983" xr:uid="{07CCAEF2-CF00-4CFC-B032-05201DAF45A7}"/>
    <cellStyle name="Normal 2 4 7 2 7" xfId="4706" xr:uid="{00000000-0005-0000-0000-0000E8100000}"/>
    <cellStyle name="Normal 2 4 7 2 7 2" xfId="13135" xr:uid="{E2A023D2-AF29-49F6-A43A-05FF781A6616}"/>
    <cellStyle name="Normal 2 4 7 2 8" xfId="8917" xr:uid="{9F663796-AA5C-4EB0-A8EF-8F899DF45840}"/>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ACB90157-EC94-4D97-95AC-C1F179252AE6}"/>
    <cellStyle name="Normal 2 4 7 3 2 3" xfId="11475" xr:uid="{F320AC06-B230-493B-B673-BF1A0DECF195}"/>
    <cellStyle name="Normal 2 4 7 3 3" xfId="5119" xr:uid="{00000000-0005-0000-0000-0000EC100000}"/>
    <cellStyle name="Normal 2 4 7 3 3 2" xfId="13548" xr:uid="{BF3C9A4A-5CB7-4C4D-9106-D36E2E984B5E}"/>
    <cellStyle name="Normal 2 4 7 3 4" xfId="9330" xr:uid="{BF2EF1F5-C0D1-4BC0-9F18-1356CE3C6C90}"/>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0558842F-14C1-472E-8400-84A861B8B0BF}"/>
    <cellStyle name="Normal 2 4 7 4 2 3" xfId="11888" xr:uid="{A4E4C54D-3E1E-4974-BF12-A9620053EFBD}"/>
    <cellStyle name="Normal 2 4 7 4 3" xfId="5532" xr:uid="{00000000-0005-0000-0000-0000F0100000}"/>
    <cellStyle name="Normal 2 4 7 4 3 2" xfId="13961" xr:uid="{A1D747B6-92A8-4428-895D-92F2D3BA2052}"/>
    <cellStyle name="Normal 2 4 7 4 4" xfId="9743" xr:uid="{03209AEA-654B-4136-902C-2DCDF9D400F9}"/>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F66C803C-ED43-476D-AD6D-7BB98515B0FB}"/>
    <cellStyle name="Normal 2 4 7 5 2 3" xfId="12301" xr:uid="{200CA9CF-4417-477F-BB96-2CE5D14FEBD4}"/>
    <cellStyle name="Normal 2 4 7 5 3" xfId="5945" xr:uid="{00000000-0005-0000-0000-0000F4100000}"/>
    <cellStyle name="Normal 2 4 7 5 3 2" xfId="14374" xr:uid="{D82A1F14-6DD6-4BE1-96DB-88CA09AA3D83}"/>
    <cellStyle name="Normal 2 4 7 5 4" xfId="10156" xr:uid="{0A5383C0-751F-47D8-8785-CAAE2463680D}"/>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79C65D55-825B-4D66-96A3-A1438D66807B}"/>
    <cellStyle name="Normal 2 4 7 6 2 3" xfId="12714" xr:uid="{F9ED93E7-A5C7-41F2-91C9-A25817145424}"/>
    <cellStyle name="Normal 2 4 7 6 3" xfId="6358" xr:uid="{00000000-0005-0000-0000-0000F8100000}"/>
    <cellStyle name="Normal 2 4 7 6 3 2" xfId="14787" xr:uid="{DD5578B6-5491-4F87-B407-C51B013B182F}"/>
    <cellStyle name="Normal 2 4 7 6 4" xfId="10569" xr:uid="{B696992D-63A7-4F00-A4AF-B6EDE8828EBA}"/>
    <cellStyle name="Normal 2 4 7 7" xfId="2486" xr:uid="{00000000-0005-0000-0000-0000F9100000}"/>
    <cellStyle name="Normal 2 4 7 7 2" xfId="6771" xr:uid="{00000000-0005-0000-0000-0000FA100000}"/>
    <cellStyle name="Normal 2 4 7 7 2 2" xfId="15200" xr:uid="{9B3401D5-2E91-4E0F-95AA-34DAA101CC77}"/>
    <cellStyle name="Normal 2 4 7 7 3" xfId="10982" xr:uid="{CF59F1C1-7FC5-49DE-821F-01D4EF1496F4}"/>
    <cellStyle name="Normal 2 4 7 8" xfId="4705" xr:uid="{00000000-0005-0000-0000-0000FB100000}"/>
    <cellStyle name="Normal 2 4 7 8 2" xfId="13134" xr:uid="{0F2346EB-34BF-4765-9568-33A6590FFF8E}"/>
    <cellStyle name="Normal 2 4 7 9" xfId="8916" xr:uid="{E01BDBF5-BA3D-4B9D-BB3E-0DB5AC6DAF12}"/>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FD1C014F-B751-436E-AB04-F3D2960DD92F}"/>
    <cellStyle name="Normal 2 4 8 2 2 3" xfId="11477" xr:uid="{7280BF6C-FC76-4799-8D31-FC5468D7855C}"/>
    <cellStyle name="Normal 2 4 8 2 3" xfId="5121" xr:uid="{00000000-0005-0000-0000-000000110000}"/>
    <cellStyle name="Normal 2 4 8 2 3 2" xfId="13550" xr:uid="{CA90DFBC-D0D0-44A0-83BF-47BD3C5135B9}"/>
    <cellStyle name="Normal 2 4 8 2 4" xfId="9332" xr:uid="{F8B53879-ECFB-4C31-B64A-81DAFB80395F}"/>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9B5C08BE-9872-40BC-A854-80826C470B35}"/>
    <cellStyle name="Normal 2 4 8 3 2 3" xfId="11890" xr:uid="{847A4522-5A78-4E74-9041-83EBE7FF7B98}"/>
    <cellStyle name="Normal 2 4 8 3 3" xfId="5534" xr:uid="{00000000-0005-0000-0000-000004110000}"/>
    <cellStyle name="Normal 2 4 8 3 3 2" xfId="13963" xr:uid="{5F6C7414-FD6E-46B8-9579-252F9A1AF8CC}"/>
    <cellStyle name="Normal 2 4 8 3 4" xfId="9745" xr:uid="{F7DD6787-56DF-4E8E-9517-ACBB5382552C}"/>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3ACF9CB0-7132-4AC9-ADD5-1A4051CE4426}"/>
    <cellStyle name="Normal 2 4 8 4 2 3" xfId="12303" xr:uid="{B1E08873-D8AE-4F8D-8044-949022BF7001}"/>
    <cellStyle name="Normal 2 4 8 4 3" xfId="5947" xr:uid="{00000000-0005-0000-0000-000008110000}"/>
    <cellStyle name="Normal 2 4 8 4 3 2" xfId="14376" xr:uid="{026270CC-9668-44B5-B3E9-D5C322D881AE}"/>
    <cellStyle name="Normal 2 4 8 4 4" xfId="10158" xr:uid="{8A5B1F49-E9BC-443E-B14F-753AB5CCE136}"/>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27CC46D9-4F25-409C-AABF-A39F2E12F94F}"/>
    <cellStyle name="Normal 2 4 8 5 2 3" xfId="12716" xr:uid="{4349758E-BA27-4150-8B9D-C51B80DD9F2E}"/>
    <cellStyle name="Normal 2 4 8 5 3" xfId="6360" xr:uid="{00000000-0005-0000-0000-00000C110000}"/>
    <cellStyle name="Normal 2 4 8 5 3 2" xfId="14789" xr:uid="{F9DCB336-1383-4FED-B49A-9B5DA68E76F6}"/>
    <cellStyle name="Normal 2 4 8 5 4" xfId="10571" xr:uid="{618C1802-AD2F-448B-B3DD-7419D26A7138}"/>
    <cellStyle name="Normal 2 4 8 6" xfId="2488" xr:uid="{00000000-0005-0000-0000-00000D110000}"/>
    <cellStyle name="Normal 2 4 8 6 2" xfId="6773" xr:uid="{00000000-0005-0000-0000-00000E110000}"/>
    <cellStyle name="Normal 2 4 8 6 2 2" xfId="15202" xr:uid="{DFB42DC7-04FE-4273-AAAD-60F4431BD0F8}"/>
    <cellStyle name="Normal 2 4 8 6 3" xfId="10984" xr:uid="{1B8B1C3F-98C0-4053-9AB8-97117DD6C9A3}"/>
    <cellStyle name="Normal 2 4 8 7" xfId="4707" xr:uid="{00000000-0005-0000-0000-00000F110000}"/>
    <cellStyle name="Normal 2 4 8 7 2" xfId="13136" xr:uid="{47C87AF6-64D6-4F94-A66F-E06C16831BA5}"/>
    <cellStyle name="Normal 2 4 8 8" xfId="8918" xr:uid="{E1A0B443-FA36-45B4-9FA8-7C6730426C4D}"/>
    <cellStyle name="Normal 2 5" xfId="315" xr:uid="{00000000-0005-0000-0000-000010110000}"/>
    <cellStyle name="Normal 2 5 10" xfId="4708" xr:uid="{00000000-0005-0000-0000-000011110000}"/>
    <cellStyle name="Normal 2 5 10 2" xfId="13137" xr:uid="{4F0AEA4D-5103-4EBF-8535-E3DDC379C6A7}"/>
    <cellStyle name="Normal 2 5 11" xfId="8919" xr:uid="{75ACD286-909D-4ADE-BF3F-DC867F8B5FF4}"/>
    <cellStyle name="Normal 2 5 2" xfId="316" xr:uid="{00000000-0005-0000-0000-000012110000}"/>
    <cellStyle name="Normal 2 5 3" xfId="317" xr:uid="{00000000-0005-0000-0000-000013110000}"/>
    <cellStyle name="Normal 2 5 4" xfId="318" xr:uid="{00000000-0005-0000-0000-000014110000}"/>
    <cellStyle name="Normal 2 5 4 10" xfId="8920" xr:uid="{43F83CCA-A93D-4CA4-8892-848ED6626643}"/>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C708B47D-2E2A-47F4-BFB7-AA777EF6BEA9}"/>
    <cellStyle name="Normal 2 5 4 2 2 2 2 3" xfId="11481" xr:uid="{A5F9C453-99B1-4C8E-8CAB-71252333D82F}"/>
    <cellStyle name="Normal 2 5 4 2 2 2 3" xfId="5125" xr:uid="{00000000-0005-0000-0000-00001A110000}"/>
    <cellStyle name="Normal 2 5 4 2 2 2 3 2" xfId="13554" xr:uid="{91FD99CE-4320-44B9-9422-960C439DE302}"/>
    <cellStyle name="Normal 2 5 4 2 2 2 4" xfId="9336" xr:uid="{0369BC1B-5C69-4AD5-BDBB-0C17A7DE92E7}"/>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2F34E661-1041-443D-85AE-CC70037ADAD7}"/>
    <cellStyle name="Normal 2 5 4 2 2 3 2 3" xfId="11894" xr:uid="{83B2F0C9-8E7D-465B-B4D9-B8CC8CE5B5D9}"/>
    <cellStyle name="Normal 2 5 4 2 2 3 3" xfId="5538" xr:uid="{00000000-0005-0000-0000-00001E110000}"/>
    <cellStyle name="Normal 2 5 4 2 2 3 3 2" xfId="13967" xr:uid="{28E35074-F5C8-4282-910A-AB71D446ABC3}"/>
    <cellStyle name="Normal 2 5 4 2 2 3 4" xfId="9749" xr:uid="{B50042BC-380D-47D3-A82E-70EE390C71D1}"/>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A978CB1B-82AC-4FDD-9059-7B8AA706957A}"/>
    <cellStyle name="Normal 2 5 4 2 2 4 2 3" xfId="12307" xr:uid="{FFDFD94B-AFD7-4131-838D-6B330E7E6827}"/>
    <cellStyle name="Normal 2 5 4 2 2 4 3" xfId="5951" xr:uid="{00000000-0005-0000-0000-000022110000}"/>
    <cellStyle name="Normal 2 5 4 2 2 4 3 2" xfId="14380" xr:uid="{036E6BC5-92C3-4324-9F74-A1503821F4B6}"/>
    <cellStyle name="Normal 2 5 4 2 2 4 4" xfId="10162" xr:uid="{B582E742-5173-447C-A1CA-20376F463B58}"/>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6BABCC25-65BF-41AD-8419-C5F334456BE6}"/>
    <cellStyle name="Normal 2 5 4 2 2 5 2 3" xfId="12720" xr:uid="{DFB93B18-2BF2-4B21-A47E-74BBA9AD6267}"/>
    <cellStyle name="Normal 2 5 4 2 2 5 3" xfId="6364" xr:uid="{00000000-0005-0000-0000-000026110000}"/>
    <cellStyle name="Normal 2 5 4 2 2 5 3 2" xfId="14793" xr:uid="{F84457C9-F68E-49C2-8F41-1A7573F62EE9}"/>
    <cellStyle name="Normal 2 5 4 2 2 5 4" xfId="10575" xr:uid="{82958925-9376-441D-927E-78E5FFFDCDE9}"/>
    <cellStyle name="Normal 2 5 4 2 2 6" xfId="2492" xr:uid="{00000000-0005-0000-0000-000027110000}"/>
    <cellStyle name="Normal 2 5 4 2 2 6 2" xfId="6777" xr:uid="{00000000-0005-0000-0000-000028110000}"/>
    <cellStyle name="Normal 2 5 4 2 2 6 2 2" xfId="15206" xr:uid="{0398A6F6-B94F-4591-ADF6-84D778865518}"/>
    <cellStyle name="Normal 2 5 4 2 2 6 3" xfId="10988" xr:uid="{38F6CD6A-008F-4E4B-A7EF-D3287A9DA0FE}"/>
    <cellStyle name="Normal 2 5 4 2 2 7" xfId="4711" xr:uid="{00000000-0005-0000-0000-000029110000}"/>
    <cellStyle name="Normal 2 5 4 2 2 7 2" xfId="13140" xr:uid="{FCC28F24-0011-4636-9131-ED97740C2C1F}"/>
    <cellStyle name="Normal 2 5 4 2 2 8" xfId="8922" xr:uid="{9E212655-EDE7-4B8A-8567-65FD07B59A21}"/>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92BB632D-5DFF-417A-A53E-4393EA895245}"/>
    <cellStyle name="Normal 2 5 4 2 3 2 3" xfId="11480" xr:uid="{98271F06-236B-429B-B53B-9E58A923AB89}"/>
    <cellStyle name="Normal 2 5 4 2 3 3" xfId="5124" xr:uid="{00000000-0005-0000-0000-00002D110000}"/>
    <cellStyle name="Normal 2 5 4 2 3 3 2" xfId="13553" xr:uid="{AC159259-8616-45AD-9207-AB42A20C9F4C}"/>
    <cellStyle name="Normal 2 5 4 2 3 4" xfId="9335" xr:uid="{48C50A83-B776-414D-A2C2-F246F5753A97}"/>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FEC1E189-200E-407E-9E76-8D21E082FA04}"/>
    <cellStyle name="Normal 2 5 4 2 4 2 3" xfId="11893" xr:uid="{6D5A2613-AD8A-48BC-AF80-7B983971C9FF}"/>
    <cellStyle name="Normal 2 5 4 2 4 3" xfId="5537" xr:uid="{00000000-0005-0000-0000-000031110000}"/>
    <cellStyle name="Normal 2 5 4 2 4 3 2" xfId="13966" xr:uid="{06DD14F6-29C7-4C44-AC9A-559C82D8192A}"/>
    <cellStyle name="Normal 2 5 4 2 4 4" xfId="9748" xr:uid="{1437E78A-FA37-4C6C-8194-F982517D37A7}"/>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3B2BB15C-B97F-4471-BB51-B014D6FD495E}"/>
    <cellStyle name="Normal 2 5 4 2 5 2 3" xfId="12306" xr:uid="{657D46DD-644A-4E6C-9C54-880B9D3E1A16}"/>
    <cellStyle name="Normal 2 5 4 2 5 3" xfId="5950" xr:uid="{00000000-0005-0000-0000-000035110000}"/>
    <cellStyle name="Normal 2 5 4 2 5 3 2" xfId="14379" xr:uid="{5184B497-44A9-44E2-B091-9A6795D5EB15}"/>
    <cellStyle name="Normal 2 5 4 2 5 4" xfId="10161" xr:uid="{21DCDCFA-8C48-4B46-87DE-22D3D26D3D9A}"/>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29DFE86A-FA57-462E-A63C-DCBAA04E4C6B}"/>
    <cellStyle name="Normal 2 5 4 2 6 2 3" xfId="12719" xr:uid="{94D6B004-CC5D-474C-8EB8-E8EA347D4F8F}"/>
    <cellStyle name="Normal 2 5 4 2 6 3" xfId="6363" xr:uid="{00000000-0005-0000-0000-000039110000}"/>
    <cellStyle name="Normal 2 5 4 2 6 3 2" xfId="14792" xr:uid="{5300E313-A103-40B2-8A4B-A838FAB0559E}"/>
    <cellStyle name="Normal 2 5 4 2 6 4" xfId="10574" xr:uid="{F3EBBC28-6AC9-473D-9882-AA8A970BE68D}"/>
    <cellStyle name="Normal 2 5 4 2 7" xfId="2491" xr:uid="{00000000-0005-0000-0000-00003A110000}"/>
    <cellStyle name="Normal 2 5 4 2 7 2" xfId="6776" xr:uid="{00000000-0005-0000-0000-00003B110000}"/>
    <cellStyle name="Normal 2 5 4 2 7 2 2" xfId="15205" xr:uid="{58332854-B264-40F7-A3FF-D874D7911B18}"/>
    <cellStyle name="Normal 2 5 4 2 7 3" xfId="10987" xr:uid="{76A59BC4-2F53-48E8-87E4-4237FF1C48E9}"/>
    <cellStyle name="Normal 2 5 4 2 8" xfId="4710" xr:uid="{00000000-0005-0000-0000-00003C110000}"/>
    <cellStyle name="Normal 2 5 4 2 8 2" xfId="13139" xr:uid="{A384B1E7-57DF-44E2-8AB8-D1141B3B04C0}"/>
    <cellStyle name="Normal 2 5 4 2 9" xfId="8921" xr:uid="{89446980-832C-4AD5-AD29-22D6C418429F}"/>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6DC0A50A-C394-4856-B973-9EB436E2A253}"/>
    <cellStyle name="Normal 2 5 4 3 2 2 3" xfId="11482" xr:uid="{D80DAC2F-7661-4786-AE77-EAE2A975AC15}"/>
    <cellStyle name="Normal 2 5 4 3 2 3" xfId="5126" xr:uid="{00000000-0005-0000-0000-000041110000}"/>
    <cellStyle name="Normal 2 5 4 3 2 3 2" xfId="13555" xr:uid="{1EE37BE6-501B-486C-8F75-2701ED6CC879}"/>
    <cellStyle name="Normal 2 5 4 3 2 4" xfId="9337" xr:uid="{044BCAC0-4022-4D89-9EDD-A12AF99824C1}"/>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A964BC33-A2E4-4B00-93C9-62E5512EAF29}"/>
    <cellStyle name="Normal 2 5 4 3 3 2 3" xfId="11895" xr:uid="{B71AD4F5-DEAB-498B-AD0C-062AA3A14E2E}"/>
    <cellStyle name="Normal 2 5 4 3 3 3" xfId="5539" xr:uid="{00000000-0005-0000-0000-000045110000}"/>
    <cellStyle name="Normal 2 5 4 3 3 3 2" xfId="13968" xr:uid="{4EAA8EDE-6772-458F-A567-06843442BC08}"/>
    <cellStyle name="Normal 2 5 4 3 3 4" xfId="9750" xr:uid="{D5BEAA6D-F313-48B1-AA33-96A91FEC9CF4}"/>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73D1E547-2935-4E1D-942E-568E380E214C}"/>
    <cellStyle name="Normal 2 5 4 3 4 2 3" xfId="12308" xr:uid="{FFBA523B-3B95-4F38-B366-447CE789C379}"/>
    <cellStyle name="Normal 2 5 4 3 4 3" xfId="5952" xr:uid="{00000000-0005-0000-0000-000049110000}"/>
    <cellStyle name="Normal 2 5 4 3 4 3 2" xfId="14381" xr:uid="{ABAD87A5-A420-4CAC-BEDF-236D4CBA3631}"/>
    <cellStyle name="Normal 2 5 4 3 4 4" xfId="10163" xr:uid="{CBE121A5-5526-4B8A-9C5D-BA31C9D6694D}"/>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4E210D67-E4E9-4550-B4DD-5B341F2E8722}"/>
    <cellStyle name="Normal 2 5 4 3 5 2 3" xfId="12721" xr:uid="{E238A138-155F-41FA-B9DE-5FF2CCF28A36}"/>
    <cellStyle name="Normal 2 5 4 3 5 3" xfId="6365" xr:uid="{00000000-0005-0000-0000-00004D110000}"/>
    <cellStyle name="Normal 2 5 4 3 5 3 2" xfId="14794" xr:uid="{3DAD2AC6-065A-49F1-BBE4-37395464010D}"/>
    <cellStyle name="Normal 2 5 4 3 5 4" xfId="10576" xr:uid="{8920F4B0-CF21-47A9-A754-E82A43290232}"/>
    <cellStyle name="Normal 2 5 4 3 6" xfId="2493" xr:uid="{00000000-0005-0000-0000-00004E110000}"/>
    <cellStyle name="Normal 2 5 4 3 6 2" xfId="6778" xr:uid="{00000000-0005-0000-0000-00004F110000}"/>
    <cellStyle name="Normal 2 5 4 3 6 2 2" xfId="15207" xr:uid="{8B91F956-2CCF-4900-8504-5DD92F595F1E}"/>
    <cellStyle name="Normal 2 5 4 3 6 3" xfId="10989" xr:uid="{44D36397-FCE0-4F32-84A4-6780EAABD1A9}"/>
    <cellStyle name="Normal 2 5 4 3 7" xfId="4712" xr:uid="{00000000-0005-0000-0000-000050110000}"/>
    <cellStyle name="Normal 2 5 4 3 7 2" xfId="13141" xr:uid="{3C3ED0E1-4692-40CB-8A21-890730EF0C6D}"/>
    <cellStyle name="Normal 2 5 4 3 8" xfId="8923" xr:uid="{BA66BAF6-71CD-4974-8542-6D676EE871CD}"/>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E76DE731-5E5F-486E-B7A6-C60C8A17C7C6}"/>
    <cellStyle name="Normal 2 5 4 4 2 3" xfId="11479" xr:uid="{66C42399-A982-45D0-BE2C-4E4F0E286D66}"/>
    <cellStyle name="Normal 2 5 4 4 3" xfId="5123" xr:uid="{00000000-0005-0000-0000-000054110000}"/>
    <cellStyle name="Normal 2 5 4 4 3 2" xfId="13552" xr:uid="{ED60BFE3-03C9-4603-A4A2-772645BCF2B0}"/>
    <cellStyle name="Normal 2 5 4 4 4" xfId="9334" xr:uid="{F78E2E2F-1846-45BC-80BB-8D6D7220B6DA}"/>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737F8C6E-9F2F-4685-8B53-A6379927ED04}"/>
    <cellStyle name="Normal 2 5 4 5 2 3" xfId="11892" xr:uid="{93B15DA3-2B97-44E9-A8ED-DCE3B8BF4FA2}"/>
    <cellStyle name="Normal 2 5 4 5 3" xfId="5536" xr:uid="{00000000-0005-0000-0000-000058110000}"/>
    <cellStyle name="Normal 2 5 4 5 3 2" xfId="13965" xr:uid="{559126AD-AB9C-46D9-965E-12E34E77319C}"/>
    <cellStyle name="Normal 2 5 4 5 4" xfId="9747" xr:uid="{C546E925-C50E-4AE0-B4F3-B8809F0B1EB6}"/>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594AAA7B-CD6C-4A1D-A972-3B628B6F713A}"/>
    <cellStyle name="Normal 2 5 4 6 2 3" xfId="12305" xr:uid="{5777294C-DAE6-470B-8B0C-0E3C733A0EAF}"/>
    <cellStyle name="Normal 2 5 4 6 3" xfId="5949" xr:uid="{00000000-0005-0000-0000-00005C110000}"/>
    <cellStyle name="Normal 2 5 4 6 3 2" xfId="14378" xr:uid="{C3E69024-D2FD-4A08-87FE-048A60565324}"/>
    <cellStyle name="Normal 2 5 4 6 4" xfId="10160" xr:uid="{D94622E4-DD3D-4CED-9253-C1D096A524B1}"/>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C7A50245-80CB-4B15-B675-2D8125A4FF50}"/>
    <cellStyle name="Normal 2 5 4 7 2 3" xfId="12718" xr:uid="{0A6F5735-3F23-4AC8-A414-0D525CA4C2C1}"/>
    <cellStyle name="Normal 2 5 4 7 3" xfId="6362" xr:uid="{00000000-0005-0000-0000-000060110000}"/>
    <cellStyle name="Normal 2 5 4 7 3 2" xfId="14791" xr:uid="{BB54F2A5-570A-41E0-8EDC-0383724C5FAD}"/>
    <cellStyle name="Normal 2 5 4 7 4" xfId="10573" xr:uid="{F7F5F649-9939-4E18-A108-CB5759552587}"/>
    <cellStyle name="Normal 2 5 4 8" xfId="2490" xr:uid="{00000000-0005-0000-0000-000061110000}"/>
    <cellStyle name="Normal 2 5 4 8 2" xfId="6775" xr:uid="{00000000-0005-0000-0000-000062110000}"/>
    <cellStyle name="Normal 2 5 4 8 2 2" xfId="15204" xr:uid="{3D8AEE73-9643-48DB-9C10-A61C9AD8C5B9}"/>
    <cellStyle name="Normal 2 5 4 8 3" xfId="10986" xr:uid="{3BBDE1BA-6291-4B7A-9AD7-8637D808EF68}"/>
    <cellStyle name="Normal 2 5 4 9" xfId="4709" xr:uid="{00000000-0005-0000-0000-000063110000}"/>
    <cellStyle name="Normal 2 5 4 9 2" xfId="13138" xr:uid="{1E24DD03-0619-4B4B-A8F7-41BCF8B10E3F}"/>
    <cellStyle name="Normal 2 5 5" xfId="804" xr:uid="{00000000-0005-0000-0000-000064110000}"/>
    <cellStyle name="Normal 2 5 5 2" xfId="3043" xr:uid="{00000000-0005-0000-0000-000065110000}"/>
    <cellStyle name="Normal 2 5 5 2 2" xfId="7267" xr:uid="{00000000-0005-0000-0000-000066110000}"/>
    <cellStyle name="Normal 2 5 5 2 2 2" xfId="15696" xr:uid="{E0AA2159-3F46-42F7-B816-6C0D0C2F3A4A}"/>
    <cellStyle name="Normal 2 5 5 2 3" xfId="11478" xr:uid="{4269EE27-E6CC-4271-89C6-C3CF831ED485}"/>
    <cellStyle name="Normal 2 5 5 3" xfId="5122" xr:uid="{00000000-0005-0000-0000-000067110000}"/>
    <cellStyle name="Normal 2 5 5 3 2" xfId="13551" xr:uid="{0B3BF4EB-141D-4746-8861-C46855A063D1}"/>
    <cellStyle name="Normal 2 5 5 4" xfId="9333" xr:uid="{B6D1E920-A2BF-41E2-9123-F9E6C8E34FDE}"/>
    <cellStyle name="Normal 2 5 6" xfId="1226" xr:uid="{00000000-0005-0000-0000-000068110000}"/>
    <cellStyle name="Normal 2 5 6 2" xfId="3456" xr:uid="{00000000-0005-0000-0000-000069110000}"/>
    <cellStyle name="Normal 2 5 6 2 2" xfId="7680" xr:uid="{00000000-0005-0000-0000-00006A110000}"/>
    <cellStyle name="Normal 2 5 6 2 2 2" xfId="16109" xr:uid="{0BDAA8E9-86B3-471B-9B9E-784809052ADD}"/>
    <cellStyle name="Normal 2 5 6 2 3" xfId="11891" xr:uid="{A3CC1EEE-CDF4-4513-A47B-235BBC678B34}"/>
    <cellStyle name="Normal 2 5 6 3" xfId="5535" xr:uid="{00000000-0005-0000-0000-00006B110000}"/>
    <cellStyle name="Normal 2 5 6 3 2" xfId="13964" xr:uid="{184F8A69-A196-4709-A5CF-F7F603441805}"/>
    <cellStyle name="Normal 2 5 6 4" xfId="9746" xr:uid="{83C25269-5333-4E37-AFD9-823E1AD1DEAC}"/>
    <cellStyle name="Normal 2 5 7" xfId="1639" xr:uid="{00000000-0005-0000-0000-00006C110000}"/>
    <cellStyle name="Normal 2 5 7 2" xfId="3869" xr:uid="{00000000-0005-0000-0000-00006D110000}"/>
    <cellStyle name="Normal 2 5 7 2 2" xfId="8093" xr:uid="{00000000-0005-0000-0000-00006E110000}"/>
    <cellStyle name="Normal 2 5 7 2 2 2" xfId="16522" xr:uid="{68DBCFCB-76B8-4CC1-9046-7B57FE6DCA9D}"/>
    <cellStyle name="Normal 2 5 7 2 3" xfId="12304" xr:uid="{4EFBB076-AF06-405A-A7A3-0B87B0269CE8}"/>
    <cellStyle name="Normal 2 5 7 3" xfId="5948" xr:uid="{00000000-0005-0000-0000-00006F110000}"/>
    <cellStyle name="Normal 2 5 7 3 2" xfId="14377" xr:uid="{401E2674-B053-43A3-8807-8C13364B109B}"/>
    <cellStyle name="Normal 2 5 7 4" xfId="10159" xr:uid="{770EDC04-45B8-444C-B15B-F8AB07B592A0}"/>
    <cellStyle name="Normal 2 5 8" xfId="2053" xr:uid="{00000000-0005-0000-0000-000070110000}"/>
    <cellStyle name="Normal 2 5 8 2" xfId="4282" xr:uid="{00000000-0005-0000-0000-000071110000}"/>
    <cellStyle name="Normal 2 5 8 2 2" xfId="8506" xr:uid="{00000000-0005-0000-0000-000072110000}"/>
    <cellStyle name="Normal 2 5 8 2 2 2" xfId="16935" xr:uid="{61AAE7B5-5CDF-4157-86E7-45F77858071B}"/>
    <cellStyle name="Normal 2 5 8 2 3" xfId="12717" xr:uid="{CF8A82A1-F688-4672-B4D6-0AF48B5F6D9E}"/>
    <cellStyle name="Normal 2 5 8 3" xfId="6361" xr:uid="{00000000-0005-0000-0000-000073110000}"/>
    <cellStyle name="Normal 2 5 8 3 2" xfId="14790" xr:uid="{36D5D493-F42C-4D8B-A17A-F94F690E96B7}"/>
    <cellStyle name="Normal 2 5 8 4" xfId="10572" xr:uid="{9B4B7DC9-12B3-4E34-9304-3932380E7E75}"/>
    <cellStyle name="Normal 2 5 9" xfId="2489" xr:uid="{00000000-0005-0000-0000-000074110000}"/>
    <cellStyle name="Normal 2 5 9 2" xfId="6774" xr:uid="{00000000-0005-0000-0000-000075110000}"/>
    <cellStyle name="Normal 2 5 9 2 2" xfId="15203" xr:uid="{B787542B-7482-441B-B279-31972776D416}"/>
    <cellStyle name="Normal 2 5 9 3" xfId="10985" xr:uid="{D4BC6AA0-DDF5-4E50-AB4B-BAC723A7C761}"/>
    <cellStyle name="Normal 2 6" xfId="322" xr:uid="{00000000-0005-0000-0000-000076110000}"/>
    <cellStyle name="Normal 2 7" xfId="770" xr:uid="{00000000-0005-0000-0000-000077110000}"/>
    <cellStyle name="Normal 2 8" xfId="4496" xr:uid="{00000000-0005-0000-0000-000078110000}"/>
    <cellStyle name="Normal 2 8 2" xfId="12929" xr:uid="{CC5C2E38-4913-4146-A6A8-F59B1C0E2034}"/>
    <cellStyle name="Normal 3" xfId="323" xr:uid="{00000000-0005-0000-0000-000079110000}"/>
    <cellStyle name="Normal 3 2" xfId="324" xr:uid="{00000000-0005-0000-0000-00007A110000}"/>
    <cellStyle name="Normal 3 2 10" xfId="8924" xr:uid="{6E5C45C9-9910-4842-849C-708EC508124B}"/>
    <cellStyle name="Normal 3 2 2" xfId="325" xr:uid="{00000000-0005-0000-0000-00007B110000}"/>
    <cellStyle name="Normal 3 2 2 2" xfId="811" xr:uid="{00000000-0005-0000-0000-00007C110000}"/>
    <cellStyle name="Normal 3 2 3" xfId="326" xr:uid="{00000000-0005-0000-0000-00007D110000}"/>
    <cellStyle name="Normal 3 2 3 10" xfId="8925" xr:uid="{0BE2E6C8-5749-4012-B05F-6B6DEA7116D5}"/>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82EB6DFD-B876-4064-BC30-7307BB552C66}"/>
    <cellStyle name="Normal 3 2 3 2 2 2 2 3" xfId="11486" xr:uid="{38A01702-509B-4762-BB28-9F46271AC5E4}"/>
    <cellStyle name="Normal 3 2 3 2 2 2 3" xfId="5130" xr:uid="{00000000-0005-0000-0000-000083110000}"/>
    <cellStyle name="Normal 3 2 3 2 2 2 3 2" xfId="13559" xr:uid="{B0AC6795-B1D7-4280-AB8D-41DDB2898C63}"/>
    <cellStyle name="Normal 3 2 3 2 2 2 4" xfId="9341" xr:uid="{4AE406B3-07A5-469D-9DB4-1F88436265F2}"/>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1DA70D8A-EF81-46EF-BA1C-99A989F81F9A}"/>
    <cellStyle name="Normal 3 2 3 2 2 3 2 3" xfId="11899" xr:uid="{220232FD-3994-41BA-A225-1B210DAA2E45}"/>
    <cellStyle name="Normal 3 2 3 2 2 3 3" xfId="5543" xr:uid="{00000000-0005-0000-0000-000087110000}"/>
    <cellStyle name="Normal 3 2 3 2 2 3 3 2" xfId="13972" xr:uid="{B643EE74-DE2F-4F7E-87B7-162B8651CFA2}"/>
    <cellStyle name="Normal 3 2 3 2 2 3 4" xfId="9754" xr:uid="{AAC2C9A2-8983-484F-8114-98A98F94527F}"/>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C332D78D-C95C-495B-B73D-F98850F91EC9}"/>
    <cellStyle name="Normal 3 2 3 2 2 4 2 3" xfId="12312" xr:uid="{5400057A-26A5-4FC4-BAB1-E83F945610E9}"/>
    <cellStyle name="Normal 3 2 3 2 2 4 3" xfId="5956" xr:uid="{00000000-0005-0000-0000-00008B110000}"/>
    <cellStyle name="Normal 3 2 3 2 2 4 3 2" xfId="14385" xr:uid="{DA0DBF97-65CA-4FE0-88CB-97447A75B80C}"/>
    <cellStyle name="Normal 3 2 3 2 2 4 4" xfId="10167" xr:uid="{C2D0B238-3283-4285-B5D0-126049C4C15C}"/>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8518738D-F977-41F5-AB0A-17E0E95BE98C}"/>
    <cellStyle name="Normal 3 2 3 2 2 5 2 3" xfId="12725" xr:uid="{397AA34F-133A-451B-BD43-2D3E17F8EB33}"/>
    <cellStyle name="Normal 3 2 3 2 2 5 3" xfId="6369" xr:uid="{00000000-0005-0000-0000-00008F110000}"/>
    <cellStyle name="Normal 3 2 3 2 2 5 3 2" xfId="14798" xr:uid="{FEF1BB96-E4E2-4B53-BFC5-1AF2682CA68C}"/>
    <cellStyle name="Normal 3 2 3 2 2 5 4" xfId="10580" xr:uid="{F8FCDC4A-FFA7-4BC4-8CAB-9C6C5F7DF0EB}"/>
    <cellStyle name="Normal 3 2 3 2 2 6" xfId="2497" xr:uid="{00000000-0005-0000-0000-000090110000}"/>
    <cellStyle name="Normal 3 2 3 2 2 6 2" xfId="6782" xr:uid="{00000000-0005-0000-0000-000091110000}"/>
    <cellStyle name="Normal 3 2 3 2 2 6 2 2" xfId="15211" xr:uid="{B48DE561-111D-45B1-B9E4-E385CCC48E9E}"/>
    <cellStyle name="Normal 3 2 3 2 2 6 3" xfId="10993" xr:uid="{80F88C5D-019E-459D-BC26-C355DA258A0D}"/>
    <cellStyle name="Normal 3 2 3 2 2 7" xfId="4716" xr:uid="{00000000-0005-0000-0000-000092110000}"/>
    <cellStyle name="Normal 3 2 3 2 2 7 2" xfId="13145" xr:uid="{893DADD1-C653-4515-AC77-2DD3C401DF7C}"/>
    <cellStyle name="Normal 3 2 3 2 2 8" xfId="8927" xr:uid="{4E6B7221-55C6-4BE8-B66A-045A62039DE4}"/>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C9B95AE9-6CB7-4966-B830-6E8E96808D90}"/>
    <cellStyle name="Normal 3 2 3 2 3 2 3" xfId="11485" xr:uid="{D22EC0E9-097D-4DF4-88A3-0D17E9A3FE40}"/>
    <cellStyle name="Normal 3 2 3 2 3 3" xfId="5129" xr:uid="{00000000-0005-0000-0000-000096110000}"/>
    <cellStyle name="Normal 3 2 3 2 3 3 2" xfId="13558" xr:uid="{AFB188AC-3782-4231-9D37-CBC4018CBD11}"/>
    <cellStyle name="Normal 3 2 3 2 3 4" xfId="9340" xr:uid="{4E4AD19A-0AFB-4484-84F3-49726446660D}"/>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0C5C3FE3-742E-40B8-91CB-48E359B890D4}"/>
    <cellStyle name="Normal 3 2 3 2 4 2 3" xfId="11898" xr:uid="{977CAFB7-B368-4AD9-AC46-ED0B060D9CFB}"/>
    <cellStyle name="Normal 3 2 3 2 4 3" xfId="5542" xr:uid="{00000000-0005-0000-0000-00009A110000}"/>
    <cellStyle name="Normal 3 2 3 2 4 3 2" xfId="13971" xr:uid="{AF6D9945-2011-4A90-BE50-095ECF39E45C}"/>
    <cellStyle name="Normal 3 2 3 2 4 4" xfId="9753" xr:uid="{CE7F713B-C20F-4F72-92EA-91FB2F8A639A}"/>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A8A4F02D-D40D-4241-9CCF-934F6255D53F}"/>
    <cellStyle name="Normal 3 2 3 2 5 2 3" xfId="12311" xr:uid="{486F196C-8540-4600-8739-D490FB1503D4}"/>
    <cellStyle name="Normal 3 2 3 2 5 3" xfId="5955" xr:uid="{00000000-0005-0000-0000-00009E110000}"/>
    <cellStyle name="Normal 3 2 3 2 5 3 2" xfId="14384" xr:uid="{6BD42AB0-815A-4740-A094-115D6BD53EF0}"/>
    <cellStyle name="Normal 3 2 3 2 5 4" xfId="10166" xr:uid="{666F0518-B1D2-45BF-9A9F-1954331AC317}"/>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E8DE664B-AA3C-4501-9117-DB1670A778AC}"/>
    <cellStyle name="Normal 3 2 3 2 6 2 3" xfId="12724" xr:uid="{BBFD1779-FEE4-423B-88C8-17F5AEE46125}"/>
    <cellStyle name="Normal 3 2 3 2 6 3" xfId="6368" xr:uid="{00000000-0005-0000-0000-0000A2110000}"/>
    <cellStyle name="Normal 3 2 3 2 6 3 2" xfId="14797" xr:uid="{5677EA7E-F342-48BD-AF06-E6A9A9CB1BFE}"/>
    <cellStyle name="Normal 3 2 3 2 6 4" xfId="10579" xr:uid="{E114B69D-1BC7-472A-A5C4-E6342FAE0DE8}"/>
    <cellStyle name="Normal 3 2 3 2 7" xfId="2496" xr:uid="{00000000-0005-0000-0000-0000A3110000}"/>
    <cellStyle name="Normal 3 2 3 2 7 2" xfId="6781" xr:uid="{00000000-0005-0000-0000-0000A4110000}"/>
    <cellStyle name="Normal 3 2 3 2 7 2 2" xfId="15210" xr:uid="{61113505-78B4-457C-A320-225C9E7178D1}"/>
    <cellStyle name="Normal 3 2 3 2 7 3" xfId="10992" xr:uid="{D71CE1EA-B936-4432-8770-A3A4019D4644}"/>
    <cellStyle name="Normal 3 2 3 2 8" xfId="4715" xr:uid="{00000000-0005-0000-0000-0000A5110000}"/>
    <cellStyle name="Normal 3 2 3 2 8 2" xfId="13144" xr:uid="{FB8BB648-A6B7-4A65-BAE2-63E2B47052FE}"/>
    <cellStyle name="Normal 3 2 3 2 9" xfId="8926" xr:uid="{DE52337F-3A2F-41B1-A7DD-8CF7D2BD7721}"/>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73387B61-85EC-41D1-A310-9115005606FE}"/>
    <cellStyle name="Normal 3 2 3 3 2 2 3" xfId="11487" xr:uid="{FB877D5B-8CD1-4B88-9547-44EC654C878D}"/>
    <cellStyle name="Normal 3 2 3 3 2 3" xfId="5131" xr:uid="{00000000-0005-0000-0000-0000AA110000}"/>
    <cellStyle name="Normal 3 2 3 3 2 3 2" xfId="13560" xr:uid="{D9F3E4CA-72B9-4932-8228-B857E3E0F91D}"/>
    <cellStyle name="Normal 3 2 3 3 2 4" xfId="9342" xr:uid="{9929FA4C-B386-4D6D-8BF8-5DA844D5EB53}"/>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EC248868-212E-4B27-A9C9-41C01E9D6949}"/>
    <cellStyle name="Normal 3 2 3 3 3 2 3" xfId="11900" xr:uid="{9CC68F91-2F76-4DE2-B66B-18B89BA7ED2B}"/>
    <cellStyle name="Normal 3 2 3 3 3 3" xfId="5544" xr:uid="{00000000-0005-0000-0000-0000AE110000}"/>
    <cellStyle name="Normal 3 2 3 3 3 3 2" xfId="13973" xr:uid="{190BBFAE-52B9-4219-BFB4-74C0D4B76919}"/>
    <cellStyle name="Normal 3 2 3 3 3 4" xfId="9755" xr:uid="{BF4D2D9A-DC93-4B16-9CF5-BE773D76ED68}"/>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679BB2DE-9D33-4E6A-91B2-5078CC6ED533}"/>
    <cellStyle name="Normal 3 2 3 3 4 2 3" xfId="12313" xr:uid="{4423BE0C-195D-4E18-9292-48646B705CD6}"/>
    <cellStyle name="Normal 3 2 3 3 4 3" xfId="5957" xr:uid="{00000000-0005-0000-0000-0000B2110000}"/>
    <cellStyle name="Normal 3 2 3 3 4 3 2" xfId="14386" xr:uid="{2BE7D194-41EF-4350-AF1C-95885D3B18E6}"/>
    <cellStyle name="Normal 3 2 3 3 4 4" xfId="10168" xr:uid="{48CE9C37-65FE-4D8B-A7D5-ACE0AAF9EFE2}"/>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847404C4-D6E5-4247-B8D1-51AD7BB49651}"/>
    <cellStyle name="Normal 3 2 3 3 5 2 3" xfId="12726" xr:uid="{389D1640-C95F-48F6-AFF3-524599D17BB3}"/>
    <cellStyle name="Normal 3 2 3 3 5 3" xfId="6370" xr:uid="{00000000-0005-0000-0000-0000B6110000}"/>
    <cellStyle name="Normal 3 2 3 3 5 3 2" xfId="14799" xr:uid="{D536361A-857A-4A82-B486-4952A8877309}"/>
    <cellStyle name="Normal 3 2 3 3 5 4" xfId="10581" xr:uid="{993E96FE-2888-41DC-A24B-3D9E6B2834BD}"/>
    <cellStyle name="Normal 3 2 3 3 6" xfId="2498" xr:uid="{00000000-0005-0000-0000-0000B7110000}"/>
    <cellStyle name="Normal 3 2 3 3 6 2" xfId="6783" xr:uid="{00000000-0005-0000-0000-0000B8110000}"/>
    <cellStyle name="Normal 3 2 3 3 6 2 2" xfId="15212" xr:uid="{7B83C216-B7A7-4069-A498-33C0979358D6}"/>
    <cellStyle name="Normal 3 2 3 3 6 3" xfId="10994" xr:uid="{72D464BE-6F7C-453B-8103-CA5993C49209}"/>
    <cellStyle name="Normal 3 2 3 3 7" xfId="4717" xr:uid="{00000000-0005-0000-0000-0000B9110000}"/>
    <cellStyle name="Normal 3 2 3 3 7 2" xfId="13146" xr:uid="{2ABF2F77-63CE-402C-9009-87856E73E610}"/>
    <cellStyle name="Normal 3 2 3 3 8" xfId="8928" xr:uid="{147C7085-7B07-4020-BCD7-79A327AEC446}"/>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19822973-A0D7-425D-8438-D859DC669D92}"/>
    <cellStyle name="Normal 3 2 3 4 2 3" xfId="11484" xr:uid="{2E826E7C-AA54-4D6F-B644-18559C263F2F}"/>
    <cellStyle name="Normal 3 2 3 4 3" xfId="5128" xr:uid="{00000000-0005-0000-0000-0000BD110000}"/>
    <cellStyle name="Normal 3 2 3 4 3 2" xfId="13557" xr:uid="{34DBE6BC-7958-4E86-BC30-3B260DB0F6B7}"/>
    <cellStyle name="Normal 3 2 3 4 4" xfId="9339" xr:uid="{8C1EF518-BCC3-4C52-9EC5-B97083C34DB9}"/>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1CB3E1F7-E9F4-45FB-8BEF-804ED8DE76E5}"/>
    <cellStyle name="Normal 3 2 3 5 2 3" xfId="11897" xr:uid="{8B07C68B-5B52-413F-809A-70B1C5FA01B4}"/>
    <cellStyle name="Normal 3 2 3 5 3" xfId="5541" xr:uid="{00000000-0005-0000-0000-0000C1110000}"/>
    <cellStyle name="Normal 3 2 3 5 3 2" xfId="13970" xr:uid="{FCCB16DF-C0EE-4888-9775-79AB9ED4E16A}"/>
    <cellStyle name="Normal 3 2 3 5 4" xfId="9752" xr:uid="{6A39F225-0256-4F13-B7A3-4274C359F9B8}"/>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ACBF1DDE-D54E-43D8-86B7-DB7C81B029FB}"/>
    <cellStyle name="Normal 3 2 3 6 2 3" xfId="12310" xr:uid="{E065E2E2-1462-446A-8A05-C0E3DD283B53}"/>
    <cellStyle name="Normal 3 2 3 6 3" xfId="5954" xr:uid="{00000000-0005-0000-0000-0000C5110000}"/>
    <cellStyle name="Normal 3 2 3 6 3 2" xfId="14383" xr:uid="{6F430B0D-076B-426F-8859-21A6EC16F378}"/>
    <cellStyle name="Normal 3 2 3 6 4" xfId="10165" xr:uid="{2FB674BF-09CB-4F92-B289-770F8538358B}"/>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C5483CD8-757A-4439-809C-3BF061CDD00B}"/>
    <cellStyle name="Normal 3 2 3 7 2 3" xfId="12723" xr:uid="{C82B0803-172A-4AF0-9042-E9E2FE9DB662}"/>
    <cellStyle name="Normal 3 2 3 7 3" xfId="6367" xr:uid="{00000000-0005-0000-0000-0000C9110000}"/>
    <cellStyle name="Normal 3 2 3 7 3 2" xfId="14796" xr:uid="{3CE35B87-655C-4D7E-952D-1FDDF2E95557}"/>
    <cellStyle name="Normal 3 2 3 7 4" xfId="10578" xr:uid="{8DD1A7AC-4031-4E27-94E8-B6BC5B3EF174}"/>
    <cellStyle name="Normal 3 2 3 8" xfId="2495" xr:uid="{00000000-0005-0000-0000-0000CA110000}"/>
    <cellStyle name="Normal 3 2 3 8 2" xfId="6780" xr:uid="{00000000-0005-0000-0000-0000CB110000}"/>
    <cellStyle name="Normal 3 2 3 8 2 2" xfId="15209" xr:uid="{D6E04316-FBC2-45D0-8EE9-AB34E2D8DFC6}"/>
    <cellStyle name="Normal 3 2 3 8 3" xfId="10991" xr:uid="{32E68BD6-55A6-4FB6-8C62-10D21FE10BAE}"/>
    <cellStyle name="Normal 3 2 3 9" xfId="4714" xr:uid="{00000000-0005-0000-0000-0000CC110000}"/>
    <cellStyle name="Normal 3 2 3 9 2" xfId="13143" xr:uid="{5F48F6AC-68F3-4CCE-A4C7-EE50F6A8CDD3}"/>
    <cellStyle name="Normal 3 2 4" xfId="810" xr:uid="{00000000-0005-0000-0000-0000CD110000}"/>
    <cellStyle name="Normal 3 2 4 2" xfId="3048" xr:uid="{00000000-0005-0000-0000-0000CE110000}"/>
    <cellStyle name="Normal 3 2 4 2 2" xfId="7272" xr:uid="{00000000-0005-0000-0000-0000CF110000}"/>
    <cellStyle name="Normal 3 2 4 2 2 2" xfId="15701" xr:uid="{BAA00D3A-5BEE-4C52-8A84-4B428CC9F4E8}"/>
    <cellStyle name="Normal 3 2 4 2 3" xfId="11483" xr:uid="{FBE39F30-22D4-4519-AADB-835993CE9CE6}"/>
    <cellStyle name="Normal 3 2 4 3" xfId="5127" xr:uid="{00000000-0005-0000-0000-0000D0110000}"/>
    <cellStyle name="Normal 3 2 4 3 2" xfId="13556" xr:uid="{160CD400-421E-4EF2-88BB-14F892763AC1}"/>
    <cellStyle name="Normal 3 2 4 4" xfId="9338" xr:uid="{59C65884-30F7-4FA1-A330-2C2D20A5238E}"/>
    <cellStyle name="Normal 3 2 5" xfId="1231" xr:uid="{00000000-0005-0000-0000-0000D1110000}"/>
    <cellStyle name="Normal 3 2 5 2" xfId="3461" xr:uid="{00000000-0005-0000-0000-0000D2110000}"/>
    <cellStyle name="Normal 3 2 5 2 2" xfId="7685" xr:uid="{00000000-0005-0000-0000-0000D3110000}"/>
    <cellStyle name="Normal 3 2 5 2 2 2" xfId="16114" xr:uid="{7C0A6015-536D-4AC6-91C1-948CF1395CE1}"/>
    <cellStyle name="Normal 3 2 5 2 3" xfId="11896" xr:uid="{A0869ED2-C5E4-4F13-BD9A-F5143FC96A4E}"/>
    <cellStyle name="Normal 3 2 5 3" xfId="5540" xr:uid="{00000000-0005-0000-0000-0000D4110000}"/>
    <cellStyle name="Normal 3 2 5 3 2" xfId="13969" xr:uid="{5F9E8817-3C08-4FD1-92CA-5F85F3508B17}"/>
    <cellStyle name="Normal 3 2 5 4" xfId="9751" xr:uid="{3F7A13F3-DEA9-4508-8F31-28A59603E5C5}"/>
    <cellStyle name="Normal 3 2 6" xfId="1644" xr:uid="{00000000-0005-0000-0000-0000D5110000}"/>
    <cellStyle name="Normal 3 2 6 2" xfId="3874" xr:uid="{00000000-0005-0000-0000-0000D6110000}"/>
    <cellStyle name="Normal 3 2 6 2 2" xfId="8098" xr:uid="{00000000-0005-0000-0000-0000D7110000}"/>
    <cellStyle name="Normal 3 2 6 2 2 2" xfId="16527" xr:uid="{98CC7929-EF9D-4EB2-92C3-C6F0DC042A8D}"/>
    <cellStyle name="Normal 3 2 6 2 3" xfId="12309" xr:uid="{7BA430F8-DCB2-4000-BE5D-BE78A86315B6}"/>
    <cellStyle name="Normal 3 2 6 3" xfId="5953" xr:uid="{00000000-0005-0000-0000-0000D8110000}"/>
    <cellStyle name="Normal 3 2 6 3 2" xfId="14382" xr:uid="{DCA1093D-8C10-474C-A64F-C51DAE05789E}"/>
    <cellStyle name="Normal 3 2 6 4" xfId="10164" xr:uid="{1D74720D-0C06-420B-9592-5FFCA12D39AC}"/>
    <cellStyle name="Normal 3 2 7" xfId="2058" xr:uid="{00000000-0005-0000-0000-0000D9110000}"/>
    <cellStyle name="Normal 3 2 7 2" xfId="4287" xr:uid="{00000000-0005-0000-0000-0000DA110000}"/>
    <cellStyle name="Normal 3 2 7 2 2" xfId="8511" xr:uid="{00000000-0005-0000-0000-0000DB110000}"/>
    <cellStyle name="Normal 3 2 7 2 2 2" xfId="16940" xr:uid="{9160CDE5-66AB-4CBF-8F3B-95E8C64A3194}"/>
    <cellStyle name="Normal 3 2 7 2 3" xfId="12722" xr:uid="{4BAD3701-4709-48A5-A468-32772B67A7BB}"/>
    <cellStyle name="Normal 3 2 7 3" xfId="6366" xr:uid="{00000000-0005-0000-0000-0000DC110000}"/>
    <cellStyle name="Normal 3 2 7 3 2" xfId="14795" xr:uid="{0E6D7BB1-5469-4A80-A7A2-BA146E534AEE}"/>
    <cellStyle name="Normal 3 2 7 4" xfId="10577" xr:uid="{0645A922-5F21-473E-8D7C-39763D9FC69F}"/>
    <cellStyle name="Normal 3 2 8" xfId="2494" xr:uid="{00000000-0005-0000-0000-0000DD110000}"/>
    <cellStyle name="Normal 3 2 8 2" xfId="6779" xr:uid="{00000000-0005-0000-0000-0000DE110000}"/>
    <cellStyle name="Normal 3 2 8 2 2" xfId="15208" xr:uid="{9E8AA542-0564-493C-BDED-F09028832A52}"/>
    <cellStyle name="Normal 3 2 8 3" xfId="10990" xr:uid="{C2EA6DB4-A3C9-4575-86DC-57A3F45B2D75}"/>
    <cellStyle name="Normal 3 2 9" xfId="4713" xr:uid="{00000000-0005-0000-0000-0000DF110000}"/>
    <cellStyle name="Normal 3 2 9 2" xfId="13142" xr:uid="{D2486F88-8D3F-4B63-9AAF-55BA0D8583C3}"/>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9F26A490-739B-4779-A40A-549EF6C73FB5}"/>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28A6F8F7-6030-4AB5-A3B6-F765C53816B0}"/>
    <cellStyle name="Normal 4 2 2 10 2 3" xfId="12727" xr:uid="{D4570BD2-8BE8-4DB5-A81E-B15CED90FEFD}"/>
    <cellStyle name="Normal 4 2 2 10 3" xfId="6371" xr:uid="{00000000-0005-0000-0000-0000EC110000}"/>
    <cellStyle name="Normal 4 2 2 10 3 2" xfId="14800" xr:uid="{15FF2CF8-EC13-46E2-A6AB-94AAA9BD3940}"/>
    <cellStyle name="Normal 4 2 2 10 4" xfId="10582" xr:uid="{23FEB4C9-EFF0-4A09-B660-CD0C89526E0B}"/>
    <cellStyle name="Normal 4 2 2 11" xfId="2499" xr:uid="{00000000-0005-0000-0000-0000ED110000}"/>
    <cellStyle name="Normal 4 2 2 11 2" xfId="6784" xr:uid="{00000000-0005-0000-0000-0000EE110000}"/>
    <cellStyle name="Normal 4 2 2 11 2 2" xfId="15213" xr:uid="{C9E6912B-3A9D-4E1D-86CC-4E05AF1F1111}"/>
    <cellStyle name="Normal 4 2 2 11 3" xfId="10995" xr:uid="{941BDB41-DB15-4576-AA49-4F51824423BC}"/>
    <cellStyle name="Normal 4 2 2 12" xfId="4719" xr:uid="{00000000-0005-0000-0000-0000EF110000}"/>
    <cellStyle name="Normal 4 2 2 12 2" xfId="13148" xr:uid="{932BF377-30D1-4172-B6B0-1184E7FC5297}"/>
    <cellStyle name="Normal 4 2 2 13" xfId="8930" xr:uid="{D722AE8F-24F8-49E0-9E56-5D8D89691036}"/>
    <cellStyle name="Normal 4 2 2 2" xfId="338" xr:uid="{00000000-0005-0000-0000-0000F0110000}"/>
    <cellStyle name="Normal 4 2 2 3" xfId="339" xr:uid="{00000000-0005-0000-0000-0000F1110000}"/>
    <cellStyle name="Normal 4 2 2 3 10" xfId="4720" xr:uid="{00000000-0005-0000-0000-0000F2110000}"/>
    <cellStyle name="Normal 4 2 2 3 10 2" xfId="13149" xr:uid="{4B591F48-CA20-4077-A54D-3171962EA2D7}"/>
    <cellStyle name="Normal 4 2 2 3 11" xfId="8931" xr:uid="{C256141D-BA0C-4BAF-AE1C-4FB7CFF2BC4E}"/>
    <cellStyle name="Normal 4 2 2 3 2" xfId="340" xr:uid="{00000000-0005-0000-0000-0000F3110000}"/>
    <cellStyle name="Normal 4 2 2 3 2 10" xfId="8932" xr:uid="{9852576D-2A56-4B1F-970A-15F204021471}"/>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042B3AD5-E0B8-40D7-A2BA-D91462A709B0}"/>
    <cellStyle name="Normal 4 2 2 3 2 2 2 2 2 3" xfId="11492" xr:uid="{6FEB5F31-F22E-4188-802B-255B7F54B5CF}"/>
    <cellStyle name="Normal 4 2 2 3 2 2 2 2 3" xfId="5136" xr:uid="{00000000-0005-0000-0000-0000F9110000}"/>
    <cellStyle name="Normal 4 2 2 3 2 2 2 2 3 2" xfId="13565" xr:uid="{4DB77A1E-D8FF-4FC7-85BF-8166AE540C2D}"/>
    <cellStyle name="Normal 4 2 2 3 2 2 2 2 4" xfId="9347" xr:uid="{9796DD74-B0F1-4D98-94AE-34EA3B7EE9A6}"/>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1379DD1D-ABFB-4788-992B-58658129233A}"/>
    <cellStyle name="Normal 4 2 2 3 2 2 2 3 2 3" xfId="11905" xr:uid="{768C0010-F9C4-46DD-AC4C-4E8158653A60}"/>
    <cellStyle name="Normal 4 2 2 3 2 2 2 3 3" xfId="5549" xr:uid="{00000000-0005-0000-0000-0000FD110000}"/>
    <cellStyle name="Normal 4 2 2 3 2 2 2 3 3 2" xfId="13978" xr:uid="{F0645315-0415-4F10-A849-2C0AF439B356}"/>
    <cellStyle name="Normal 4 2 2 3 2 2 2 3 4" xfId="9760" xr:uid="{C9A0B158-BEF5-4AAC-8A9A-9B8B0D789EBC}"/>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98F1B746-E94B-41B7-A41E-97A606F54941}"/>
    <cellStyle name="Normal 4 2 2 3 2 2 2 4 2 3" xfId="12318" xr:uid="{65C5B8CC-0DD8-4341-AF6D-370AEEB3F44A}"/>
    <cellStyle name="Normal 4 2 2 3 2 2 2 4 3" xfId="5962" xr:uid="{00000000-0005-0000-0000-000001120000}"/>
    <cellStyle name="Normal 4 2 2 3 2 2 2 4 3 2" xfId="14391" xr:uid="{DD80143D-3BC8-46DD-9499-1EC0B7299326}"/>
    <cellStyle name="Normal 4 2 2 3 2 2 2 4 4" xfId="10173" xr:uid="{2DE55F33-187D-4FF6-A11A-BB1C22458269}"/>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F3FE8F3B-F596-45F5-B969-57333387BE07}"/>
    <cellStyle name="Normal 4 2 2 3 2 2 2 5 2 3" xfId="12731" xr:uid="{705471E9-DC18-4BB0-8FFE-DC71BEDFCA45}"/>
    <cellStyle name="Normal 4 2 2 3 2 2 2 5 3" xfId="6375" xr:uid="{00000000-0005-0000-0000-000005120000}"/>
    <cellStyle name="Normal 4 2 2 3 2 2 2 5 3 2" xfId="14804" xr:uid="{6CE5E91E-23C0-4AEF-B324-34282A0CB62A}"/>
    <cellStyle name="Normal 4 2 2 3 2 2 2 5 4" xfId="10586" xr:uid="{D476D432-3679-4C30-8C76-AD31AFE8E861}"/>
    <cellStyle name="Normal 4 2 2 3 2 2 2 6" xfId="2503" xr:uid="{00000000-0005-0000-0000-000006120000}"/>
    <cellStyle name="Normal 4 2 2 3 2 2 2 6 2" xfId="6788" xr:uid="{00000000-0005-0000-0000-000007120000}"/>
    <cellStyle name="Normal 4 2 2 3 2 2 2 6 2 2" xfId="15217" xr:uid="{E0C9B138-B795-4E74-9C1C-67107656EF09}"/>
    <cellStyle name="Normal 4 2 2 3 2 2 2 6 3" xfId="10999" xr:uid="{186DBA10-54DC-4034-B0D0-257ABD7C27EB}"/>
    <cellStyle name="Normal 4 2 2 3 2 2 2 7" xfId="4723" xr:uid="{00000000-0005-0000-0000-000008120000}"/>
    <cellStyle name="Normal 4 2 2 3 2 2 2 7 2" xfId="13152" xr:uid="{9D85660A-35AF-4EA0-B420-85E2FA7D5B8F}"/>
    <cellStyle name="Normal 4 2 2 3 2 2 2 8" xfId="8934" xr:uid="{2106388A-9C9B-4772-BA40-4FA1884E57D9}"/>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0487E2F1-A49C-4C68-8254-487CB012EADC}"/>
    <cellStyle name="Normal 4 2 2 3 2 2 3 2 3" xfId="11491" xr:uid="{B80499A5-1601-41C9-8133-5D32432B93D3}"/>
    <cellStyle name="Normal 4 2 2 3 2 2 3 3" xfId="5135" xr:uid="{00000000-0005-0000-0000-00000C120000}"/>
    <cellStyle name="Normal 4 2 2 3 2 2 3 3 2" xfId="13564" xr:uid="{A917089B-09FE-4E75-9BCE-314BFAAEC6D6}"/>
    <cellStyle name="Normal 4 2 2 3 2 2 3 4" xfId="9346" xr:uid="{C0D6946C-C1EF-4B83-9223-7A98BA9A5C58}"/>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EEFEF7D5-8B23-4EB1-84AD-B95E849E7A07}"/>
    <cellStyle name="Normal 4 2 2 3 2 2 4 2 3" xfId="11904" xr:uid="{E024DD63-E4CF-41F7-86DD-7FAC0CF97142}"/>
    <cellStyle name="Normal 4 2 2 3 2 2 4 3" xfId="5548" xr:uid="{00000000-0005-0000-0000-000010120000}"/>
    <cellStyle name="Normal 4 2 2 3 2 2 4 3 2" xfId="13977" xr:uid="{8DFF350F-2A3D-4284-B337-7D69598B8089}"/>
    <cellStyle name="Normal 4 2 2 3 2 2 4 4" xfId="9759" xr:uid="{9C9CF027-6CF8-4E68-B608-61F9A1CF2E2D}"/>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0E3E57C4-71AB-41AC-A9AB-48E12C432834}"/>
    <cellStyle name="Normal 4 2 2 3 2 2 5 2 3" xfId="12317" xr:uid="{C9315FE9-BACE-42FF-8BE1-6813EFFC0BB6}"/>
    <cellStyle name="Normal 4 2 2 3 2 2 5 3" xfId="5961" xr:uid="{00000000-0005-0000-0000-000014120000}"/>
    <cellStyle name="Normal 4 2 2 3 2 2 5 3 2" xfId="14390" xr:uid="{968EC277-B03C-411A-9299-D4BBDC1937EF}"/>
    <cellStyle name="Normal 4 2 2 3 2 2 5 4" xfId="10172" xr:uid="{9426A873-E208-4D59-946B-CE91CCF1A628}"/>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D2616CF4-B5C7-4BA2-8A96-A4A5E5470709}"/>
    <cellStyle name="Normal 4 2 2 3 2 2 6 2 3" xfId="12730" xr:uid="{91520186-20E1-412B-93F5-8FDD1F9A944A}"/>
    <cellStyle name="Normal 4 2 2 3 2 2 6 3" xfId="6374" xr:uid="{00000000-0005-0000-0000-000018120000}"/>
    <cellStyle name="Normal 4 2 2 3 2 2 6 3 2" xfId="14803" xr:uid="{0087C3BD-7D9A-45AB-B236-777FCE49F5F1}"/>
    <cellStyle name="Normal 4 2 2 3 2 2 6 4" xfId="10585" xr:uid="{EFFB72AC-C691-40F1-9191-5DB87C1F4AB0}"/>
    <cellStyle name="Normal 4 2 2 3 2 2 7" xfId="2502" xr:uid="{00000000-0005-0000-0000-000019120000}"/>
    <cellStyle name="Normal 4 2 2 3 2 2 7 2" xfId="6787" xr:uid="{00000000-0005-0000-0000-00001A120000}"/>
    <cellStyle name="Normal 4 2 2 3 2 2 7 2 2" xfId="15216" xr:uid="{F27172BC-785B-4115-98D9-CA7E6B64340F}"/>
    <cellStyle name="Normal 4 2 2 3 2 2 7 3" xfId="10998" xr:uid="{F8B16889-A24A-41BB-9E84-2A3277C55D87}"/>
    <cellStyle name="Normal 4 2 2 3 2 2 8" xfId="4722" xr:uid="{00000000-0005-0000-0000-00001B120000}"/>
    <cellStyle name="Normal 4 2 2 3 2 2 8 2" xfId="13151" xr:uid="{62194CB9-BF12-4442-B18C-F3A326275EDA}"/>
    <cellStyle name="Normal 4 2 2 3 2 2 9" xfId="8933" xr:uid="{CFED15EC-7F57-4B08-BDD5-B87993A8D00E}"/>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1C04DD73-1700-4D7D-B534-76965D55EFA9}"/>
    <cellStyle name="Normal 4 2 2 3 2 3 2 2 3" xfId="11493" xr:uid="{7E1E3C5E-7126-409B-9CEC-DBA07FECAE58}"/>
    <cellStyle name="Normal 4 2 2 3 2 3 2 3" xfId="5137" xr:uid="{00000000-0005-0000-0000-000020120000}"/>
    <cellStyle name="Normal 4 2 2 3 2 3 2 3 2" xfId="13566" xr:uid="{BB47C8B0-5584-4050-99B9-D38BBE5B850E}"/>
    <cellStyle name="Normal 4 2 2 3 2 3 2 4" xfId="9348" xr:uid="{5A07CEC5-F079-4B9F-8342-0FCA434B7456}"/>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A060616D-526E-4A10-8B01-C77E362EE74F}"/>
    <cellStyle name="Normal 4 2 2 3 2 3 3 2 3" xfId="11906" xr:uid="{5E81A94D-DC3A-4CF2-BFEA-AFB4ADB13434}"/>
    <cellStyle name="Normal 4 2 2 3 2 3 3 3" xfId="5550" xr:uid="{00000000-0005-0000-0000-000024120000}"/>
    <cellStyle name="Normal 4 2 2 3 2 3 3 3 2" xfId="13979" xr:uid="{6B301DC8-552E-4A90-BF4B-88B5BF60AE2E}"/>
    <cellStyle name="Normal 4 2 2 3 2 3 3 4" xfId="9761" xr:uid="{99AF918F-F6B4-4692-9CDD-A60B254E023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206C2C01-5DDA-4C38-9563-8FF1FF854198}"/>
    <cellStyle name="Normal 4 2 2 3 2 3 4 2 3" xfId="12319" xr:uid="{8E27569F-221C-4D92-B4E2-6C7F8B11CE53}"/>
    <cellStyle name="Normal 4 2 2 3 2 3 4 3" xfId="5963" xr:uid="{00000000-0005-0000-0000-000028120000}"/>
    <cellStyle name="Normal 4 2 2 3 2 3 4 3 2" xfId="14392" xr:uid="{5E5A1E9A-C3BA-4CE4-9608-A61F1F28268F}"/>
    <cellStyle name="Normal 4 2 2 3 2 3 4 4" xfId="10174" xr:uid="{C25030D0-3B5B-4BB6-9679-FF62C5964FD3}"/>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640A7076-CBA7-423A-B208-39959C15F6CB}"/>
    <cellStyle name="Normal 4 2 2 3 2 3 5 2 3" xfId="12732" xr:uid="{B9F537CC-354D-4824-A48B-4E9C1725CB95}"/>
    <cellStyle name="Normal 4 2 2 3 2 3 5 3" xfId="6376" xr:uid="{00000000-0005-0000-0000-00002C120000}"/>
    <cellStyle name="Normal 4 2 2 3 2 3 5 3 2" xfId="14805" xr:uid="{CFE5EDD3-3E71-4FBA-A4ED-2097708EA5F7}"/>
    <cellStyle name="Normal 4 2 2 3 2 3 5 4" xfId="10587" xr:uid="{AED6BF0A-23C7-445B-97F3-5AEB3A96B20C}"/>
    <cellStyle name="Normal 4 2 2 3 2 3 6" xfId="2504" xr:uid="{00000000-0005-0000-0000-00002D120000}"/>
    <cellStyle name="Normal 4 2 2 3 2 3 6 2" xfId="6789" xr:uid="{00000000-0005-0000-0000-00002E120000}"/>
    <cellStyle name="Normal 4 2 2 3 2 3 6 2 2" xfId="15218" xr:uid="{E0BAC89B-4F0C-43A7-BD7C-D5BD7D0A4E62}"/>
    <cellStyle name="Normal 4 2 2 3 2 3 6 3" xfId="11000" xr:uid="{29C5172F-AEA9-4422-9A67-E1C2A9F00F6E}"/>
    <cellStyle name="Normal 4 2 2 3 2 3 7" xfId="4724" xr:uid="{00000000-0005-0000-0000-00002F120000}"/>
    <cellStyle name="Normal 4 2 2 3 2 3 7 2" xfId="13153" xr:uid="{FCD6D85A-4E3A-4AB7-B314-DD3F43EC592B}"/>
    <cellStyle name="Normal 4 2 2 3 2 3 8" xfId="8935" xr:uid="{FDE16C6E-4AA7-4145-AAB2-DE2D521D4D57}"/>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87A5EE96-513B-4C51-B900-9C0943B9F0A5}"/>
    <cellStyle name="Normal 4 2 2 3 2 4 2 3" xfId="11490" xr:uid="{6A62D0CC-4491-4FD6-AB49-EF9F8AC2ECAC}"/>
    <cellStyle name="Normal 4 2 2 3 2 4 3" xfId="5134" xr:uid="{00000000-0005-0000-0000-000033120000}"/>
    <cellStyle name="Normal 4 2 2 3 2 4 3 2" xfId="13563" xr:uid="{FEDABB1E-1593-4A5D-8723-28D86DD69E92}"/>
    <cellStyle name="Normal 4 2 2 3 2 4 4" xfId="9345" xr:uid="{795A5525-57B4-43FE-93A4-F26BE186838E}"/>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FDF35F2E-F721-41E3-808B-16850E1BE9B6}"/>
    <cellStyle name="Normal 4 2 2 3 2 5 2 3" xfId="11903" xr:uid="{1F9AF1FD-229E-493C-A6B0-958186CC9206}"/>
    <cellStyle name="Normal 4 2 2 3 2 5 3" xfId="5547" xr:uid="{00000000-0005-0000-0000-000037120000}"/>
    <cellStyle name="Normal 4 2 2 3 2 5 3 2" xfId="13976" xr:uid="{B7D44DFF-46FB-4AF3-94B8-4E21BC628E96}"/>
    <cellStyle name="Normal 4 2 2 3 2 5 4" xfId="9758" xr:uid="{2948B366-D110-4288-BD31-89D5A9BE587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74AD8C7E-29EC-4456-8ADC-EAA578CB19DF}"/>
    <cellStyle name="Normal 4 2 2 3 2 6 2 3" xfId="12316" xr:uid="{5D491753-156A-415C-815A-E0672928D35B}"/>
    <cellStyle name="Normal 4 2 2 3 2 6 3" xfId="5960" xr:uid="{00000000-0005-0000-0000-00003B120000}"/>
    <cellStyle name="Normal 4 2 2 3 2 6 3 2" xfId="14389" xr:uid="{0F707A3B-DAD8-414B-BB18-550B7164567D}"/>
    <cellStyle name="Normal 4 2 2 3 2 6 4" xfId="10171" xr:uid="{E09F344E-33E7-4896-A2B5-D0D2CB49CB2C}"/>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32A6BF6B-325C-4AE3-A9F0-11824D5F5499}"/>
    <cellStyle name="Normal 4 2 2 3 2 7 2 3" xfId="12729" xr:uid="{CC1D018E-9EFB-45E9-9F0D-9C9A8CC8AE3C}"/>
    <cellStyle name="Normal 4 2 2 3 2 7 3" xfId="6373" xr:uid="{00000000-0005-0000-0000-00003F120000}"/>
    <cellStyle name="Normal 4 2 2 3 2 7 3 2" xfId="14802" xr:uid="{9C35C68B-250D-42FF-ABCB-EBA97EF6A3EA}"/>
    <cellStyle name="Normal 4 2 2 3 2 7 4" xfId="10584" xr:uid="{AD5F6C68-5E41-433A-BBFB-E1AE777EABBF}"/>
    <cellStyle name="Normal 4 2 2 3 2 8" xfId="2501" xr:uid="{00000000-0005-0000-0000-000040120000}"/>
    <cellStyle name="Normal 4 2 2 3 2 8 2" xfId="6786" xr:uid="{00000000-0005-0000-0000-000041120000}"/>
    <cellStyle name="Normal 4 2 2 3 2 8 2 2" xfId="15215" xr:uid="{608F2707-788A-4470-8A67-B0189B02CC56}"/>
    <cellStyle name="Normal 4 2 2 3 2 8 3" xfId="10997" xr:uid="{2AC89F98-1F39-4660-A818-C9366E484371}"/>
    <cellStyle name="Normal 4 2 2 3 2 9" xfId="4721" xr:uid="{00000000-0005-0000-0000-000042120000}"/>
    <cellStyle name="Normal 4 2 2 3 2 9 2" xfId="13150" xr:uid="{53A376EF-D52F-478F-98C1-686F0B9048AC}"/>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A951B63D-C110-4F35-96BC-3EAD3238C231}"/>
    <cellStyle name="Normal 4 2 2 3 3 2 2 2 3" xfId="11495" xr:uid="{CE123135-FA9F-487D-A60B-4239815C5B64}"/>
    <cellStyle name="Normal 4 2 2 3 3 2 2 3" xfId="5139" xr:uid="{00000000-0005-0000-0000-000048120000}"/>
    <cellStyle name="Normal 4 2 2 3 3 2 2 3 2" xfId="13568" xr:uid="{6E1DC9E0-E247-49C3-A75E-1F039A7FE8B2}"/>
    <cellStyle name="Normal 4 2 2 3 3 2 2 4" xfId="9350" xr:uid="{F5764979-BB32-43EC-B6B2-E455D178379F}"/>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F53D8645-2E48-4F3A-84B1-F087007F35CB}"/>
    <cellStyle name="Normal 4 2 2 3 3 2 3 2 3" xfId="11908" xr:uid="{FE524103-1483-4AFC-9ACA-EA3EE9529860}"/>
    <cellStyle name="Normal 4 2 2 3 3 2 3 3" xfId="5552" xr:uid="{00000000-0005-0000-0000-00004C120000}"/>
    <cellStyle name="Normal 4 2 2 3 3 2 3 3 2" xfId="13981" xr:uid="{C3ED08CB-51FC-4880-96BA-BEDB454DA235}"/>
    <cellStyle name="Normal 4 2 2 3 3 2 3 4" xfId="9763" xr:uid="{FEC219AD-0F76-478F-89BF-60DC43168255}"/>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31CAB3D1-1483-45EC-879B-F431D3CC7FD0}"/>
    <cellStyle name="Normal 4 2 2 3 3 2 4 2 3" xfId="12321" xr:uid="{0671A0B6-2BF5-4F5A-BED0-7F7AED1EFFB1}"/>
    <cellStyle name="Normal 4 2 2 3 3 2 4 3" xfId="5965" xr:uid="{00000000-0005-0000-0000-000050120000}"/>
    <cellStyle name="Normal 4 2 2 3 3 2 4 3 2" xfId="14394" xr:uid="{5C3F909B-5E67-43A6-B067-83CDA8E8AA74}"/>
    <cellStyle name="Normal 4 2 2 3 3 2 4 4" xfId="10176" xr:uid="{9083CEEC-6C16-4958-9510-91519B7171EE}"/>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3C910000-1256-4970-A254-EFA955B449EC}"/>
    <cellStyle name="Normal 4 2 2 3 3 2 5 2 3" xfId="12734" xr:uid="{53722F56-5F12-40B9-A8D3-154B95D1D6CE}"/>
    <cellStyle name="Normal 4 2 2 3 3 2 5 3" xfId="6378" xr:uid="{00000000-0005-0000-0000-000054120000}"/>
    <cellStyle name="Normal 4 2 2 3 3 2 5 3 2" xfId="14807" xr:uid="{983A5C97-C3E5-47A8-B5F1-C4E8D4331403}"/>
    <cellStyle name="Normal 4 2 2 3 3 2 5 4" xfId="10589" xr:uid="{1B7D445B-9ADA-47F6-80F6-77BA7A72071F}"/>
    <cellStyle name="Normal 4 2 2 3 3 2 6" xfId="2506" xr:uid="{00000000-0005-0000-0000-000055120000}"/>
    <cellStyle name="Normal 4 2 2 3 3 2 6 2" xfId="6791" xr:uid="{00000000-0005-0000-0000-000056120000}"/>
    <cellStyle name="Normal 4 2 2 3 3 2 6 2 2" xfId="15220" xr:uid="{8A4FBA55-E418-497F-85E1-1ACB1D582DB0}"/>
    <cellStyle name="Normal 4 2 2 3 3 2 6 3" xfId="11002" xr:uid="{9FB0032F-03F6-4D88-8682-9048D7453FF0}"/>
    <cellStyle name="Normal 4 2 2 3 3 2 7" xfId="4726" xr:uid="{00000000-0005-0000-0000-000057120000}"/>
    <cellStyle name="Normal 4 2 2 3 3 2 7 2" xfId="13155" xr:uid="{65A400CD-5231-4AE3-B48B-EA5ABE5E313B}"/>
    <cellStyle name="Normal 4 2 2 3 3 2 8" xfId="8937" xr:uid="{2611DD34-D975-464D-8E91-ADED22AD4DA6}"/>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6FBBBC89-5BAD-4286-B81F-8365968B6BD7}"/>
    <cellStyle name="Normal 4 2 2 3 3 3 2 3" xfId="11494" xr:uid="{6249D859-AEEE-43C3-A489-33CE8AC45182}"/>
    <cellStyle name="Normal 4 2 2 3 3 3 3" xfId="5138" xr:uid="{00000000-0005-0000-0000-00005B120000}"/>
    <cellStyle name="Normal 4 2 2 3 3 3 3 2" xfId="13567" xr:uid="{36D0D8AF-C9FF-4AF1-BE94-E47AE205C67D}"/>
    <cellStyle name="Normal 4 2 2 3 3 3 4" xfId="9349" xr:uid="{40BC080A-CF1E-4A02-88DA-EB2DA85E6A02}"/>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11D797B1-6583-4357-BFD0-C3CDE0E6EF85}"/>
    <cellStyle name="Normal 4 2 2 3 3 4 2 3" xfId="11907" xr:uid="{1FE7767F-5C30-4C28-AF45-63EE3E196C3F}"/>
    <cellStyle name="Normal 4 2 2 3 3 4 3" xfId="5551" xr:uid="{00000000-0005-0000-0000-00005F120000}"/>
    <cellStyle name="Normal 4 2 2 3 3 4 3 2" xfId="13980" xr:uid="{8248CD3B-73AE-41B3-84DD-46B4042AFFB4}"/>
    <cellStyle name="Normal 4 2 2 3 3 4 4" xfId="9762" xr:uid="{C97A6721-E7DA-42D6-951B-945D251BB873}"/>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FDBC83FF-3B8B-4D48-B14B-61F6184B1720}"/>
    <cellStyle name="Normal 4 2 2 3 3 5 2 3" xfId="12320" xr:uid="{2D65227D-F698-4988-8C9B-07C2D4CEA001}"/>
    <cellStyle name="Normal 4 2 2 3 3 5 3" xfId="5964" xr:uid="{00000000-0005-0000-0000-000063120000}"/>
    <cellStyle name="Normal 4 2 2 3 3 5 3 2" xfId="14393" xr:uid="{10D6423F-1CA8-455B-B89D-5B935DB86DF6}"/>
    <cellStyle name="Normal 4 2 2 3 3 5 4" xfId="10175" xr:uid="{B1B20002-4D45-4106-8574-6C685E2E5874}"/>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DBBF4187-8989-4CA2-8D7D-0D5A06A89E90}"/>
    <cellStyle name="Normal 4 2 2 3 3 6 2 3" xfId="12733" xr:uid="{20F3F788-F406-45C9-B84D-1C4B24FCE552}"/>
    <cellStyle name="Normal 4 2 2 3 3 6 3" xfId="6377" xr:uid="{00000000-0005-0000-0000-000067120000}"/>
    <cellStyle name="Normal 4 2 2 3 3 6 3 2" xfId="14806" xr:uid="{82A6F5A7-A96B-4CA6-983C-08DECFBC74C9}"/>
    <cellStyle name="Normal 4 2 2 3 3 6 4" xfId="10588" xr:uid="{D25332C6-AAE4-427A-B242-96E355DC0F51}"/>
    <cellStyle name="Normal 4 2 2 3 3 7" xfId="2505" xr:uid="{00000000-0005-0000-0000-000068120000}"/>
    <cellStyle name="Normal 4 2 2 3 3 7 2" xfId="6790" xr:uid="{00000000-0005-0000-0000-000069120000}"/>
    <cellStyle name="Normal 4 2 2 3 3 7 2 2" xfId="15219" xr:uid="{1743C55B-1B83-4DF0-8F41-8A114D421FFB}"/>
    <cellStyle name="Normal 4 2 2 3 3 7 3" xfId="11001" xr:uid="{F327C025-6399-4DD5-B962-C9731CEC42D5}"/>
    <cellStyle name="Normal 4 2 2 3 3 8" xfId="4725" xr:uid="{00000000-0005-0000-0000-00006A120000}"/>
    <cellStyle name="Normal 4 2 2 3 3 8 2" xfId="13154" xr:uid="{EDCD61B8-D027-4C88-A517-54681637816D}"/>
    <cellStyle name="Normal 4 2 2 3 3 9" xfId="8936" xr:uid="{D161E02F-0397-49B7-B14A-10A8146378F1}"/>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BFFB28E7-65E2-49ED-9DA8-FB8A44631FBC}"/>
    <cellStyle name="Normal 4 2 2 3 4 2 2 3" xfId="11496" xr:uid="{2B2758AE-5F1D-4368-87D8-F959DBFA2241}"/>
    <cellStyle name="Normal 4 2 2 3 4 2 3" xfId="5140" xr:uid="{00000000-0005-0000-0000-00006F120000}"/>
    <cellStyle name="Normal 4 2 2 3 4 2 3 2" xfId="13569" xr:uid="{10F244BB-F88B-4348-9AA2-83F6A0DDB078}"/>
    <cellStyle name="Normal 4 2 2 3 4 2 4" xfId="9351" xr:uid="{FD48DB03-EAC0-45BA-96B9-4540B0CD937D}"/>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36DD395F-E0B5-49BC-90B3-54DC1D05FC69}"/>
    <cellStyle name="Normal 4 2 2 3 4 3 2 3" xfId="11909" xr:uid="{130DB2CB-9959-43FE-849F-04452CCB0B51}"/>
    <cellStyle name="Normal 4 2 2 3 4 3 3" xfId="5553" xr:uid="{00000000-0005-0000-0000-000073120000}"/>
    <cellStyle name="Normal 4 2 2 3 4 3 3 2" xfId="13982" xr:uid="{D6ADF0A4-4B29-41F9-B513-A58418DB0A44}"/>
    <cellStyle name="Normal 4 2 2 3 4 3 4" xfId="9764" xr:uid="{57972D17-6352-44B5-A6B6-FB3083138D54}"/>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50E1BD51-5DBE-427B-A290-CC162FB9836F}"/>
    <cellStyle name="Normal 4 2 2 3 4 4 2 3" xfId="12322" xr:uid="{1E28878B-6589-405F-A883-9DEC3188C057}"/>
    <cellStyle name="Normal 4 2 2 3 4 4 3" xfId="5966" xr:uid="{00000000-0005-0000-0000-000077120000}"/>
    <cellStyle name="Normal 4 2 2 3 4 4 3 2" xfId="14395" xr:uid="{24F6B458-4359-4100-8975-B3A16801D3BB}"/>
    <cellStyle name="Normal 4 2 2 3 4 4 4" xfId="10177" xr:uid="{E8606FDE-744B-4B25-A9C3-3B06D63A9E4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EA96EEDF-29AA-4BA1-8B8F-E045F9E43067}"/>
    <cellStyle name="Normal 4 2 2 3 4 5 2 3" xfId="12735" xr:uid="{0D508AA1-4380-46D9-914C-69C7654E447E}"/>
    <cellStyle name="Normal 4 2 2 3 4 5 3" xfId="6379" xr:uid="{00000000-0005-0000-0000-00007B120000}"/>
    <cellStyle name="Normal 4 2 2 3 4 5 3 2" xfId="14808" xr:uid="{8E2CCF9F-67CA-4CD9-B94C-D9F765AA68BE}"/>
    <cellStyle name="Normal 4 2 2 3 4 5 4" xfId="10590" xr:uid="{F81DC8AF-DDCF-45A6-908A-1C789049498F}"/>
    <cellStyle name="Normal 4 2 2 3 4 6" xfId="2507" xr:uid="{00000000-0005-0000-0000-00007C120000}"/>
    <cellStyle name="Normal 4 2 2 3 4 6 2" xfId="6792" xr:uid="{00000000-0005-0000-0000-00007D120000}"/>
    <cellStyle name="Normal 4 2 2 3 4 6 2 2" xfId="15221" xr:uid="{F81F1446-2E8A-4916-9DD6-F3A5FB1E3DF5}"/>
    <cellStyle name="Normal 4 2 2 3 4 6 3" xfId="11003" xr:uid="{AF4F6CA9-93F7-4613-BAB1-C81E6AB8430B}"/>
    <cellStyle name="Normal 4 2 2 3 4 7" xfId="4727" xr:uid="{00000000-0005-0000-0000-00007E120000}"/>
    <cellStyle name="Normal 4 2 2 3 4 7 2" xfId="13156" xr:uid="{274A2C7F-9F50-45E3-BDE7-380D28EA5791}"/>
    <cellStyle name="Normal 4 2 2 3 4 8" xfId="8938" xr:uid="{6AB10B56-BB0B-48A2-A3A0-6AA531089626}"/>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72ED1863-1B98-41B3-BAE2-AB00774EAE3C}"/>
    <cellStyle name="Normal 4 2 2 3 5 2 3" xfId="11489" xr:uid="{8E826846-860C-4181-AC5C-57B88B19BB58}"/>
    <cellStyle name="Normal 4 2 2 3 5 3" xfId="5133" xr:uid="{00000000-0005-0000-0000-000082120000}"/>
    <cellStyle name="Normal 4 2 2 3 5 3 2" xfId="13562" xr:uid="{F8002250-2F07-4B60-9DCB-112C07FB995F}"/>
    <cellStyle name="Normal 4 2 2 3 5 4" xfId="9344" xr:uid="{F1234B77-4B18-40A3-81FE-2EF266CA4CB4}"/>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53D21226-D1B3-4EF7-B0AE-98344C610021}"/>
    <cellStyle name="Normal 4 2 2 3 6 2 3" xfId="11902" xr:uid="{99F996F5-7AF8-4573-B240-2413D1AE4344}"/>
    <cellStyle name="Normal 4 2 2 3 6 3" xfId="5546" xr:uid="{00000000-0005-0000-0000-000086120000}"/>
    <cellStyle name="Normal 4 2 2 3 6 3 2" xfId="13975" xr:uid="{92172878-FF8E-49DF-9E83-8254C5327A67}"/>
    <cellStyle name="Normal 4 2 2 3 6 4" xfId="9757" xr:uid="{A1096D72-2A43-4E36-B957-8BA0E6657C9F}"/>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59BF9469-6CB9-440A-B2A3-26ABC54BFE2E}"/>
    <cellStyle name="Normal 4 2 2 3 7 2 3" xfId="12315" xr:uid="{E6E2BF8B-744F-4DE6-B40E-D4BB02CDF4E0}"/>
    <cellStyle name="Normal 4 2 2 3 7 3" xfId="5959" xr:uid="{00000000-0005-0000-0000-00008A120000}"/>
    <cellStyle name="Normal 4 2 2 3 7 3 2" xfId="14388" xr:uid="{E8F2E5A6-5C4C-4F8F-8B29-2FE902A6BBBA}"/>
    <cellStyle name="Normal 4 2 2 3 7 4" xfId="10170" xr:uid="{1D94B5E9-8BFA-479C-BB35-6E818AC4CB7A}"/>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41F1C793-ACCD-48F8-B25C-37968924049A}"/>
    <cellStyle name="Normal 4 2 2 3 8 2 3" xfId="12728" xr:uid="{9D6E70D9-E0C6-4A00-906E-58840F5B100A}"/>
    <cellStyle name="Normal 4 2 2 3 8 3" xfId="6372" xr:uid="{00000000-0005-0000-0000-00008E120000}"/>
    <cellStyle name="Normal 4 2 2 3 8 3 2" xfId="14801" xr:uid="{DC09E5C5-E4BE-4FDE-86B9-E0C02B2DE2E5}"/>
    <cellStyle name="Normal 4 2 2 3 8 4" xfId="10583" xr:uid="{9C53BFEC-E622-4A44-B118-B6CC5FEBF56B}"/>
    <cellStyle name="Normal 4 2 2 3 9" xfId="2500" xr:uid="{00000000-0005-0000-0000-00008F120000}"/>
    <cellStyle name="Normal 4 2 2 3 9 2" xfId="6785" xr:uid="{00000000-0005-0000-0000-000090120000}"/>
    <cellStyle name="Normal 4 2 2 3 9 2 2" xfId="15214" xr:uid="{441D350F-0CB2-4C0A-A5E2-1EFA2A287220}"/>
    <cellStyle name="Normal 4 2 2 3 9 3" xfId="10996" xr:uid="{B3534393-F6CB-4081-8D6D-032FD0FD3692}"/>
    <cellStyle name="Normal 4 2 2 4" xfId="347" xr:uid="{00000000-0005-0000-0000-000091120000}"/>
    <cellStyle name="Normal 4 2 2 4 10" xfId="8939" xr:uid="{4C152D0D-F535-4B9D-A6CD-902BF63DF344}"/>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11522FC3-F17C-4EF0-A5FA-8D58139AA6D2}"/>
    <cellStyle name="Normal 4 2 2 4 2 2 2 2 3" xfId="11499" xr:uid="{8C4BD500-4257-4538-B4FB-27C341EC30F1}"/>
    <cellStyle name="Normal 4 2 2 4 2 2 2 3" xfId="5143" xr:uid="{00000000-0005-0000-0000-000097120000}"/>
    <cellStyle name="Normal 4 2 2 4 2 2 2 3 2" xfId="13572" xr:uid="{7A6418EE-C792-4A2D-9A32-1A8714FA34ED}"/>
    <cellStyle name="Normal 4 2 2 4 2 2 2 4" xfId="9354" xr:uid="{CB88434C-3CF7-470B-8910-7716335F979F}"/>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89272EA1-0BB2-4610-A64F-70F072002CE7}"/>
    <cellStyle name="Normal 4 2 2 4 2 2 3 2 3" xfId="11912" xr:uid="{A37A4A6A-78EA-4911-961F-51B4DF532CA1}"/>
    <cellStyle name="Normal 4 2 2 4 2 2 3 3" xfId="5556" xr:uid="{00000000-0005-0000-0000-00009B120000}"/>
    <cellStyle name="Normal 4 2 2 4 2 2 3 3 2" xfId="13985" xr:uid="{165F5629-522B-4299-8786-9689061990C0}"/>
    <cellStyle name="Normal 4 2 2 4 2 2 3 4" xfId="9767" xr:uid="{D212425D-46A8-4EF1-A91E-46983C3E4EAE}"/>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3AAAA1F2-C8FD-4F8C-A648-57835D1E73CD}"/>
    <cellStyle name="Normal 4 2 2 4 2 2 4 2 3" xfId="12325" xr:uid="{1E44A7F0-C181-4271-BDE0-45E21DF6B7CE}"/>
    <cellStyle name="Normal 4 2 2 4 2 2 4 3" xfId="5969" xr:uid="{00000000-0005-0000-0000-00009F120000}"/>
    <cellStyle name="Normal 4 2 2 4 2 2 4 3 2" xfId="14398" xr:uid="{979D0096-1255-439D-A044-DB3728424EAA}"/>
    <cellStyle name="Normal 4 2 2 4 2 2 4 4" xfId="10180" xr:uid="{3C2032BE-5E4E-4D96-8C59-A00B26427DB5}"/>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710C11CE-EEF7-416A-9CFA-94E590851E2B}"/>
    <cellStyle name="Normal 4 2 2 4 2 2 5 2 3" xfId="12738" xr:uid="{ED3DDA02-E8A1-4149-88E7-0B766F6FBFC6}"/>
    <cellStyle name="Normal 4 2 2 4 2 2 5 3" xfId="6382" xr:uid="{00000000-0005-0000-0000-0000A3120000}"/>
    <cellStyle name="Normal 4 2 2 4 2 2 5 3 2" xfId="14811" xr:uid="{8684BB90-A973-420A-AF88-D56C79AA6324}"/>
    <cellStyle name="Normal 4 2 2 4 2 2 5 4" xfId="10593" xr:uid="{94A2E144-BA61-4850-A6A7-A15CAEB46FD2}"/>
    <cellStyle name="Normal 4 2 2 4 2 2 6" xfId="2510" xr:uid="{00000000-0005-0000-0000-0000A4120000}"/>
    <cellStyle name="Normal 4 2 2 4 2 2 6 2" xfId="6795" xr:uid="{00000000-0005-0000-0000-0000A5120000}"/>
    <cellStyle name="Normal 4 2 2 4 2 2 6 2 2" xfId="15224" xr:uid="{5ECFCC82-E778-47B0-A3D0-DD8DE2C9C3D5}"/>
    <cellStyle name="Normal 4 2 2 4 2 2 6 3" xfId="11006" xr:uid="{64421C0E-B658-4D2D-8A92-DDC0A8C4E88C}"/>
    <cellStyle name="Normal 4 2 2 4 2 2 7" xfId="4730" xr:uid="{00000000-0005-0000-0000-0000A6120000}"/>
    <cellStyle name="Normal 4 2 2 4 2 2 7 2" xfId="13159" xr:uid="{E6B5DEE0-E733-45C7-9145-42160796C956}"/>
    <cellStyle name="Normal 4 2 2 4 2 2 8" xfId="8941" xr:uid="{D603EF1D-ED3B-4ED5-A53E-4C98EC01506A}"/>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8FDD22C6-3A00-4B85-9499-DF666A82BFBC}"/>
    <cellStyle name="Normal 4 2 2 4 2 3 2 3" xfId="11498" xr:uid="{77F68348-E8AC-4472-8443-E6DAFF9DB8E7}"/>
    <cellStyle name="Normal 4 2 2 4 2 3 3" xfId="5142" xr:uid="{00000000-0005-0000-0000-0000AA120000}"/>
    <cellStyle name="Normal 4 2 2 4 2 3 3 2" xfId="13571" xr:uid="{3D3BE3C6-9608-40F6-BA04-37F05B1F14DA}"/>
    <cellStyle name="Normal 4 2 2 4 2 3 4" xfId="9353" xr:uid="{D690B4B5-DEB1-4DF7-9D1A-D5D1C42A57B1}"/>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66B3EF7B-5D36-4C47-98EF-12DB3AF1C75A}"/>
    <cellStyle name="Normal 4 2 2 4 2 4 2 3" xfId="11911" xr:uid="{E51A5159-B6AD-451E-BCEF-490B9A5043FB}"/>
    <cellStyle name="Normal 4 2 2 4 2 4 3" xfId="5555" xr:uid="{00000000-0005-0000-0000-0000AE120000}"/>
    <cellStyle name="Normal 4 2 2 4 2 4 3 2" xfId="13984" xr:uid="{EB03B9A7-C848-45F6-94AF-49751FB33B8F}"/>
    <cellStyle name="Normal 4 2 2 4 2 4 4" xfId="9766" xr:uid="{72303BA0-D51F-4746-8BE1-98C3E135B746}"/>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AC750FF9-8C59-4011-ABD3-5F72D4B4EAC8}"/>
    <cellStyle name="Normal 4 2 2 4 2 5 2 3" xfId="12324" xr:uid="{16833CCA-1FC5-4561-A007-98675C103383}"/>
    <cellStyle name="Normal 4 2 2 4 2 5 3" xfId="5968" xr:uid="{00000000-0005-0000-0000-0000B2120000}"/>
    <cellStyle name="Normal 4 2 2 4 2 5 3 2" xfId="14397" xr:uid="{F9E4F151-11A6-4A9B-BFDC-CE83A8615D64}"/>
    <cellStyle name="Normal 4 2 2 4 2 5 4" xfId="10179" xr:uid="{2D39AEE6-4CE5-4327-9CF1-FFF7CED40839}"/>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D871F9BD-228B-4D11-9D40-CD9B6D268CB6}"/>
    <cellStyle name="Normal 4 2 2 4 2 6 2 3" xfId="12737" xr:uid="{F6A45AB0-D491-48CD-A195-E8409D856217}"/>
    <cellStyle name="Normal 4 2 2 4 2 6 3" xfId="6381" xr:uid="{00000000-0005-0000-0000-0000B6120000}"/>
    <cellStyle name="Normal 4 2 2 4 2 6 3 2" xfId="14810" xr:uid="{F73930B2-D213-4E91-B1FF-D31709DED403}"/>
    <cellStyle name="Normal 4 2 2 4 2 6 4" xfId="10592" xr:uid="{AA12086D-0FB2-4CD1-96F1-39A9208B3ABA}"/>
    <cellStyle name="Normal 4 2 2 4 2 7" xfId="2509" xr:uid="{00000000-0005-0000-0000-0000B7120000}"/>
    <cellStyle name="Normal 4 2 2 4 2 7 2" xfId="6794" xr:uid="{00000000-0005-0000-0000-0000B8120000}"/>
    <cellStyle name="Normal 4 2 2 4 2 7 2 2" xfId="15223" xr:uid="{3D9E5BE0-88C5-4575-ABDA-55E07E59FDDB}"/>
    <cellStyle name="Normal 4 2 2 4 2 7 3" xfId="11005" xr:uid="{A931CCEA-74E5-4A9B-B63E-1A2E5B6E8074}"/>
    <cellStyle name="Normal 4 2 2 4 2 8" xfId="4729" xr:uid="{00000000-0005-0000-0000-0000B9120000}"/>
    <cellStyle name="Normal 4 2 2 4 2 8 2" xfId="13158" xr:uid="{1BFC7851-FA65-4318-9721-B0E8ACF7A216}"/>
    <cellStyle name="Normal 4 2 2 4 2 9" xfId="8940" xr:uid="{CAE8D156-8A1C-420D-A311-8E1A52A651A2}"/>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F9AF9F2E-1010-4557-A613-8E6E4C336B9C}"/>
    <cellStyle name="Normal 4 2 2 4 3 2 2 3" xfId="11500" xr:uid="{E520B6C7-87B8-478B-94BE-5479A60B4BA8}"/>
    <cellStyle name="Normal 4 2 2 4 3 2 3" xfId="5144" xr:uid="{00000000-0005-0000-0000-0000BE120000}"/>
    <cellStyle name="Normal 4 2 2 4 3 2 3 2" xfId="13573" xr:uid="{9C1FE623-992A-4CA8-8C0D-FA12A6208827}"/>
    <cellStyle name="Normal 4 2 2 4 3 2 4" xfId="9355" xr:uid="{5D090A72-C76E-418F-88AE-C914B06728B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6E4DE3AA-CC75-4795-908B-D36E05022428}"/>
    <cellStyle name="Normal 4 2 2 4 3 3 2 3" xfId="11913" xr:uid="{99D05487-F489-497C-8220-66D0D38597DC}"/>
    <cellStyle name="Normal 4 2 2 4 3 3 3" xfId="5557" xr:uid="{00000000-0005-0000-0000-0000C2120000}"/>
    <cellStyle name="Normal 4 2 2 4 3 3 3 2" xfId="13986" xr:uid="{B6EECDD9-3F18-4D45-AFFF-2AE50F495EF5}"/>
    <cellStyle name="Normal 4 2 2 4 3 3 4" xfId="9768" xr:uid="{59464EC0-9013-4015-AAF5-EBA74C14193F}"/>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3A12FB7C-9260-453B-939A-D9A7B41EBC7F}"/>
    <cellStyle name="Normal 4 2 2 4 3 4 2 3" xfId="12326" xr:uid="{78865E0A-D7C7-43DB-8273-35500CC44579}"/>
    <cellStyle name="Normal 4 2 2 4 3 4 3" xfId="5970" xr:uid="{00000000-0005-0000-0000-0000C6120000}"/>
    <cellStyle name="Normal 4 2 2 4 3 4 3 2" xfId="14399" xr:uid="{2D72E53A-7978-4D76-9756-EE81A6B12DBA}"/>
    <cellStyle name="Normal 4 2 2 4 3 4 4" xfId="10181" xr:uid="{2591857B-ACB7-4531-8339-5AB16C1CE3AD}"/>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F73F34C8-C857-4885-95DB-201FEACC1199}"/>
    <cellStyle name="Normal 4 2 2 4 3 5 2 3" xfId="12739" xr:uid="{972A64D1-67E5-401F-937D-E343B2F05EDC}"/>
    <cellStyle name="Normal 4 2 2 4 3 5 3" xfId="6383" xr:uid="{00000000-0005-0000-0000-0000CA120000}"/>
    <cellStyle name="Normal 4 2 2 4 3 5 3 2" xfId="14812" xr:uid="{0CB63E3E-AF37-4F1D-8695-7B92493DFC06}"/>
    <cellStyle name="Normal 4 2 2 4 3 5 4" xfId="10594" xr:uid="{141F95C5-0D18-4CCE-966B-3B3678526D7B}"/>
    <cellStyle name="Normal 4 2 2 4 3 6" xfId="2511" xr:uid="{00000000-0005-0000-0000-0000CB120000}"/>
    <cellStyle name="Normal 4 2 2 4 3 6 2" xfId="6796" xr:uid="{00000000-0005-0000-0000-0000CC120000}"/>
    <cellStyle name="Normal 4 2 2 4 3 6 2 2" xfId="15225" xr:uid="{CF378960-9A5C-44BC-88B6-E811E9392FF5}"/>
    <cellStyle name="Normal 4 2 2 4 3 6 3" xfId="11007" xr:uid="{198820A5-61EA-48B5-8409-DE64D0FA067F}"/>
    <cellStyle name="Normal 4 2 2 4 3 7" xfId="4731" xr:uid="{00000000-0005-0000-0000-0000CD120000}"/>
    <cellStyle name="Normal 4 2 2 4 3 7 2" xfId="13160" xr:uid="{150ECA93-8F79-4806-B3F1-9FFEDAD7E8CD}"/>
    <cellStyle name="Normal 4 2 2 4 3 8" xfId="8942" xr:uid="{9CDC5E89-DA20-449D-BD09-6A56B5742296}"/>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41E3550E-D95A-48E6-B4E5-6F4BE6EEC5A9}"/>
    <cellStyle name="Normal 4 2 2 4 4 2 3" xfId="11497" xr:uid="{29E6A2B8-C729-4758-96EB-4C7B4E975036}"/>
    <cellStyle name="Normal 4 2 2 4 4 3" xfId="5141" xr:uid="{00000000-0005-0000-0000-0000D1120000}"/>
    <cellStyle name="Normal 4 2 2 4 4 3 2" xfId="13570" xr:uid="{CD20BF48-A1D1-4F1A-B37F-6D3EE851FBB6}"/>
    <cellStyle name="Normal 4 2 2 4 4 4" xfId="9352" xr:uid="{8C779D81-F00A-4ADD-8A8D-862AA4FDD0F5}"/>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D94BDBEE-4868-45C4-AA27-58900C0DFEC2}"/>
    <cellStyle name="Normal 4 2 2 4 5 2 3" xfId="11910" xr:uid="{52EAF81D-CF17-4FAB-888A-BE3EF0C0EFE5}"/>
    <cellStyle name="Normal 4 2 2 4 5 3" xfId="5554" xr:uid="{00000000-0005-0000-0000-0000D5120000}"/>
    <cellStyle name="Normal 4 2 2 4 5 3 2" xfId="13983" xr:uid="{D839092A-3FBC-4BD7-8CF7-E90F3D70FD17}"/>
    <cellStyle name="Normal 4 2 2 4 5 4" xfId="9765" xr:uid="{E6C3F6D2-DD45-4FD3-8F37-6C1E8A7AEDBB}"/>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D43BCF03-045D-44B4-AD66-1032E0836A18}"/>
    <cellStyle name="Normal 4 2 2 4 6 2 3" xfId="12323" xr:uid="{BDD0874A-B01A-4C18-8D44-53D9ECF912D0}"/>
    <cellStyle name="Normal 4 2 2 4 6 3" xfId="5967" xr:uid="{00000000-0005-0000-0000-0000D9120000}"/>
    <cellStyle name="Normal 4 2 2 4 6 3 2" xfId="14396" xr:uid="{F6DA362C-513C-4365-9552-41A6ADD6429D}"/>
    <cellStyle name="Normal 4 2 2 4 6 4" xfId="10178" xr:uid="{41902EE7-F46E-4FA7-9044-749B193D1A50}"/>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0DE7A866-4299-46E8-B655-C1A52FCE3FE0}"/>
    <cellStyle name="Normal 4 2 2 4 7 2 3" xfId="12736" xr:uid="{E7213A95-46B6-41E0-959A-33F94B1E0800}"/>
    <cellStyle name="Normal 4 2 2 4 7 3" xfId="6380" xr:uid="{00000000-0005-0000-0000-0000DD120000}"/>
    <cellStyle name="Normal 4 2 2 4 7 3 2" xfId="14809" xr:uid="{D162FF8F-DF71-4D24-89E3-DEE565D62EF3}"/>
    <cellStyle name="Normal 4 2 2 4 7 4" xfId="10591" xr:uid="{60A624DD-9E11-4D7B-9B7F-9A1580708409}"/>
    <cellStyle name="Normal 4 2 2 4 8" xfId="2508" xr:uid="{00000000-0005-0000-0000-0000DE120000}"/>
    <cellStyle name="Normal 4 2 2 4 8 2" xfId="6793" xr:uid="{00000000-0005-0000-0000-0000DF120000}"/>
    <cellStyle name="Normal 4 2 2 4 8 2 2" xfId="15222" xr:uid="{D4D0A24A-B686-4392-B211-183B78599451}"/>
    <cellStyle name="Normal 4 2 2 4 8 3" xfId="11004" xr:uid="{8EDC13A8-18BB-43B1-9AD1-8D4E230D69DD}"/>
    <cellStyle name="Normal 4 2 2 4 9" xfId="4728" xr:uid="{00000000-0005-0000-0000-0000E0120000}"/>
    <cellStyle name="Normal 4 2 2 4 9 2" xfId="13157" xr:uid="{AD7B5A55-E310-47D6-8BAE-B5B8CA2E8C1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A2E4C4C1-E944-407E-ABAE-4C85E64BE747}"/>
    <cellStyle name="Normal 4 2 2 5 2 2 2 3" xfId="11502" xr:uid="{CC808939-BA26-470F-BAA2-D8E6A17D68D7}"/>
    <cellStyle name="Normal 4 2 2 5 2 2 3" xfId="5146" xr:uid="{00000000-0005-0000-0000-0000E6120000}"/>
    <cellStyle name="Normal 4 2 2 5 2 2 3 2" xfId="13575" xr:uid="{37093A10-0E95-44CE-B3C9-4A888F8182D0}"/>
    <cellStyle name="Normal 4 2 2 5 2 2 4" xfId="9357" xr:uid="{F5F5F674-363B-43BE-BAE4-024B83910BDD}"/>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FCF312FB-AB26-4F2C-83F4-DF95FB3532A9}"/>
    <cellStyle name="Normal 4 2 2 5 2 3 2 3" xfId="11915" xr:uid="{26C17A3A-0F15-4CEC-9EA0-0F317DF42659}"/>
    <cellStyle name="Normal 4 2 2 5 2 3 3" xfId="5559" xr:uid="{00000000-0005-0000-0000-0000EA120000}"/>
    <cellStyle name="Normal 4 2 2 5 2 3 3 2" xfId="13988" xr:uid="{5350C036-105C-4BB2-80B2-29FD52D5419D}"/>
    <cellStyle name="Normal 4 2 2 5 2 3 4" xfId="9770" xr:uid="{8A55C7E8-D481-441D-A46B-78416D390F3D}"/>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BB219B6C-4F37-4CC8-B361-29724914677D}"/>
    <cellStyle name="Normal 4 2 2 5 2 4 2 3" xfId="12328" xr:uid="{01443C32-EBB0-4EAC-8186-C1EA40C3D73B}"/>
    <cellStyle name="Normal 4 2 2 5 2 4 3" xfId="5972" xr:uid="{00000000-0005-0000-0000-0000EE120000}"/>
    <cellStyle name="Normal 4 2 2 5 2 4 3 2" xfId="14401" xr:uid="{ED76A6B7-28AD-498E-BC7D-0EDEDAEB6107}"/>
    <cellStyle name="Normal 4 2 2 5 2 4 4" xfId="10183" xr:uid="{F47ED823-1B1A-4F66-8BA3-33CB2C8C9647}"/>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DC5BEA0D-FE13-4ADA-832F-BF86D3EE858E}"/>
    <cellStyle name="Normal 4 2 2 5 2 5 2 3" xfId="12741" xr:uid="{B0D63A18-D978-4D12-9A1C-27B4DBBF2E78}"/>
    <cellStyle name="Normal 4 2 2 5 2 5 3" xfId="6385" xr:uid="{00000000-0005-0000-0000-0000F2120000}"/>
    <cellStyle name="Normal 4 2 2 5 2 5 3 2" xfId="14814" xr:uid="{5CE3D6F5-CB86-4C51-83C7-15D6EFD1E115}"/>
    <cellStyle name="Normal 4 2 2 5 2 5 4" xfId="10596" xr:uid="{EEF23422-B05E-4AB7-832A-CD32C65FAF58}"/>
    <cellStyle name="Normal 4 2 2 5 2 6" xfId="2513" xr:uid="{00000000-0005-0000-0000-0000F3120000}"/>
    <cellStyle name="Normal 4 2 2 5 2 6 2" xfId="6798" xr:uid="{00000000-0005-0000-0000-0000F4120000}"/>
    <cellStyle name="Normal 4 2 2 5 2 6 2 2" xfId="15227" xr:uid="{D36FBC1D-ABA8-41F4-9D1C-E5E8BE4083A4}"/>
    <cellStyle name="Normal 4 2 2 5 2 6 3" xfId="11009" xr:uid="{E4CC0B50-6C3E-475F-B72A-3516B4A34253}"/>
    <cellStyle name="Normal 4 2 2 5 2 7" xfId="4733" xr:uid="{00000000-0005-0000-0000-0000F5120000}"/>
    <cellStyle name="Normal 4 2 2 5 2 7 2" xfId="13162" xr:uid="{D8529F6D-E4D2-43FF-98AF-A9A81A427203}"/>
    <cellStyle name="Normal 4 2 2 5 2 8" xfId="8944" xr:uid="{B3A0B9D1-D814-4462-8EAD-486BD6E3FA3D}"/>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785AF2CB-7399-49E1-A921-42A8BB04B737}"/>
    <cellStyle name="Normal 4 2 2 5 3 2 3" xfId="11501" xr:uid="{5AC62111-45AA-40D0-99B9-F62B15BBDB71}"/>
    <cellStyle name="Normal 4 2 2 5 3 3" xfId="5145" xr:uid="{00000000-0005-0000-0000-0000F9120000}"/>
    <cellStyle name="Normal 4 2 2 5 3 3 2" xfId="13574" xr:uid="{BE140011-1942-46AF-B963-02D1E04BB318}"/>
    <cellStyle name="Normal 4 2 2 5 3 4" xfId="9356" xr:uid="{3FE741B5-8A7B-4878-885A-279E93C441C3}"/>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478D70AB-687A-4EF1-B596-170A1B4AFF76}"/>
    <cellStyle name="Normal 4 2 2 5 4 2 3" xfId="11914" xr:uid="{D330BC9C-B270-4AB6-82BD-5A3A91BFF8D7}"/>
    <cellStyle name="Normal 4 2 2 5 4 3" xfId="5558" xr:uid="{00000000-0005-0000-0000-0000FD120000}"/>
    <cellStyle name="Normal 4 2 2 5 4 3 2" xfId="13987" xr:uid="{B243964E-52EE-4582-9991-3C9E5B6C0E13}"/>
    <cellStyle name="Normal 4 2 2 5 4 4" xfId="9769" xr:uid="{D8192307-CD94-4301-AEDC-4B9B07017278}"/>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BD8367C3-E256-44DB-8BB7-1AF459957D21}"/>
    <cellStyle name="Normal 4 2 2 5 5 2 3" xfId="12327" xr:uid="{A961F81B-415E-4802-9D1B-329DAC8B6B02}"/>
    <cellStyle name="Normal 4 2 2 5 5 3" xfId="5971" xr:uid="{00000000-0005-0000-0000-000001130000}"/>
    <cellStyle name="Normal 4 2 2 5 5 3 2" xfId="14400" xr:uid="{C1D4FCE5-DEEA-4242-8D16-25C8A1251EA8}"/>
    <cellStyle name="Normal 4 2 2 5 5 4" xfId="10182" xr:uid="{53B11ED6-6258-454C-BD1D-969EFD6528C0}"/>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E68C7414-EBA6-4CE8-959A-BD43E165A8F9}"/>
    <cellStyle name="Normal 4 2 2 5 6 2 3" xfId="12740" xr:uid="{B0877992-B2E2-470B-BE91-5116610EF7E4}"/>
    <cellStyle name="Normal 4 2 2 5 6 3" xfId="6384" xr:uid="{00000000-0005-0000-0000-000005130000}"/>
    <cellStyle name="Normal 4 2 2 5 6 3 2" xfId="14813" xr:uid="{DA65C581-0A77-4008-8B17-CEBB7B10129E}"/>
    <cellStyle name="Normal 4 2 2 5 6 4" xfId="10595" xr:uid="{2681E20E-3CB8-47F1-AE59-CDA60073161C}"/>
    <cellStyle name="Normal 4 2 2 5 7" xfId="2512" xr:uid="{00000000-0005-0000-0000-000006130000}"/>
    <cellStyle name="Normal 4 2 2 5 7 2" xfId="6797" xr:uid="{00000000-0005-0000-0000-000007130000}"/>
    <cellStyle name="Normal 4 2 2 5 7 2 2" xfId="15226" xr:uid="{F0A7060B-91E3-4116-8FEB-BBDD82139122}"/>
    <cellStyle name="Normal 4 2 2 5 7 3" xfId="11008" xr:uid="{EB7543CD-6558-412E-B174-DD064000E26E}"/>
    <cellStyle name="Normal 4 2 2 5 8" xfId="4732" xr:uid="{00000000-0005-0000-0000-000008130000}"/>
    <cellStyle name="Normal 4 2 2 5 8 2" xfId="13161" xr:uid="{99B2523F-B92B-4BCE-BF96-3429ED4712FC}"/>
    <cellStyle name="Normal 4 2 2 5 9" xfId="8943" xr:uid="{7AC70AD4-ABBE-498F-936B-A691BA0AA992}"/>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C95EA2C8-1F7E-4685-9F83-1FBF4A1F64B1}"/>
    <cellStyle name="Normal 4 2 2 6 2 2 3" xfId="11503" xr:uid="{96743017-3998-4BCA-9EE9-C840B00E8392}"/>
    <cellStyle name="Normal 4 2 2 6 2 3" xfId="5147" xr:uid="{00000000-0005-0000-0000-00000D130000}"/>
    <cellStyle name="Normal 4 2 2 6 2 3 2" xfId="13576" xr:uid="{166541D7-F1B8-4CA3-AC6F-B151D5655C71}"/>
    <cellStyle name="Normal 4 2 2 6 2 4" xfId="9358" xr:uid="{7095264A-48C8-43EC-BA51-8F6EA5667282}"/>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4806BA32-3A95-49BE-A45D-1F45AF14F86C}"/>
    <cellStyle name="Normal 4 2 2 6 3 2 3" xfId="11916" xr:uid="{B7A6F93B-A7AC-4259-AD02-737A75551741}"/>
    <cellStyle name="Normal 4 2 2 6 3 3" xfId="5560" xr:uid="{00000000-0005-0000-0000-000011130000}"/>
    <cellStyle name="Normal 4 2 2 6 3 3 2" xfId="13989" xr:uid="{0269BA6F-FBFC-48A7-9F71-DA23BDAC7A9C}"/>
    <cellStyle name="Normal 4 2 2 6 3 4" xfId="9771" xr:uid="{E808B400-F527-44DE-907D-5C9952882E4D}"/>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D500ED85-F539-4B3E-A813-8B44AAA915B9}"/>
    <cellStyle name="Normal 4 2 2 6 4 2 3" xfId="12329" xr:uid="{229BDE83-61A8-44C6-8AC2-65606B46C993}"/>
    <cellStyle name="Normal 4 2 2 6 4 3" xfId="5973" xr:uid="{00000000-0005-0000-0000-000015130000}"/>
    <cellStyle name="Normal 4 2 2 6 4 3 2" xfId="14402" xr:uid="{3B4CFA28-731B-42BF-85F2-F67E94D3DD63}"/>
    <cellStyle name="Normal 4 2 2 6 4 4" xfId="10184" xr:uid="{C923CAC1-E0F7-46A3-8AA6-F17351D5B37F}"/>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1FD2D2B4-22FF-4B11-8A07-AAF1FFE4C234}"/>
    <cellStyle name="Normal 4 2 2 6 5 2 3" xfId="12742" xr:uid="{4A0C5194-5DF5-4014-BDA3-30A419518B13}"/>
    <cellStyle name="Normal 4 2 2 6 5 3" xfId="6386" xr:uid="{00000000-0005-0000-0000-000019130000}"/>
    <cellStyle name="Normal 4 2 2 6 5 3 2" xfId="14815" xr:uid="{ED676E33-939B-4C92-A31F-20526222A22F}"/>
    <cellStyle name="Normal 4 2 2 6 5 4" xfId="10597" xr:uid="{145EE9D6-3FCC-4DD9-AE1E-DEA2E7F99EE7}"/>
    <cellStyle name="Normal 4 2 2 6 6" xfId="2514" xr:uid="{00000000-0005-0000-0000-00001A130000}"/>
    <cellStyle name="Normal 4 2 2 6 6 2" xfId="6799" xr:uid="{00000000-0005-0000-0000-00001B130000}"/>
    <cellStyle name="Normal 4 2 2 6 6 2 2" xfId="15228" xr:uid="{72DA4D98-7A8E-450B-A3DB-5E39A4E9E636}"/>
    <cellStyle name="Normal 4 2 2 6 6 3" xfId="11010" xr:uid="{0BFD68FD-8230-416A-87F4-7C508D87480A}"/>
    <cellStyle name="Normal 4 2 2 6 7" xfId="4734" xr:uid="{00000000-0005-0000-0000-00001C130000}"/>
    <cellStyle name="Normal 4 2 2 6 7 2" xfId="13163" xr:uid="{39ACB4E8-77F0-41EB-86B2-94543A6E24D0}"/>
    <cellStyle name="Normal 4 2 2 6 8" xfId="8945" xr:uid="{856382FB-8333-40A1-8D35-DEADDA2EB9AB}"/>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EA518546-422D-44DF-BCAD-EAB63C2A1833}"/>
    <cellStyle name="Normal 4 2 2 7 2 3" xfId="11488" xr:uid="{1C375545-615F-4C4E-AAD4-0F99DC81E2EE}"/>
    <cellStyle name="Normal 4 2 2 7 3" xfId="5132" xr:uid="{00000000-0005-0000-0000-000020130000}"/>
    <cellStyle name="Normal 4 2 2 7 3 2" xfId="13561" xr:uid="{6D1FA636-EB6A-4AAC-96C6-78690C39152D}"/>
    <cellStyle name="Normal 4 2 2 7 4" xfId="9343" xr:uid="{8642FA63-D48F-4BAC-B98A-DBECB463F756}"/>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970C7633-FD69-4287-A8F1-C646E73AEC8E}"/>
    <cellStyle name="Normal 4 2 2 8 2 3" xfId="11901" xr:uid="{A8A17D49-9A77-4D12-A7CB-26C591D80E15}"/>
    <cellStyle name="Normal 4 2 2 8 3" xfId="5545" xr:uid="{00000000-0005-0000-0000-000024130000}"/>
    <cellStyle name="Normal 4 2 2 8 3 2" xfId="13974" xr:uid="{B3D303F8-6F82-47C0-BD1E-F558ED25743F}"/>
    <cellStyle name="Normal 4 2 2 8 4" xfId="9756" xr:uid="{05373D1F-2B2C-4B93-AFC2-753B38765F41}"/>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D127BDA3-9E82-4B36-B8A6-3AE0260B2841}"/>
    <cellStyle name="Normal 4 2 2 9 2 3" xfId="12314" xr:uid="{D482170F-6C13-4FD2-A5ED-3D2CC8DC22DF}"/>
    <cellStyle name="Normal 4 2 2 9 3" xfId="5958" xr:uid="{00000000-0005-0000-0000-000028130000}"/>
    <cellStyle name="Normal 4 2 2 9 3 2" xfId="14387" xr:uid="{6A20D8F3-F5EA-44C7-89CA-66D2A68EB26B}"/>
    <cellStyle name="Normal 4 2 2 9 4" xfId="10169" xr:uid="{46076877-846E-4085-B7AC-AF958FD0EBD4}"/>
    <cellStyle name="Normal 4 2 3" xfId="354" xr:uid="{00000000-0005-0000-0000-000029130000}"/>
    <cellStyle name="Normal 4 2 4" xfId="355" xr:uid="{00000000-0005-0000-0000-00002A130000}"/>
    <cellStyle name="Normal 4 2 4 10" xfId="4735" xr:uid="{00000000-0005-0000-0000-00002B130000}"/>
    <cellStyle name="Normal 4 2 4 10 2" xfId="13164" xr:uid="{7ACAB0C2-B6A4-42A3-9454-C0FDB6EDBFBA}"/>
    <cellStyle name="Normal 4 2 4 11" xfId="8946" xr:uid="{FFE1C79E-F485-4B1A-A7AA-07E5B2F9BBDA}"/>
    <cellStyle name="Normal 4 2 4 2" xfId="356" xr:uid="{00000000-0005-0000-0000-00002C130000}"/>
    <cellStyle name="Normal 4 2 4 2 10" xfId="8947" xr:uid="{00BE9547-4FDE-47E6-A0A9-82EE7EC84001}"/>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26281592-DD64-4DD3-B39D-1DD691CB09CD}"/>
    <cellStyle name="Normal 4 2 4 2 2 2 2 2 3" xfId="11507" xr:uid="{C6756DA4-A05F-48BC-B8F0-B5B51C1EF303}"/>
    <cellStyle name="Normal 4 2 4 2 2 2 2 3" xfId="5151" xr:uid="{00000000-0005-0000-0000-000032130000}"/>
    <cellStyle name="Normal 4 2 4 2 2 2 2 3 2" xfId="13580" xr:uid="{3DE7E0B2-983F-41AE-AF49-AE535C755CF4}"/>
    <cellStyle name="Normal 4 2 4 2 2 2 2 4" xfId="9362" xr:uid="{8B3832A7-E6F2-4202-9D7A-3E62349D5D6B}"/>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229C7007-E9DA-42DC-9F2D-5998A0A4A85E}"/>
    <cellStyle name="Normal 4 2 4 2 2 2 3 2 3" xfId="11920" xr:uid="{C556E9AD-2536-4944-B22F-6C0F2200A96F}"/>
    <cellStyle name="Normal 4 2 4 2 2 2 3 3" xfId="5564" xr:uid="{00000000-0005-0000-0000-000036130000}"/>
    <cellStyle name="Normal 4 2 4 2 2 2 3 3 2" xfId="13993" xr:uid="{795A9092-9E35-4692-AB3F-C6B78E36CB39}"/>
    <cellStyle name="Normal 4 2 4 2 2 2 3 4" xfId="9775" xr:uid="{EB51BD38-D6E0-4A37-BCC1-63DD8725A068}"/>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C897D8F7-15E9-4132-B511-3A9CD0C55BCA}"/>
    <cellStyle name="Normal 4 2 4 2 2 2 4 2 3" xfId="12333" xr:uid="{860F37FC-8CB4-4AA7-82FC-C3D03D071D2A}"/>
    <cellStyle name="Normal 4 2 4 2 2 2 4 3" xfId="5977" xr:uid="{00000000-0005-0000-0000-00003A130000}"/>
    <cellStyle name="Normal 4 2 4 2 2 2 4 3 2" xfId="14406" xr:uid="{8673DB96-4BF2-4CD5-B81A-0BBB63E1F243}"/>
    <cellStyle name="Normal 4 2 4 2 2 2 4 4" xfId="10188" xr:uid="{B9BAA310-7A70-41D3-A6B2-59CB3790BF0E}"/>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03E65668-552F-4245-8844-9454CB165FFC}"/>
    <cellStyle name="Normal 4 2 4 2 2 2 5 2 3" xfId="12746" xr:uid="{0C6216C7-ACC0-4F0F-9874-7ABA697F4631}"/>
    <cellStyle name="Normal 4 2 4 2 2 2 5 3" xfId="6390" xr:uid="{00000000-0005-0000-0000-00003E130000}"/>
    <cellStyle name="Normal 4 2 4 2 2 2 5 3 2" xfId="14819" xr:uid="{1E88AE71-E2BD-47EF-968B-ECDC7C5707A4}"/>
    <cellStyle name="Normal 4 2 4 2 2 2 5 4" xfId="10601" xr:uid="{8BABD5DA-106D-4FF4-A18A-435C1B5CD311}"/>
    <cellStyle name="Normal 4 2 4 2 2 2 6" xfId="2518" xr:uid="{00000000-0005-0000-0000-00003F130000}"/>
    <cellStyle name="Normal 4 2 4 2 2 2 6 2" xfId="6803" xr:uid="{00000000-0005-0000-0000-000040130000}"/>
    <cellStyle name="Normal 4 2 4 2 2 2 6 2 2" xfId="15232" xr:uid="{CC11E141-7571-4DFD-83DC-C8C647096E9B}"/>
    <cellStyle name="Normal 4 2 4 2 2 2 6 3" xfId="11014" xr:uid="{0548D360-1EAD-4A41-B78F-9DADAA2E7EFD}"/>
    <cellStyle name="Normal 4 2 4 2 2 2 7" xfId="4738" xr:uid="{00000000-0005-0000-0000-000041130000}"/>
    <cellStyle name="Normal 4 2 4 2 2 2 7 2" xfId="13167" xr:uid="{03DE366E-D5BD-4B23-941C-D44AA4CBFEAC}"/>
    <cellStyle name="Normal 4 2 4 2 2 2 8" xfId="8949" xr:uid="{5C20A3C7-130A-4149-A375-E9FDEF3B5332}"/>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9DB5D0F8-DF3A-4FEE-9377-A21EF029E1EC}"/>
    <cellStyle name="Normal 4 2 4 2 2 3 2 3" xfId="11506" xr:uid="{3A3EB4C1-4507-481A-86A8-75BE8A062BD7}"/>
    <cellStyle name="Normal 4 2 4 2 2 3 3" xfId="5150" xr:uid="{00000000-0005-0000-0000-000045130000}"/>
    <cellStyle name="Normal 4 2 4 2 2 3 3 2" xfId="13579" xr:uid="{D52455DB-77F5-480B-91E3-65A8B9C7BDE6}"/>
    <cellStyle name="Normal 4 2 4 2 2 3 4" xfId="9361" xr:uid="{4E62F981-D258-4749-A4E4-F780DD14636E}"/>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9B641F93-1FE6-47A2-B028-BE50188C78DC}"/>
    <cellStyle name="Normal 4 2 4 2 2 4 2 3" xfId="11919" xr:uid="{CED539EB-1E27-4032-ADA6-13C48BB8CD36}"/>
    <cellStyle name="Normal 4 2 4 2 2 4 3" xfId="5563" xr:uid="{00000000-0005-0000-0000-000049130000}"/>
    <cellStyle name="Normal 4 2 4 2 2 4 3 2" xfId="13992" xr:uid="{7650A2D9-7E79-4B16-B9A7-61917A7FB2BE}"/>
    <cellStyle name="Normal 4 2 4 2 2 4 4" xfId="9774" xr:uid="{9EF11C5E-8C28-4E72-98A6-BB854AB71C3A}"/>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9A0D09A0-C964-43FC-98C5-2542A2F889AB}"/>
    <cellStyle name="Normal 4 2 4 2 2 5 2 3" xfId="12332" xr:uid="{075A9A0D-88CE-4036-9800-4672BEA362FB}"/>
    <cellStyle name="Normal 4 2 4 2 2 5 3" xfId="5976" xr:uid="{00000000-0005-0000-0000-00004D130000}"/>
    <cellStyle name="Normal 4 2 4 2 2 5 3 2" xfId="14405" xr:uid="{8C5405D7-4712-4F3F-BA7B-BE1283E83B43}"/>
    <cellStyle name="Normal 4 2 4 2 2 5 4" xfId="10187" xr:uid="{2B813E75-8FC1-40EA-BC17-401A804BEBE9}"/>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747D0AFC-E3D1-4858-BAD1-D19FA595368D}"/>
    <cellStyle name="Normal 4 2 4 2 2 6 2 3" xfId="12745" xr:uid="{CCF43C0D-DFF8-462A-8D39-FB73CE89CB6B}"/>
    <cellStyle name="Normal 4 2 4 2 2 6 3" xfId="6389" xr:uid="{00000000-0005-0000-0000-000051130000}"/>
    <cellStyle name="Normal 4 2 4 2 2 6 3 2" xfId="14818" xr:uid="{EA9FE30B-84BB-42F1-9B0B-D975105CB4B6}"/>
    <cellStyle name="Normal 4 2 4 2 2 6 4" xfId="10600" xr:uid="{033F82CF-2813-4FD5-9858-96B20286FA6B}"/>
    <cellStyle name="Normal 4 2 4 2 2 7" xfId="2517" xr:uid="{00000000-0005-0000-0000-000052130000}"/>
    <cellStyle name="Normal 4 2 4 2 2 7 2" xfId="6802" xr:uid="{00000000-0005-0000-0000-000053130000}"/>
    <cellStyle name="Normal 4 2 4 2 2 7 2 2" xfId="15231" xr:uid="{7104872C-E56C-442D-A84A-0D6D868E0DBE}"/>
    <cellStyle name="Normal 4 2 4 2 2 7 3" xfId="11013" xr:uid="{3F8C6787-2D80-4320-8080-5DED8F6D5D9E}"/>
    <cellStyle name="Normal 4 2 4 2 2 8" xfId="4737" xr:uid="{00000000-0005-0000-0000-000054130000}"/>
    <cellStyle name="Normal 4 2 4 2 2 8 2" xfId="13166" xr:uid="{679A8EA6-10F7-4498-9701-1D41E898B83B}"/>
    <cellStyle name="Normal 4 2 4 2 2 9" xfId="8948" xr:uid="{B543D1C6-E67C-4BE6-987C-979433969DD2}"/>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22311D24-2BBC-4324-8AAA-3572A64D3F14}"/>
    <cellStyle name="Normal 4 2 4 2 3 2 2 3" xfId="11508" xr:uid="{3DC1F419-7CB8-4D7F-B0B7-D7E4F2D3E3B1}"/>
    <cellStyle name="Normal 4 2 4 2 3 2 3" xfId="5152" xr:uid="{00000000-0005-0000-0000-000059130000}"/>
    <cellStyle name="Normal 4 2 4 2 3 2 3 2" xfId="13581" xr:uid="{F5ED650E-92D2-4BF5-8781-D03CB7D813F9}"/>
    <cellStyle name="Normal 4 2 4 2 3 2 4" xfId="9363" xr:uid="{0F982049-40FD-4B6F-A300-3EE81CEF990D}"/>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8B9E341A-1ED4-41D9-B023-3992EE2E55DA}"/>
    <cellStyle name="Normal 4 2 4 2 3 3 2 3" xfId="11921" xr:uid="{29D8922D-2AAA-4F9B-9EE6-F1D328D06315}"/>
    <cellStyle name="Normal 4 2 4 2 3 3 3" xfId="5565" xr:uid="{00000000-0005-0000-0000-00005D130000}"/>
    <cellStyle name="Normal 4 2 4 2 3 3 3 2" xfId="13994" xr:uid="{A22AF388-B2EF-460E-9779-DECC5A15F716}"/>
    <cellStyle name="Normal 4 2 4 2 3 3 4" xfId="9776" xr:uid="{1E6A2944-1FD3-479A-A8BC-3559DCF68D48}"/>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99CC5252-9DAB-4F20-BDB7-90C330DF380C}"/>
    <cellStyle name="Normal 4 2 4 2 3 4 2 3" xfId="12334" xr:uid="{D17E78EA-B0BA-4B52-938E-4004D69ECE0D}"/>
    <cellStyle name="Normal 4 2 4 2 3 4 3" xfId="5978" xr:uid="{00000000-0005-0000-0000-000061130000}"/>
    <cellStyle name="Normal 4 2 4 2 3 4 3 2" xfId="14407" xr:uid="{7469C1F5-AEA7-4907-97E0-7E13C0A34501}"/>
    <cellStyle name="Normal 4 2 4 2 3 4 4" xfId="10189" xr:uid="{27CB02DA-C4FE-4D3A-9DD2-83D351EC21FB}"/>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C37015F0-9524-4BAF-8E6B-21DE7FB6B066}"/>
    <cellStyle name="Normal 4 2 4 2 3 5 2 3" xfId="12747" xr:uid="{724A674F-4F6F-4881-9ACC-743BCDF8B083}"/>
    <cellStyle name="Normal 4 2 4 2 3 5 3" xfId="6391" xr:uid="{00000000-0005-0000-0000-000065130000}"/>
    <cellStyle name="Normal 4 2 4 2 3 5 3 2" xfId="14820" xr:uid="{3A7404A9-113A-409E-9C4A-CFF3EE91F901}"/>
    <cellStyle name="Normal 4 2 4 2 3 5 4" xfId="10602" xr:uid="{814A5F22-D0E7-46B2-B54F-6BF0D5B66105}"/>
    <cellStyle name="Normal 4 2 4 2 3 6" xfId="2519" xr:uid="{00000000-0005-0000-0000-000066130000}"/>
    <cellStyle name="Normal 4 2 4 2 3 6 2" xfId="6804" xr:uid="{00000000-0005-0000-0000-000067130000}"/>
    <cellStyle name="Normal 4 2 4 2 3 6 2 2" xfId="15233" xr:uid="{6C63578F-51E0-4F37-9BB4-A99469720A71}"/>
    <cellStyle name="Normal 4 2 4 2 3 6 3" xfId="11015" xr:uid="{5B35BC12-B62B-434F-8542-9AAB5D4C53AA}"/>
    <cellStyle name="Normal 4 2 4 2 3 7" xfId="4739" xr:uid="{00000000-0005-0000-0000-000068130000}"/>
    <cellStyle name="Normal 4 2 4 2 3 7 2" xfId="13168" xr:uid="{39A0CA85-D426-4B37-A71E-6F1FED79F854}"/>
    <cellStyle name="Normal 4 2 4 2 3 8" xfId="8950" xr:uid="{984EDBFE-1D39-41F6-8CA2-894B42F8E497}"/>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8EBA79F3-E918-47ED-8AD4-A49F5AA42D35}"/>
    <cellStyle name="Normal 4 2 4 2 4 2 3" xfId="11505" xr:uid="{BB5D46EB-AC3E-4179-B8B8-4B5DB11AEC80}"/>
    <cellStyle name="Normal 4 2 4 2 4 3" xfId="5149" xr:uid="{00000000-0005-0000-0000-00006C130000}"/>
    <cellStyle name="Normal 4 2 4 2 4 3 2" xfId="13578" xr:uid="{1BF4D9B4-EB9E-4CD1-8673-1364364EA478}"/>
    <cellStyle name="Normal 4 2 4 2 4 4" xfId="9360" xr:uid="{57AD69D4-B7EF-4C7E-BCCA-AA2FDE8E457E}"/>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0D84B1E8-F88F-443C-8E04-D1FE4AD04F89}"/>
    <cellStyle name="Normal 4 2 4 2 5 2 3" xfId="11918" xr:uid="{8DF6B6DB-E675-4F0B-9EF2-D6FB966CEEE5}"/>
    <cellStyle name="Normal 4 2 4 2 5 3" xfId="5562" xr:uid="{00000000-0005-0000-0000-000070130000}"/>
    <cellStyle name="Normal 4 2 4 2 5 3 2" xfId="13991" xr:uid="{B44AB046-44EC-4A0E-841B-77562114629D}"/>
    <cellStyle name="Normal 4 2 4 2 5 4" xfId="9773" xr:uid="{98621A69-6161-41A0-8964-5F02AA46D7DC}"/>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4D274441-EC73-4FE3-B7A6-8CDB45914B35}"/>
    <cellStyle name="Normal 4 2 4 2 6 2 3" xfId="12331" xr:uid="{8F982F4B-1EF3-4E6F-A77E-06BC9DBF61DB}"/>
    <cellStyle name="Normal 4 2 4 2 6 3" xfId="5975" xr:uid="{00000000-0005-0000-0000-000074130000}"/>
    <cellStyle name="Normal 4 2 4 2 6 3 2" xfId="14404" xr:uid="{0C51C47F-D107-4BB7-AC87-185130DF61CE}"/>
    <cellStyle name="Normal 4 2 4 2 6 4" xfId="10186" xr:uid="{2E2A134C-BED6-42B9-8379-0DDC47D6DD7B}"/>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B74628CF-8983-41F8-A796-55DB69E57D9D}"/>
    <cellStyle name="Normal 4 2 4 2 7 2 3" xfId="12744" xr:uid="{2C87E068-BBEA-4272-9AA4-65974EB4DF89}"/>
    <cellStyle name="Normal 4 2 4 2 7 3" xfId="6388" xr:uid="{00000000-0005-0000-0000-000078130000}"/>
    <cellStyle name="Normal 4 2 4 2 7 3 2" xfId="14817" xr:uid="{7C227AB7-678A-4BA5-8D32-615BEEDC55F5}"/>
    <cellStyle name="Normal 4 2 4 2 7 4" xfId="10599" xr:uid="{D57CC480-045D-4DB3-A0E4-66445975D35D}"/>
    <cellStyle name="Normal 4 2 4 2 8" xfId="2516" xr:uid="{00000000-0005-0000-0000-000079130000}"/>
    <cellStyle name="Normal 4 2 4 2 8 2" xfId="6801" xr:uid="{00000000-0005-0000-0000-00007A130000}"/>
    <cellStyle name="Normal 4 2 4 2 8 2 2" xfId="15230" xr:uid="{30895D78-21DE-4506-BA5C-D7FD0894E941}"/>
    <cellStyle name="Normal 4 2 4 2 8 3" xfId="11012" xr:uid="{6B178250-4E51-42BF-9A60-B4CA8FD1E85C}"/>
    <cellStyle name="Normal 4 2 4 2 9" xfId="4736" xr:uid="{00000000-0005-0000-0000-00007B130000}"/>
    <cellStyle name="Normal 4 2 4 2 9 2" xfId="13165" xr:uid="{A44C6685-7D88-4F35-A749-FD756A38A9A3}"/>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99B97A0E-6A1C-4634-915D-7CEBA598EF3D}"/>
    <cellStyle name="Normal 4 2 4 3 2 2 2 3" xfId="11510" xr:uid="{84635551-A12D-4F67-BB33-14308663F0DA}"/>
    <cellStyle name="Normal 4 2 4 3 2 2 3" xfId="5154" xr:uid="{00000000-0005-0000-0000-000081130000}"/>
    <cellStyle name="Normal 4 2 4 3 2 2 3 2" xfId="13583" xr:uid="{FEA74BFC-00B3-4FF9-8265-F09A38F8849F}"/>
    <cellStyle name="Normal 4 2 4 3 2 2 4" xfId="9365" xr:uid="{83C7880A-BDA1-42F2-A9D8-F98F494611C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48A2ECAE-9582-4BF4-A7DC-36ECB76A8BC5}"/>
    <cellStyle name="Normal 4 2 4 3 2 3 2 3" xfId="11923" xr:uid="{D4154641-B182-476E-8E43-91080FD359F9}"/>
    <cellStyle name="Normal 4 2 4 3 2 3 3" xfId="5567" xr:uid="{00000000-0005-0000-0000-000085130000}"/>
    <cellStyle name="Normal 4 2 4 3 2 3 3 2" xfId="13996" xr:uid="{0928100D-7A98-490F-A96F-BB6E5110E04A}"/>
    <cellStyle name="Normal 4 2 4 3 2 3 4" xfId="9778" xr:uid="{29153253-6D73-4A6B-9A2A-C2FA2F6C910B}"/>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BF679C7A-624B-48C6-ABCA-08607AB72E69}"/>
    <cellStyle name="Normal 4 2 4 3 2 4 2 3" xfId="12336" xr:uid="{922D8647-D0C2-4271-B0B2-AF3B8259F570}"/>
    <cellStyle name="Normal 4 2 4 3 2 4 3" xfId="5980" xr:uid="{00000000-0005-0000-0000-000089130000}"/>
    <cellStyle name="Normal 4 2 4 3 2 4 3 2" xfId="14409" xr:uid="{ED13C06B-3C75-4F5D-8B28-9EE5348577E9}"/>
    <cellStyle name="Normal 4 2 4 3 2 4 4" xfId="10191" xr:uid="{1136BEB1-DB32-4190-9E1E-144199B301EC}"/>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80717A4D-8D32-4EBE-8B98-967B3B4180AA}"/>
    <cellStyle name="Normal 4 2 4 3 2 5 2 3" xfId="12749" xr:uid="{9E428F37-6396-41E1-8E29-7D1053D849CF}"/>
    <cellStyle name="Normal 4 2 4 3 2 5 3" xfId="6393" xr:uid="{00000000-0005-0000-0000-00008D130000}"/>
    <cellStyle name="Normal 4 2 4 3 2 5 3 2" xfId="14822" xr:uid="{66A2952D-4102-4BCF-A859-28BD93AEE572}"/>
    <cellStyle name="Normal 4 2 4 3 2 5 4" xfId="10604" xr:uid="{F6C0EFA5-8DF6-4C77-87B8-B93D03E57FFC}"/>
    <cellStyle name="Normal 4 2 4 3 2 6" xfId="2521" xr:uid="{00000000-0005-0000-0000-00008E130000}"/>
    <cellStyle name="Normal 4 2 4 3 2 6 2" xfId="6806" xr:uid="{00000000-0005-0000-0000-00008F130000}"/>
    <cellStyle name="Normal 4 2 4 3 2 6 2 2" xfId="15235" xr:uid="{D414DEF6-547D-4298-B57E-035A2CAF1BF9}"/>
    <cellStyle name="Normal 4 2 4 3 2 6 3" xfId="11017" xr:uid="{4E37B03F-BAB6-4E73-A650-5013D2858F04}"/>
    <cellStyle name="Normal 4 2 4 3 2 7" xfId="4741" xr:uid="{00000000-0005-0000-0000-000090130000}"/>
    <cellStyle name="Normal 4 2 4 3 2 7 2" xfId="13170" xr:uid="{F28627C9-F313-43A5-9CB0-B01795ECFE32}"/>
    <cellStyle name="Normal 4 2 4 3 2 8" xfId="8952" xr:uid="{6481725A-2918-4320-A9F6-5ED6EC1F5131}"/>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6CCB56F9-89C2-45A2-B3DB-B677E73112B4}"/>
    <cellStyle name="Normal 4 2 4 3 3 2 3" xfId="11509" xr:uid="{90FB5B76-D218-49B8-9DFF-BE351DBC11B5}"/>
    <cellStyle name="Normal 4 2 4 3 3 3" xfId="5153" xr:uid="{00000000-0005-0000-0000-000094130000}"/>
    <cellStyle name="Normal 4 2 4 3 3 3 2" xfId="13582" xr:uid="{FF58090F-6485-4CA8-AC47-AE1C12DDA8D8}"/>
    <cellStyle name="Normal 4 2 4 3 3 4" xfId="9364" xr:uid="{00BED822-0502-42E7-AD59-CF0463154B94}"/>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692FC2D1-C0B5-4388-BA09-AFD9D9502D19}"/>
    <cellStyle name="Normal 4 2 4 3 4 2 3" xfId="11922" xr:uid="{BD3FB96B-AC39-4CE7-81C9-E1D74CC8AB62}"/>
    <cellStyle name="Normal 4 2 4 3 4 3" xfId="5566" xr:uid="{00000000-0005-0000-0000-000098130000}"/>
    <cellStyle name="Normal 4 2 4 3 4 3 2" xfId="13995" xr:uid="{46D57CA1-C4C1-4168-8A94-F964D3D13644}"/>
    <cellStyle name="Normal 4 2 4 3 4 4" xfId="9777" xr:uid="{B31C2567-2C0B-4522-84E9-E7BC986AD989}"/>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DB85533E-71D8-4772-85EA-C0A5A8FCA180}"/>
    <cellStyle name="Normal 4 2 4 3 5 2 3" xfId="12335" xr:uid="{306C47D8-47E1-4BDC-B155-8C5D275AF98D}"/>
    <cellStyle name="Normal 4 2 4 3 5 3" xfId="5979" xr:uid="{00000000-0005-0000-0000-00009C130000}"/>
    <cellStyle name="Normal 4 2 4 3 5 3 2" xfId="14408" xr:uid="{6EBBCF5B-080D-445A-A8A3-1800C81FD292}"/>
    <cellStyle name="Normal 4 2 4 3 5 4" xfId="10190" xr:uid="{24DF08CB-20E7-4BB3-B73B-15DD0E4F0373}"/>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8457DE65-3E2A-43D0-8D7B-F6CF734C2B01}"/>
    <cellStyle name="Normal 4 2 4 3 6 2 3" xfId="12748" xr:uid="{3850206B-F765-46E9-B00E-C606FDB32F0E}"/>
    <cellStyle name="Normal 4 2 4 3 6 3" xfId="6392" xr:uid="{00000000-0005-0000-0000-0000A0130000}"/>
    <cellStyle name="Normal 4 2 4 3 6 3 2" xfId="14821" xr:uid="{D4881DA8-2D50-4197-8A0A-905A9833980D}"/>
    <cellStyle name="Normal 4 2 4 3 6 4" xfId="10603" xr:uid="{83D9100A-A027-4D93-A5AC-A9E5401B5DE8}"/>
    <cellStyle name="Normal 4 2 4 3 7" xfId="2520" xr:uid="{00000000-0005-0000-0000-0000A1130000}"/>
    <cellStyle name="Normal 4 2 4 3 7 2" xfId="6805" xr:uid="{00000000-0005-0000-0000-0000A2130000}"/>
    <cellStyle name="Normal 4 2 4 3 7 2 2" xfId="15234" xr:uid="{D57C90DE-7B17-4DCA-895D-15B6C5085536}"/>
    <cellStyle name="Normal 4 2 4 3 7 3" xfId="11016" xr:uid="{42EE4A83-9BB7-42D0-8492-F5E2B7531246}"/>
    <cellStyle name="Normal 4 2 4 3 8" xfId="4740" xr:uid="{00000000-0005-0000-0000-0000A3130000}"/>
    <cellStyle name="Normal 4 2 4 3 8 2" xfId="13169" xr:uid="{E8D54384-27C3-4D25-A716-8B6461F306DE}"/>
    <cellStyle name="Normal 4 2 4 3 9" xfId="8951" xr:uid="{E3BEABCA-88CE-42AB-BEEA-4FCC9DCEE746}"/>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47330036-DA62-4235-AC20-E8F00E129151}"/>
    <cellStyle name="Normal 4 2 4 4 2 2 3" xfId="11511" xr:uid="{C973CFD4-C420-48FE-A0FA-DA9B63660515}"/>
    <cellStyle name="Normal 4 2 4 4 2 3" xfId="5155" xr:uid="{00000000-0005-0000-0000-0000A8130000}"/>
    <cellStyle name="Normal 4 2 4 4 2 3 2" xfId="13584" xr:uid="{C003675F-577A-4BDB-96FF-B1039298ED15}"/>
    <cellStyle name="Normal 4 2 4 4 2 4" xfId="9366" xr:uid="{3D1F3132-21FC-4AB1-A66E-88D242614A9D}"/>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5E329612-E70B-4D8B-9ECF-3F37636D73DC}"/>
    <cellStyle name="Normal 4 2 4 4 3 2 3" xfId="11924" xr:uid="{5EE111DE-D8CA-43FE-8C86-8150E8EBF81B}"/>
    <cellStyle name="Normal 4 2 4 4 3 3" xfId="5568" xr:uid="{00000000-0005-0000-0000-0000AC130000}"/>
    <cellStyle name="Normal 4 2 4 4 3 3 2" xfId="13997" xr:uid="{98FA208F-2CFA-4A4C-8E33-A6EFE63CE7AB}"/>
    <cellStyle name="Normal 4 2 4 4 3 4" xfId="9779" xr:uid="{093CD08C-4CB6-48EA-A94B-90AF0626684F}"/>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0B999966-13F2-4FC1-9F22-B1FF7965E473}"/>
    <cellStyle name="Normal 4 2 4 4 4 2 3" xfId="12337" xr:uid="{A8DEEE4E-DD1C-4EA8-B98D-1E6F3646662F}"/>
    <cellStyle name="Normal 4 2 4 4 4 3" xfId="5981" xr:uid="{00000000-0005-0000-0000-0000B0130000}"/>
    <cellStyle name="Normal 4 2 4 4 4 3 2" xfId="14410" xr:uid="{CD074C0E-54D9-4FF4-A347-40FC75FEA62A}"/>
    <cellStyle name="Normal 4 2 4 4 4 4" xfId="10192" xr:uid="{80A5CBA6-3B7F-4875-99F1-F9943B455757}"/>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2B68F2D4-5E1F-4E50-92C7-3DBC75E9C6B2}"/>
    <cellStyle name="Normal 4 2 4 4 5 2 3" xfId="12750" xr:uid="{9FAF6E41-57E2-4238-B719-52F5AE8B6622}"/>
    <cellStyle name="Normal 4 2 4 4 5 3" xfId="6394" xr:uid="{00000000-0005-0000-0000-0000B4130000}"/>
    <cellStyle name="Normal 4 2 4 4 5 3 2" xfId="14823" xr:uid="{ECC3B808-6A14-45A3-9815-A6EC8807D6EF}"/>
    <cellStyle name="Normal 4 2 4 4 5 4" xfId="10605" xr:uid="{7440D7B3-6B60-4F66-A1C2-8B21B8E3AA8A}"/>
    <cellStyle name="Normal 4 2 4 4 6" xfId="2522" xr:uid="{00000000-0005-0000-0000-0000B5130000}"/>
    <cellStyle name="Normal 4 2 4 4 6 2" xfId="6807" xr:uid="{00000000-0005-0000-0000-0000B6130000}"/>
    <cellStyle name="Normal 4 2 4 4 6 2 2" xfId="15236" xr:uid="{85C8BED7-AC68-4EA8-9DB4-5FCC313A8164}"/>
    <cellStyle name="Normal 4 2 4 4 6 3" xfId="11018" xr:uid="{22212980-3DA7-4084-BCC1-9ADDDF2A4436}"/>
    <cellStyle name="Normal 4 2 4 4 7" xfId="4742" xr:uid="{00000000-0005-0000-0000-0000B7130000}"/>
    <cellStyle name="Normal 4 2 4 4 7 2" xfId="13171" xr:uid="{6B0DD93D-3D5E-48A2-89BE-167C52039598}"/>
    <cellStyle name="Normal 4 2 4 4 8" xfId="8953" xr:uid="{0930C034-493D-42A4-8687-F130DD6D47E8}"/>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C5F991CC-1D3E-4F0C-8C4C-DE0DE1D118DB}"/>
    <cellStyle name="Normal 4 2 4 5 2 3" xfId="11504" xr:uid="{666EB8AF-DCE0-4A37-98D1-57D8CDBC88F9}"/>
    <cellStyle name="Normal 4 2 4 5 3" xfId="5148" xr:uid="{00000000-0005-0000-0000-0000BB130000}"/>
    <cellStyle name="Normal 4 2 4 5 3 2" xfId="13577" xr:uid="{49D30B25-2D40-48F1-B99F-55A10830F70F}"/>
    <cellStyle name="Normal 4 2 4 5 4" xfId="9359" xr:uid="{059D1451-FB04-4D7B-869C-61D4DB6FCE66}"/>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3E1E8509-0A89-4D2F-82BE-60AA86BF15A9}"/>
    <cellStyle name="Normal 4 2 4 6 2 3" xfId="11917" xr:uid="{DFF3080D-0E13-40AD-B585-814569B6027F}"/>
    <cellStyle name="Normal 4 2 4 6 3" xfId="5561" xr:uid="{00000000-0005-0000-0000-0000BF130000}"/>
    <cellStyle name="Normal 4 2 4 6 3 2" xfId="13990" xr:uid="{FEA46BD6-3B4B-414E-A43E-9683C9B46C16}"/>
    <cellStyle name="Normal 4 2 4 6 4" xfId="9772" xr:uid="{E97F666E-B5D8-4BC3-B41D-018C8F363FD1}"/>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62D9310B-D32A-4287-8C92-8F95025FB05A}"/>
    <cellStyle name="Normal 4 2 4 7 2 3" xfId="12330" xr:uid="{99E55D1C-241E-4DD2-8D17-05C65288D48E}"/>
    <cellStyle name="Normal 4 2 4 7 3" xfId="5974" xr:uid="{00000000-0005-0000-0000-0000C3130000}"/>
    <cellStyle name="Normal 4 2 4 7 3 2" xfId="14403" xr:uid="{0501D4C4-5703-45B6-AFCA-183D8CC9819D}"/>
    <cellStyle name="Normal 4 2 4 7 4" xfId="10185" xr:uid="{9A806925-BF3D-4A45-AE0D-F8E8A8C729F9}"/>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625CF61E-376F-4762-8234-B827E50EDFF9}"/>
    <cellStyle name="Normal 4 2 4 8 2 3" xfId="12743" xr:uid="{7A6DA34E-75D4-48C1-8FCE-9AC3A4D55A58}"/>
    <cellStyle name="Normal 4 2 4 8 3" xfId="6387" xr:uid="{00000000-0005-0000-0000-0000C7130000}"/>
    <cellStyle name="Normal 4 2 4 8 3 2" xfId="14816" xr:uid="{E54D9AC5-B6B5-47F1-B70E-76991AABA878}"/>
    <cellStyle name="Normal 4 2 4 8 4" xfId="10598" xr:uid="{52B8F80E-9574-46BA-BF83-370736BAFF04}"/>
    <cellStyle name="Normal 4 2 4 9" xfId="2515" xr:uid="{00000000-0005-0000-0000-0000C8130000}"/>
    <cellStyle name="Normal 4 2 4 9 2" xfId="6800" xr:uid="{00000000-0005-0000-0000-0000C9130000}"/>
    <cellStyle name="Normal 4 2 4 9 2 2" xfId="15229" xr:uid="{CD27CB31-79D4-438C-9537-3A0C740C3FDE}"/>
    <cellStyle name="Normal 4 2 4 9 3" xfId="11011" xr:uid="{A88FA682-E7DE-42C2-A4E8-7797D869DAF2}"/>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7DF43B2C-FC35-4963-AA6A-35AE6D76F92E}"/>
    <cellStyle name="Normal 4 2 5 2 2 2 3" xfId="11513" xr:uid="{9B7D4DAE-A70A-431C-AEFE-951C4F8E163E}"/>
    <cellStyle name="Normal 4 2 5 2 2 3" xfId="5157" xr:uid="{00000000-0005-0000-0000-0000CF130000}"/>
    <cellStyle name="Normal 4 2 5 2 2 3 2" xfId="13586" xr:uid="{DF8BE9E7-3143-4850-89DD-263FFBA95A74}"/>
    <cellStyle name="Normal 4 2 5 2 2 4" xfId="9368" xr:uid="{37F6B7D0-40C1-4D6B-9671-229C3576797C}"/>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19654974-78CC-4300-A86D-7318C567BFA2}"/>
    <cellStyle name="Normal 4 2 5 2 3 2 3" xfId="11926" xr:uid="{2302051A-A424-4732-8F7E-258625881963}"/>
    <cellStyle name="Normal 4 2 5 2 3 3" xfId="5570" xr:uid="{00000000-0005-0000-0000-0000D3130000}"/>
    <cellStyle name="Normal 4 2 5 2 3 3 2" xfId="13999" xr:uid="{D60A2154-8CC4-47A8-90C3-4E6F132B0081}"/>
    <cellStyle name="Normal 4 2 5 2 3 4" xfId="9781" xr:uid="{997295F4-CD14-4E53-93C2-F8F24B7EA246}"/>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A3CB27C1-C3EF-4160-8F12-AFF7155EA32A}"/>
    <cellStyle name="Normal 4 2 5 2 4 2 3" xfId="12339" xr:uid="{6013D576-E7F2-4EA1-978E-1970FC57946A}"/>
    <cellStyle name="Normal 4 2 5 2 4 3" xfId="5983" xr:uid="{00000000-0005-0000-0000-0000D7130000}"/>
    <cellStyle name="Normal 4 2 5 2 4 3 2" xfId="14412" xr:uid="{87A54F6F-7AFC-471E-8C61-F15ED798CC0E}"/>
    <cellStyle name="Normal 4 2 5 2 4 4" xfId="10194" xr:uid="{261B1D25-D3CD-4BF0-8316-493EA0ED727A}"/>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9AB496F6-3871-47F8-9F52-5880639FCE7B}"/>
    <cellStyle name="Normal 4 2 5 2 5 2 3" xfId="12752" xr:uid="{9D6DB040-79C4-4CF9-AF89-6275F3EE43E3}"/>
    <cellStyle name="Normal 4 2 5 2 5 3" xfId="6396" xr:uid="{00000000-0005-0000-0000-0000DB130000}"/>
    <cellStyle name="Normal 4 2 5 2 5 3 2" xfId="14825" xr:uid="{C9625E24-8F7F-4035-A7E2-AAA60B781105}"/>
    <cellStyle name="Normal 4 2 5 2 5 4" xfId="10607" xr:uid="{07FFC82B-3838-45DA-A725-6FEFCE6250AA}"/>
    <cellStyle name="Normal 4 2 5 2 6" xfId="2524" xr:uid="{00000000-0005-0000-0000-0000DC130000}"/>
    <cellStyle name="Normal 4 2 5 2 6 2" xfId="6809" xr:uid="{00000000-0005-0000-0000-0000DD130000}"/>
    <cellStyle name="Normal 4 2 5 2 6 2 2" xfId="15238" xr:uid="{08BACEA3-1D66-4657-9191-0CD00883F849}"/>
    <cellStyle name="Normal 4 2 5 2 6 3" xfId="11020" xr:uid="{5A366B57-0D14-429D-A022-459168562FF8}"/>
    <cellStyle name="Normal 4 2 5 2 7" xfId="4744" xr:uid="{00000000-0005-0000-0000-0000DE130000}"/>
    <cellStyle name="Normal 4 2 5 2 7 2" xfId="13173" xr:uid="{1764B8F3-4188-42BB-9B3A-DBEA1A9C12D6}"/>
    <cellStyle name="Normal 4 2 5 2 8" xfId="8955" xr:uid="{7D7F29AC-25F7-4DE3-A90A-EDCB194A17CC}"/>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E37F91AB-4AC0-4A85-B564-F3FD9A738C9E}"/>
    <cellStyle name="Normal 4 2 5 3 2 3" xfId="11512" xr:uid="{D03DAB6F-B7A0-4C4B-B292-BB03042964BB}"/>
    <cellStyle name="Normal 4 2 5 3 3" xfId="5156" xr:uid="{00000000-0005-0000-0000-0000E2130000}"/>
    <cellStyle name="Normal 4 2 5 3 3 2" xfId="13585" xr:uid="{B2E56B2E-A978-4DAF-81C9-BD269DF57758}"/>
    <cellStyle name="Normal 4 2 5 3 4" xfId="9367" xr:uid="{FEDD6DE6-ECDD-4696-AB30-D90357EC2640}"/>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6EE1A5A0-B96B-409A-B3AE-B8DFFC5D34FE}"/>
    <cellStyle name="Normal 4 2 5 4 2 3" xfId="11925" xr:uid="{F40A53CF-CB56-49EA-9E7E-553AA5AC01D6}"/>
    <cellStyle name="Normal 4 2 5 4 3" xfId="5569" xr:uid="{00000000-0005-0000-0000-0000E6130000}"/>
    <cellStyle name="Normal 4 2 5 4 3 2" xfId="13998" xr:uid="{017D401E-A8E4-4F0A-AC5C-52A1DADE7E05}"/>
    <cellStyle name="Normal 4 2 5 4 4" xfId="9780" xr:uid="{6286D51E-B1E9-4347-B600-0C0C947D9DD8}"/>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7573DAB5-A46A-4B8E-B204-330BAB3461E6}"/>
    <cellStyle name="Normal 4 2 5 5 2 3" xfId="12338" xr:uid="{A707F9DF-1AD7-42E6-AC66-AD1873EEFFA9}"/>
    <cellStyle name="Normal 4 2 5 5 3" xfId="5982" xr:uid="{00000000-0005-0000-0000-0000EA130000}"/>
    <cellStyle name="Normal 4 2 5 5 3 2" xfId="14411" xr:uid="{CA14F55F-B699-4981-9F33-19C2A22DD5B9}"/>
    <cellStyle name="Normal 4 2 5 5 4" xfId="10193" xr:uid="{B090D7D7-92D3-4B52-B841-E9267FB7566C}"/>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76139553-0437-45B3-B8B5-DE1A621AB18F}"/>
    <cellStyle name="Normal 4 2 5 6 2 3" xfId="12751" xr:uid="{B7841556-70CD-4477-9CCB-4911AA2E088F}"/>
    <cellStyle name="Normal 4 2 5 6 3" xfId="6395" xr:uid="{00000000-0005-0000-0000-0000EE130000}"/>
    <cellStyle name="Normal 4 2 5 6 3 2" xfId="14824" xr:uid="{EB5FFB15-13F3-494D-A1E2-7ADBF0430867}"/>
    <cellStyle name="Normal 4 2 5 6 4" xfId="10606" xr:uid="{CDEBD669-0D21-4CC8-BB26-B78515EB8D84}"/>
    <cellStyle name="Normal 4 2 5 7" xfId="2523" xr:uid="{00000000-0005-0000-0000-0000EF130000}"/>
    <cellStyle name="Normal 4 2 5 7 2" xfId="6808" xr:uid="{00000000-0005-0000-0000-0000F0130000}"/>
    <cellStyle name="Normal 4 2 5 7 2 2" xfId="15237" xr:uid="{0EABB1A0-FF62-4DA6-B7AB-C09FCA4183DD}"/>
    <cellStyle name="Normal 4 2 5 7 3" xfId="11019" xr:uid="{9888ABFE-9A2A-4401-BAD2-FAD8069FE392}"/>
    <cellStyle name="Normal 4 2 5 8" xfId="4743" xr:uid="{00000000-0005-0000-0000-0000F1130000}"/>
    <cellStyle name="Normal 4 2 5 8 2" xfId="13172" xr:uid="{9671142A-2594-4559-BF2C-BAD3F177F723}"/>
    <cellStyle name="Normal 4 2 5 9" xfId="8954" xr:uid="{E33DC032-B4EB-43D8-A90A-A1E37C62EE87}"/>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13EA5C35-A5D7-4C54-A38B-543F947F788F}"/>
    <cellStyle name="Normal 4 2 6 2 2 3" xfId="11514" xr:uid="{AD33F5D8-F8FE-4613-B036-D06976002553}"/>
    <cellStyle name="Normal 4 2 6 2 3" xfId="5158" xr:uid="{00000000-0005-0000-0000-0000F6130000}"/>
    <cellStyle name="Normal 4 2 6 2 3 2" xfId="13587" xr:uid="{6510DF1E-4E7D-439C-881D-CA06EF7EC1EB}"/>
    <cellStyle name="Normal 4 2 6 2 4" xfId="9369" xr:uid="{395A40C1-9574-427F-99D6-DA341DBB0C4C}"/>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306E9900-4561-417C-8CBB-9F056EC745C2}"/>
    <cellStyle name="Normal 4 2 6 3 2 3" xfId="11927" xr:uid="{521EF731-4047-450B-B044-05C5DF16AA0F}"/>
    <cellStyle name="Normal 4 2 6 3 3" xfId="5571" xr:uid="{00000000-0005-0000-0000-0000FA130000}"/>
    <cellStyle name="Normal 4 2 6 3 3 2" xfId="14000" xr:uid="{6412E7F0-B13B-4566-818E-01C1081E8215}"/>
    <cellStyle name="Normal 4 2 6 3 4" xfId="9782" xr:uid="{1B37019C-BF8B-4F8F-BDEA-DDB186646454}"/>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03524269-34BD-4718-99F5-249CBCF5CB9F}"/>
    <cellStyle name="Normal 4 2 6 4 2 3" xfId="12340" xr:uid="{EE156486-86AE-4575-A2C3-4C7EDDE9CABA}"/>
    <cellStyle name="Normal 4 2 6 4 3" xfId="5984" xr:uid="{00000000-0005-0000-0000-0000FE130000}"/>
    <cellStyle name="Normal 4 2 6 4 3 2" xfId="14413" xr:uid="{DCCE1CA9-D309-48B7-AE1E-9045176343C4}"/>
    <cellStyle name="Normal 4 2 6 4 4" xfId="10195" xr:uid="{ED155F56-CC05-4241-AB94-088322975C6F}"/>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87B9EA8A-7A62-4736-A575-4204E75D5CA3}"/>
    <cellStyle name="Normal 4 2 6 5 2 3" xfId="12753" xr:uid="{7990CD80-3798-4457-B059-3750F09F5C02}"/>
    <cellStyle name="Normal 4 2 6 5 3" xfId="6397" xr:uid="{00000000-0005-0000-0000-000002140000}"/>
    <cellStyle name="Normal 4 2 6 5 3 2" xfId="14826" xr:uid="{628CD26B-3AA5-408E-8BF0-6BADE0F1A2B1}"/>
    <cellStyle name="Normal 4 2 6 5 4" xfId="10608" xr:uid="{A31DE020-B3FB-47BF-88DF-5A1BD3489B0F}"/>
    <cellStyle name="Normal 4 2 6 6" xfId="2525" xr:uid="{00000000-0005-0000-0000-000003140000}"/>
    <cellStyle name="Normal 4 2 6 6 2" xfId="6810" xr:uid="{00000000-0005-0000-0000-000004140000}"/>
    <cellStyle name="Normal 4 2 6 6 2 2" xfId="15239" xr:uid="{4243A902-1C1C-4E03-A7C6-4A29756A61F4}"/>
    <cellStyle name="Normal 4 2 6 6 3" xfId="11021" xr:uid="{134F4C51-A3F6-4D10-8471-832C210B1A97}"/>
    <cellStyle name="Normal 4 2 6 7" xfId="4745" xr:uid="{00000000-0005-0000-0000-000005140000}"/>
    <cellStyle name="Normal 4 2 6 7 2" xfId="13174" xr:uid="{F4E043CC-CE1C-428D-95E0-64BA2846E6B0}"/>
    <cellStyle name="Normal 4 2 6 8" xfId="8956" xr:uid="{8F604307-AADB-4C01-8C5E-436C819569ED}"/>
    <cellStyle name="Normal 4 3" xfId="366" xr:uid="{00000000-0005-0000-0000-000006140000}"/>
    <cellStyle name="Normal 4 3 10" xfId="8957" xr:uid="{C9F9E102-D41E-45E1-833B-34830F36AF83}"/>
    <cellStyle name="Normal 4 3 2" xfId="367" xr:uid="{00000000-0005-0000-0000-000007140000}"/>
    <cellStyle name="Normal 4 3 2 2" xfId="368" xr:uid="{00000000-0005-0000-0000-000008140000}"/>
    <cellStyle name="Normal 4 3 2 2 2" xfId="369" xr:uid="{00000000-0005-0000-0000-000009140000}"/>
    <cellStyle name="Normal 4 3 2 2 2 10" xfId="8958" xr:uid="{5E678BEF-2C3B-48B2-BC69-1274BA403065}"/>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08BFE3D3-9ADB-49FE-A87C-5BE21B759DA4}"/>
    <cellStyle name="Normal 4 3 2 2 2 2 2 2 2 3" xfId="11518" xr:uid="{216F3017-E65E-4E2C-8B0F-575D74C4A14A}"/>
    <cellStyle name="Normal 4 3 2 2 2 2 2 2 3" xfId="5162" xr:uid="{00000000-0005-0000-0000-00000F140000}"/>
    <cellStyle name="Normal 4 3 2 2 2 2 2 2 3 2" xfId="13591" xr:uid="{C3263ADF-6D41-4DB7-B4F6-D66FAC981BFD}"/>
    <cellStyle name="Normal 4 3 2 2 2 2 2 2 4" xfId="9373" xr:uid="{CDC5AD5E-3458-43A2-8C2D-7EF2A0D4D941}"/>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890BEE5E-432E-4705-9939-39659377C735}"/>
    <cellStyle name="Normal 4 3 2 2 2 2 2 3 2 3" xfId="11931" xr:uid="{333E93AA-3560-45D0-90DE-E762B867BD7D}"/>
    <cellStyle name="Normal 4 3 2 2 2 2 2 3 3" xfId="5575" xr:uid="{00000000-0005-0000-0000-000013140000}"/>
    <cellStyle name="Normal 4 3 2 2 2 2 2 3 3 2" xfId="14004" xr:uid="{A37DA461-32DF-4CB4-8478-4257EFA2AA18}"/>
    <cellStyle name="Normal 4 3 2 2 2 2 2 3 4" xfId="9786" xr:uid="{9DCA20F1-E3A0-4900-ADA4-E1A04AF254F3}"/>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152BAC93-52BD-4F4E-9B7D-4637A68F664F}"/>
    <cellStyle name="Normal 4 3 2 2 2 2 2 4 2 3" xfId="12344" xr:uid="{82720821-FDA3-4CEB-8705-CBA2C950171F}"/>
    <cellStyle name="Normal 4 3 2 2 2 2 2 4 3" xfId="5988" xr:uid="{00000000-0005-0000-0000-000017140000}"/>
    <cellStyle name="Normal 4 3 2 2 2 2 2 4 3 2" xfId="14417" xr:uid="{9791CC37-78CE-4C49-ADBD-9047293EA27E}"/>
    <cellStyle name="Normal 4 3 2 2 2 2 2 4 4" xfId="10199" xr:uid="{0CA402E0-8311-4510-9A4F-B5A83D273C9F}"/>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A3074F30-44DA-4C5F-B8B3-4DCA191A533B}"/>
    <cellStyle name="Normal 4 3 2 2 2 2 2 5 2 3" xfId="12757" xr:uid="{A4ACA9FC-1AD8-43C8-9BE4-473E8CABB2EB}"/>
    <cellStyle name="Normal 4 3 2 2 2 2 2 5 3" xfId="6401" xr:uid="{00000000-0005-0000-0000-00001B140000}"/>
    <cellStyle name="Normal 4 3 2 2 2 2 2 5 3 2" xfId="14830" xr:uid="{4F901DD7-F625-48D1-8B1B-F17E9109BC2E}"/>
    <cellStyle name="Normal 4 3 2 2 2 2 2 5 4" xfId="10612" xr:uid="{29E6A4D6-C953-4B8F-9B6C-34AC26779E97}"/>
    <cellStyle name="Normal 4 3 2 2 2 2 2 6" xfId="2529" xr:uid="{00000000-0005-0000-0000-00001C140000}"/>
    <cellStyle name="Normal 4 3 2 2 2 2 2 6 2" xfId="6814" xr:uid="{00000000-0005-0000-0000-00001D140000}"/>
    <cellStyle name="Normal 4 3 2 2 2 2 2 6 2 2" xfId="15243" xr:uid="{C65419CF-ED8E-4CC1-8D43-238B4BF4B0FD}"/>
    <cellStyle name="Normal 4 3 2 2 2 2 2 6 3" xfId="11025" xr:uid="{A0A7BD6E-A08B-47AF-A27C-CAD350F48A40}"/>
    <cellStyle name="Normal 4 3 2 2 2 2 2 7" xfId="4749" xr:uid="{00000000-0005-0000-0000-00001E140000}"/>
    <cellStyle name="Normal 4 3 2 2 2 2 2 7 2" xfId="13178" xr:uid="{AF5E7001-82B4-4440-B0D4-B81DBB20644C}"/>
    <cellStyle name="Normal 4 3 2 2 2 2 2 8" xfId="8960" xr:uid="{EB7B0705-4181-4DFA-BDFD-036E9E6B62EC}"/>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AD4D16BB-7E88-4A7D-A56E-66DC6D4E7D68}"/>
    <cellStyle name="Normal 4 3 2 2 2 2 3 2 3" xfId="11517" xr:uid="{AB063C0D-F8F1-4235-B645-F69112EE1584}"/>
    <cellStyle name="Normal 4 3 2 2 2 2 3 3" xfId="5161" xr:uid="{00000000-0005-0000-0000-000022140000}"/>
    <cellStyle name="Normal 4 3 2 2 2 2 3 3 2" xfId="13590" xr:uid="{51325EDC-AC76-4A6B-AAE0-0CC351ABCFFB}"/>
    <cellStyle name="Normal 4 3 2 2 2 2 3 4" xfId="9372" xr:uid="{86D6DA5F-622F-4956-BB37-3570EF11D16A}"/>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A6B3437F-2F96-4A35-8B39-D1DBF729F254}"/>
    <cellStyle name="Normal 4 3 2 2 2 2 4 2 3" xfId="11930" xr:uid="{75D5BE8F-5149-4D45-B17F-48DE2C86EFF3}"/>
    <cellStyle name="Normal 4 3 2 2 2 2 4 3" xfId="5574" xr:uid="{00000000-0005-0000-0000-000026140000}"/>
    <cellStyle name="Normal 4 3 2 2 2 2 4 3 2" xfId="14003" xr:uid="{5A90B5D4-DC3A-43F0-9851-B9B2E09D9CD0}"/>
    <cellStyle name="Normal 4 3 2 2 2 2 4 4" xfId="9785" xr:uid="{7E855364-C82C-49B2-A505-B4A5FDE0701C}"/>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12AD9757-7E0C-4C1A-9710-8CD72B232114}"/>
    <cellStyle name="Normal 4 3 2 2 2 2 5 2 3" xfId="12343" xr:uid="{0FA0CFA2-2061-453C-A864-7972F50FCE14}"/>
    <cellStyle name="Normal 4 3 2 2 2 2 5 3" xfId="5987" xr:uid="{00000000-0005-0000-0000-00002A140000}"/>
    <cellStyle name="Normal 4 3 2 2 2 2 5 3 2" xfId="14416" xr:uid="{89203301-4B22-4287-8F0C-19AA65D49C6B}"/>
    <cellStyle name="Normal 4 3 2 2 2 2 5 4" xfId="10198" xr:uid="{79B83422-DBF6-4E3F-99D0-2A5F2441AAFB}"/>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3A991B28-61F9-40ED-BABB-D1C5156020C8}"/>
    <cellStyle name="Normal 4 3 2 2 2 2 6 2 3" xfId="12756" xr:uid="{DE55209D-E1C7-4AC5-B7F1-9FDFF834985B}"/>
    <cellStyle name="Normal 4 3 2 2 2 2 6 3" xfId="6400" xr:uid="{00000000-0005-0000-0000-00002E140000}"/>
    <cellStyle name="Normal 4 3 2 2 2 2 6 3 2" xfId="14829" xr:uid="{966C1D62-1E9D-43BE-8B19-DCA33251D242}"/>
    <cellStyle name="Normal 4 3 2 2 2 2 6 4" xfId="10611" xr:uid="{41EAD3D5-14B7-4069-BA52-A115874C6C30}"/>
    <cellStyle name="Normal 4 3 2 2 2 2 7" xfId="2528" xr:uid="{00000000-0005-0000-0000-00002F140000}"/>
    <cellStyle name="Normal 4 3 2 2 2 2 7 2" xfId="6813" xr:uid="{00000000-0005-0000-0000-000030140000}"/>
    <cellStyle name="Normal 4 3 2 2 2 2 7 2 2" xfId="15242" xr:uid="{62817CEC-23C1-461F-A726-171DABA85C38}"/>
    <cellStyle name="Normal 4 3 2 2 2 2 7 3" xfId="11024" xr:uid="{5E1899D0-98CC-4FFC-B94A-35AB922F8F4D}"/>
    <cellStyle name="Normal 4 3 2 2 2 2 8" xfId="4748" xr:uid="{00000000-0005-0000-0000-000031140000}"/>
    <cellStyle name="Normal 4 3 2 2 2 2 8 2" xfId="13177" xr:uid="{B1BED908-AC48-4176-906F-3676DF8DAE06}"/>
    <cellStyle name="Normal 4 3 2 2 2 2 9" xfId="8959" xr:uid="{4B8836FD-D628-480D-8E0E-16D17BE05447}"/>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5AA79F15-84CA-4264-B3B8-88D5832FA085}"/>
    <cellStyle name="Normal 4 3 2 2 2 3 2 2 3" xfId="11519" xr:uid="{4111E839-3ADC-43B9-8410-D91C0DB47FA8}"/>
    <cellStyle name="Normal 4 3 2 2 2 3 2 3" xfId="5163" xr:uid="{00000000-0005-0000-0000-000036140000}"/>
    <cellStyle name="Normal 4 3 2 2 2 3 2 3 2" xfId="13592" xr:uid="{A8B14742-8F58-4C50-991C-ED86F63FB55F}"/>
    <cellStyle name="Normal 4 3 2 2 2 3 2 4" xfId="9374" xr:uid="{3FA46280-16B8-472A-B9FF-2271CBCFFC54}"/>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93BD3286-0613-4FBF-AD0F-FB55DB0A0EA7}"/>
    <cellStyle name="Normal 4 3 2 2 2 3 3 2 3" xfId="11932" xr:uid="{AAF7530A-4E9D-4EBA-ABEC-0802B3CD1BF0}"/>
    <cellStyle name="Normal 4 3 2 2 2 3 3 3" xfId="5576" xr:uid="{00000000-0005-0000-0000-00003A140000}"/>
    <cellStyle name="Normal 4 3 2 2 2 3 3 3 2" xfId="14005" xr:uid="{A156A3CD-012E-45BE-8BC9-692D5DB91D32}"/>
    <cellStyle name="Normal 4 3 2 2 2 3 3 4" xfId="9787" xr:uid="{B34B61CA-FAA6-411D-B2FE-02641BD9FD24}"/>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05CA77A1-9465-4B5D-81A2-060EB44E2648}"/>
    <cellStyle name="Normal 4 3 2 2 2 3 4 2 3" xfId="12345" xr:uid="{01178331-75A1-4796-B887-1F0B829DE7CF}"/>
    <cellStyle name="Normal 4 3 2 2 2 3 4 3" xfId="5989" xr:uid="{00000000-0005-0000-0000-00003E140000}"/>
    <cellStyle name="Normal 4 3 2 2 2 3 4 3 2" xfId="14418" xr:uid="{092D065F-6D83-446A-BB61-2816D9B7D38D}"/>
    <cellStyle name="Normal 4 3 2 2 2 3 4 4" xfId="10200" xr:uid="{4102AD47-06EF-4CD6-AF87-2BB2F2C24EA1}"/>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5AA81634-53A9-4235-8FB2-61CA2D3B0BF5}"/>
    <cellStyle name="Normal 4 3 2 2 2 3 5 2 3" xfId="12758" xr:uid="{3113129B-CC6C-4E9B-8492-0B413CCF44C1}"/>
    <cellStyle name="Normal 4 3 2 2 2 3 5 3" xfId="6402" xr:uid="{00000000-0005-0000-0000-000042140000}"/>
    <cellStyle name="Normal 4 3 2 2 2 3 5 3 2" xfId="14831" xr:uid="{F553CC04-B3DE-4ED0-A6E0-6DDC9DDB17E2}"/>
    <cellStyle name="Normal 4 3 2 2 2 3 5 4" xfId="10613" xr:uid="{5E9F9353-10BF-4D4E-8832-1BCA95C913E9}"/>
    <cellStyle name="Normal 4 3 2 2 2 3 6" xfId="2530" xr:uid="{00000000-0005-0000-0000-000043140000}"/>
    <cellStyle name="Normal 4 3 2 2 2 3 6 2" xfId="6815" xr:uid="{00000000-0005-0000-0000-000044140000}"/>
    <cellStyle name="Normal 4 3 2 2 2 3 6 2 2" xfId="15244" xr:uid="{C516074C-F8EF-41CA-B58D-93250D80C2AA}"/>
    <cellStyle name="Normal 4 3 2 2 2 3 6 3" xfId="11026" xr:uid="{34613645-9C35-4E34-813E-4C129C13C76A}"/>
    <cellStyle name="Normal 4 3 2 2 2 3 7" xfId="4750" xr:uid="{00000000-0005-0000-0000-000045140000}"/>
    <cellStyle name="Normal 4 3 2 2 2 3 7 2" xfId="13179" xr:uid="{FD216160-936C-4333-AAB2-52863861AAEC}"/>
    <cellStyle name="Normal 4 3 2 2 2 3 8" xfId="8961" xr:uid="{7DD5B127-44EA-4CAA-87E4-557F0E950747}"/>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C623D4C7-3BC1-4B7A-82AF-98E4BE46C40A}"/>
    <cellStyle name="Normal 4 3 2 2 2 4 2 3" xfId="11516" xr:uid="{44818141-CD39-4850-8CC3-3D67F35CFE4E}"/>
    <cellStyle name="Normal 4 3 2 2 2 4 3" xfId="5160" xr:uid="{00000000-0005-0000-0000-000049140000}"/>
    <cellStyle name="Normal 4 3 2 2 2 4 3 2" xfId="13589" xr:uid="{823CD425-1A3B-43F2-8ACC-1D1971EE01FB}"/>
    <cellStyle name="Normal 4 3 2 2 2 4 4" xfId="9371" xr:uid="{C64D2433-4213-4043-9516-70FB0841E7C7}"/>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29039D1A-94F0-4E76-A48F-3CF143401410}"/>
    <cellStyle name="Normal 4 3 2 2 2 5 2 3" xfId="11929" xr:uid="{0A4D20C9-B876-439C-A567-09A77F25F959}"/>
    <cellStyle name="Normal 4 3 2 2 2 5 3" xfId="5573" xr:uid="{00000000-0005-0000-0000-00004D140000}"/>
    <cellStyle name="Normal 4 3 2 2 2 5 3 2" xfId="14002" xr:uid="{21A62BBE-2420-4668-B067-B00BDFF0FF21}"/>
    <cellStyle name="Normal 4 3 2 2 2 5 4" xfId="9784" xr:uid="{A87C0A76-CB23-4047-AD0B-AFE707142725}"/>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F20C5827-5E2B-4CB1-8A7D-52FE4A22D0F0}"/>
    <cellStyle name="Normal 4 3 2 2 2 6 2 3" xfId="12342" xr:uid="{C619D713-1E97-4A29-8298-1719ADB6CD8B}"/>
    <cellStyle name="Normal 4 3 2 2 2 6 3" xfId="5986" xr:uid="{00000000-0005-0000-0000-000051140000}"/>
    <cellStyle name="Normal 4 3 2 2 2 6 3 2" xfId="14415" xr:uid="{E9788A64-B7DD-4AE9-8B9E-7A142A2031C8}"/>
    <cellStyle name="Normal 4 3 2 2 2 6 4" xfId="10197" xr:uid="{A3DE77D4-5F9D-41E1-A8B5-95DF58D7B7CB}"/>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F25C4E43-043F-4811-91E5-12F4F687B5C5}"/>
    <cellStyle name="Normal 4 3 2 2 2 7 2 3" xfId="12755" xr:uid="{8B23D1EF-68F0-440A-8B27-69169FB2A495}"/>
    <cellStyle name="Normal 4 3 2 2 2 7 3" xfId="6399" xr:uid="{00000000-0005-0000-0000-000055140000}"/>
    <cellStyle name="Normal 4 3 2 2 2 7 3 2" xfId="14828" xr:uid="{969ECB99-7329-49D8-BE08-09641DCF97EE}"/>
    <cellStyle name="Normal 4 3 2 2 2 7 4" xfId="10610" xr:uid="{2E93428F-7A40-44D5-A513-8657F8C11906}"/>
    <cellStyle name="Normal 4 3 2 2 2 8" xfId="2527" xr:uid="{00000000-0005-0000-0000-000056140000}"/>
    <cellStyle name="Normal 4 3 2 2 2 8 2" xfId="6812" xr:uid="{00000000-0005-0000-0000-000057140000}"/>
    <cellStyle name="Normal 4 3 2 2 2 8 2 2" xfId="15241" xr:uid="{882A07D9-E116-4D9D-8919-EC85A398D142}"/>
    <cellStyle name="Normal 4 3 2 2 2 8 3" xfId="11023" xr:uid="{28408AD3-20CD-4937-AB4B-D15A14E5268F}"/>
    <cellStyle name="Normal 4 3 2 2 2 9" xfId="4747" xr:uid="{00000000-0005-0000-0000-000058140000}"/>
    <cellStyle name="Normal 4 3 2 2 2 9 2" xfId="13176" xr:uid="{B27CF032-D7AF-457C-91CE-9A50FCAED31A}"/>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84B4494F-BDB9-4A7B-BEB2-AC6FF3227192}"/>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CC3FB110-0401-4218-944F-51683A8F0D8D}"/>
    <cellStyle name="Normal 4 3 3 2 2 2 2 3" xfId="11522" xr:uid="{B995F9AC-832C-4747-9DB9-71AC3898A21E}"/>
    <cellStyle name="Normal 4 3 3 2 2 2 3" xfId="5166" xr:uid="{00000000-0005-0000-0000-000062140000}"/>
    <cellStyle name="Normal 4 3 3 2 2 2 3 2" xfId="13595" xr:uid="{DF8AD8FB-AB99-4E77-8E05-54838C810CC6}"/>
    <cellStyle name="Normal 4 3 3 2 2 2 4" xfId="9377" xr:uid="{3DD72329-949F-4060-9729-E7801B08A24A}"/>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77B43F90-D1A2-481A-8DEA-97475C32DBBE}"/>
    <cellStyle name="Normal 4 3 3 2 2 3 2 3" xfId="11935" xr:uid="{3A04B5D8-1EF1-4093-A8A1-A764E2B0BA0E}"/>
    <cellStyle name="Normal 4 3 3 2 2 3 3" xfId="5579" xr:uid="{00000000-0005-0000-0000-000066140000}"/>
    <cellStyle name="Normal 4 3 3 2 2 3 3 2" xfId="14008" xr:uid="{D1ACEA79-0A01-42D0-A764-6B4E1E0989D3}"/>
    <cellStyle name="Normal 4 3 3 2 2 3 4" xfId="9790" xr:uid="{6D88899E-D4CD-4014-A25D-33B2809E3C49}"/>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70DF288F-73EC-417C-98F6-5CF4A2408DE9}"/>
    <cellStyle name="Normal 4 3 3 2 2 4 2 3" xfId="12348" xr:uid="{17CC467B-BE1B-4576-A2EC-2374D717351A}"/>
    <cellStyle name="Normal 4 3 3 2 2 4 3" xfId="5992" xr:uid="{00000000-0005-0000-0000-00006A140000}"/>
    <cellStyle name="Normal 4 3 3 2 2 4 3 2" xfId="14421" xr:uid="{B087A49A-EADD-4DCF-B36A-34D01FF10A50}"/>
    <cellStyle name="Normal 4 3 3 2 2 4 4" xfId="10203" xr:uid="{7F7A4841-E8A5-4F2F-AF62-ED10A0E043BE}"/>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EED0458A-4CC3-4373-83CF-225606621E00}"/>
    <cellStyle name="Normal 4 3 3 2 2 5 2 3" xfId="12761" xr:uid="{C46B7ABF-A96C-45B4-B1C7-D927D0F428BD}"/>
    <cellStyle name="Normal 4 3 3 2 2 5 3" xfId="6405" xr:uid="{00000000-0005-0000-0000-00006E140000}"/>
    <cellStyle name="Normal 4 3 3 2 2 5 3 2" xfId="14834" xr:uid="{A12046F8-0CB7-4167-A73B-D32206D8AF3D}"/>
    <cellStyle name="Normal 4 3 3 2 2 5 4" xfId="10616" xr:uid="{C27D9D86-2699-4963-9136-E8BE4DA2FF1D}"/>
    <cellStyle name="Normal 4 3 3 2 2 6" xfId="2533" xr:uid="{00000000-0005-0000-0000-00006F140000}"/>
    <cellStyle name="Normal 4 3 3 2 2 6 2" xfId="6818" xr:uid="{00000000-0005-0000-0000-000070140000}"/>
    <cellStyle name="Normal 4 3 3 2 2 6 2 2" xfId="15247" xr:uid="{F37AA2A6-E92F-4EA7-A7BC-A8113B9A5466}"/>
    <cellStyle name="Normal 4 3 3 2 2 6 3" xfId="11029" xr:uid="{C544DDEC-9545-4F63-B4F1-666A61384FC3}"/>
    <cellStyle name="Normal 4 3 3 2 2 7" xfId="4753" xr:uid="{00000000-0005-0000-0000-000071140000}"/>
    <cellStyle name="Normal 4 3 3 2 2 7 2" xfId="13182" xr:uid="{23A31005-2527-4230-9182-9E854D6A6760}"/>
    <cellStyle name="Normal 4 3 3 2 2 8" xfId="8964" xr:uid="{D3A728A3-9BD2-42E2-BFD6-9577BC10A442}"/>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F79119DD-8671-4A5B-AA29-F6A4F8A3BA47}"/>
    <cellStyle name="Normal 4 3 3 2 3 2 3" xfId="11521" xr:uid="{56003C80-89EC-46A0-83F1-84ECEA34EE8E}"/>
    <cellStyle name="Normal 4 3 3 2 3 3" xfId="5165" xr:uid="{00000000-0005-0000-0000-000075140000}"/>
    <cellStyle name="Normal 4 3 3 2 3 3 2" xfId="13594" xr:uid="{8B0CFF0E-B840-4622-9199-57A42FE83F06}"/>
    <cellStyle name="Normal 4 3 3 2 3 4" xfId="9376" xr:uid="{75E4CD19-A0D2-4BFF-A34F-1A05CEDDB7EE}"/>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88AD2273-DDE8-4C2A-AA0C-7731B91A97F6}"/>
    <cellStyle name="Normal 4 3 3 2 4 2 3" xfId="11934" xr:uid="{4796A74A-A2B7-45B0-831B-47265C2CEC31}"/>
    <cellStyle name="Normal 4 3 3 2 4 3" xfId="5578" xr:uid="{00000000-0005-0000-0000-000079140000}"/>
    <cellStyle name="Normal 4 3 3 2 4 3 2" xfId="14007" xr:uid="{2859ED0F-E292-4F08-B035-43C508D07698}"/>
    <cellStyle name="Normal 4 3 3 2 4 4" xfId="9789" xr:uid="{BFC2D7A5-F6D2-413C-B302-5312A1536C9B}"/>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7D4DCE17-CEFF-4527-9E12-19C18272311D}"/>
    <cellStyle name="Normal 4 3 3 2 5 2 3" xfId="12347" xr:uid="{815AEE2A-8FDE-43B6-AF87-303689285D30}"/>
    <cellStyle name="Normal 4 3 3 2 5 3" xfId="5991" xr:uid="{00000000-0005-0000-0000-00007D140000}"/>
    <cellStyle name="Normal 4 3 3 2 5 3 2" xfId="14420" xr:uid="{19532984-4E83-48F7-8582-124AD842F0EC}"/>
    <cellStyle name="Normal 4 3 3 2 5 4" xfId="10202" xr:uid="{CE92012D-723F-4C80-9225-5E9A9C7DCFA3}"/>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C774A79E-F8F2-4BDE-A2F4-5EFDC3BD4493}"/>
    <cellStyle name="Normal 4 3 3 2 6 2 3" xfId="12760" xr:uid="{D28F45F7-A3D3-47AF-BCE5-4FA3189D20C1}"/>
    <cellStyle name="Normal 4 3 3 2 6 3" xfId="6404" xr:uid="{00000000-0005-0000-0000-000081140000}"/>
    <cellStyle name="Normal 4 3 3 2 6 3 2" xfId="14833" xr:uid="{8E787455-E441-486F-842E-76EA3FA25645}"/>
    <cellStyle name="Normal 4 3 3 2 6 4" xfId="10615" xr:uid="{BDB11F23-375C-4FC8-B495-2DFC636AF92D}"/>
    <cellStyle name="Normal 4 3 3 2 7" xfId="2532" xr:uid="{00000000-0005-0000-0000-000082140000}"/>
    <cellStyle name="Normal 4 3 3 2 7 2" xfId="6817" xr:uid="{00000000-0005-0000-0000-000083140000}"/>
    <cellStyle name="Normal 4 3 3 2 7 2 2" xfId="15246" xr:uid="{4FB61E84-7FCC-4148-8E8A-0875D00D7CB1}"/>
    <cellStyle name="Normal 4 3 3 2 7 3" xfId="11028" xr:uid="{1681F42A-5D9A-48C5-9382-60390BE71068}"/>
    <cellStyle name="Normal 4 3 3 2 8" xfId="4752" xr:uid="{00000000-0005-0000-0000-000084140000}"/>
    <cellStyle name="Normal 4 3 3 2 8 2" xfId="13181" xr:uid="{1EE23B2F-C172-477F-A6C5-5F973BFB3691}"/>
    <cellStyle name="Normal 4 3 3 2 9" xfId="8963" xr:uid="{FF100AB8-095D-4CBB-81A2-065932BFE96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BED0557F-4BA0-4493-9F7E-CC4F34098480}"/>
    <cellStyle name="Normal 4 3 3 3 2 2 3" xfId="11523" xr:uid="{CDA3E87C-EC6B-4183-A68E-A1F0C3915940}"/>
    <cellStyle name="Normal 4 3 3 3 2 3" xfId="5167" xr:uid="{00000000-0005-0000-0000-000089140000}"/>
    <cellStyle name="Normal 4 3 3 3 2 3 2" xfId="13596" xr:uid="{7A8E6958-77F9-4EA1-B710-F1293D529525}"/>
    <cellStyle name="Normal 4 3 3 3 2 4" xfId="9378" xr:uid="{7FB27FC7-AE8D-4DD4-995E-730EF6E7B835}"/>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6681D4C3-4328-4623-81AC-EBF0003D63B5}"/>
    <cellStyle name="Normal 4 3 3 3 3 2 3" xfId="11936" xr:uid="{9B5A8B66-D66A-4B8E-A20C-688FAABEE096}"/>
    <cellStyle name="Normal 4 3 3 3 3 3" xfId="5580" xr:uid="{00000000-0005-0000-0000-00008D140000}"/>
    <cellStyle name="Normal 4 3 3 3 3 3 2" xfId="14009" xr:uid="{C2293C46-BD77-4F20-BDB1-349F58EC2625}"/>
    <cellStyle name="Normal 4 3 3 3 3 4" xfId="9791" xr:uid="{ED25C88E-B7E5-48F8-91D0-142BCDAD592C}"/>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83A7ADDE-0616-4244-AA77-196F26385427}"/>
    <cellStyle name="Normal 4 3 3 3 4 2 3" xfId="12349" xr:uid="{5C4C3836-8539-4FAF-8CD6-2A10F44A1178}"/>
    <cellStyle name="Normal 4 3 3 3 4 3" xfId="5993" xr:uid="{00000000-0005-0000-0000-000091140000}"/>
    <cellStyle name="Normal 4 3 3 3 4 3 2" xfId="14422" xr:uid="{806B359C-BABF-4974-B36D-AA84A72A79F0}"/>
    <cellStyle name="Normal 4 3 3 3 4 4" xfId="10204" xr:uid="{D8740B25-386C-4F8E-AA9C-F1E91AD3F705}"/>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E10F3A14-005B-4C3A-8014-CC5AD1DDCA42}"/>
    <cellStyle name="Normal 4 3 3 3 5 2 3" xfId="12762" xr:uid="{7BB3FD26-3C21-401A-B522-9070FDBDA94F}"/>
    <cellStyle name="Normal 4 3 3 3 5 3" xfId="6406" xr:uid="{00000000-0005-0000-0000-000095140000}"/>
    <cellStyle name="Normal 4 3 3 3 5 3 2" xfId="14835" xr:uid="{CA5A7CD8-8BAB-44CF-A4A3-5E3D34D32228}"/>
    <cellStyle name="Normal 4 3 3 3 5 4" xfId="10617" xr:uid="{98FFB10A-A2F2-44FB-BB3F-500C3A102C0E}"/>
    <cellStyle name="Normal 4 3 3 3 6" xfId="2534" xr:uid="{00000000-0005-0000-0000-000096140000}"/>
    <cellStyle name="Normal 4 3 3 3 6 2" xfId="6819" xr:uid="{00000000-0005-0000-0000-000097140000}"/>
    <cellStyle name="Normal 4 3 3 3 6 2 2" xfId="15248" xr:uid="{A9326F7E-993A-45F2-88D0-E466B0B69DD7}"/>
    <cellStyle name="Normal 4 3 3 3 6 3" xfId="11030" xr:uid="{4DFCB1DC-0EDF-4B3A-8949-D290FBE1F6D5}"/>
    <cellStyle name="Normal 4 3 3 3 7" xfId="4754" xr:uid="{00000000-0005-0000-0000-000098140000}"/>
    <cellStyle name="Normal 4 3 3 3 7 2" xfId="13183" xr:uid="{5C303172-2276-490A-B130-3F022A0282F7}"/>
    <cellStyle name="Normal 4 3 3 3 8" xfId="8965" xr:uid="{D8BEF0E3-F371-46C9-9A56-4D4DBD07E203}"/>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BC3D30D5-E2C1-4D50-9BD2-C86E953699D7}"/>
    <cellStyle name="Normal 4 3 3 4 2 3" xfId="11520" xr:uid="{DADC4813-DAE2-4AB8-BA4C-D82C2211D1AA}"/>
    <cellStyle name="Normal 4 3 3 4 3" xfId="5164" xr:uid="{00000000-0005-0000-0000-00009C140000}"/>
    <cellStyle name="Normal 4 3 3 4 3 2" xfId="13593" xr:uid="{B3161839-EAB4-4878-9F64-B4AD02649298}"/>
    <cellStyle name="Normal 4 3 3 4 4" xfId="9375" xr:uid="{7362B95D-BD1D-458D-B14F-ACE970DF8150}"/>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DBD9B82F-B876-42FA-BBC3-E36A21B3F88F}"/>
    <cellStyle name="Normal 4 3 3 5 2 3" xfId="11933" xr:uid="{F6126372-5B41-4F51-98FC-069BD891DD6E}"/>
    <cellStyle name="Normal 4 3 3 5 3" xfId="5577" xr:uid="{00000000-0005-0000-0000-0000A0140000}"/>
    <cellStyle name="Normal 4 3 3 5 3 2" xfId="14006" xr:uid="{68E840A4-6D37-464E-ABAF-F8D71B33BA1E}"/>
    <cellStyle name="Normal 4 3 3 5 4" xfId="9788" xr:uid="{8194165B-6216-408F-A9D1-86F030EFEBB4}"/>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F8A34E9A-E5D0-41BC-B2C6-A1A36E6D821C}"/>
    <cellStyle name="Normal 4 3 3 6 2 3" xfId="12346" xr:uid="{48F031BC-5BA2-40AF-8AC4-1D76DE4FAE3C}"/>
    <cellStyle name="Normal 4 3 3 6 3" xfId="5990" xr:uid="{00000000-0005-0000-0000-0000A4140000}"/>
    <cellStyle name="Normal 4 3 3 6 3 2" xfId="14419" xr:uid="{7601EBC3-E24B-4953-AE87-AA56A0D41AE1}"/>
    <cellStyle name="Normal 4 3 3 6 4" xfId="10201" xr:uid="{D06B6C44-944E-4E76-A3C6-062E0C87205D}"/>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2ACA50F4-D99B-41DD-997D-59BE04469055}"/>
    <cellStyle name="Normal 4 3 3 7 2 3" xfId="12759" xr:uid="{B33875DD-778A-489E-91EB-25620D15FAD0}"/>
    <cellStyle name="Normal 4 3 3 7 3" xfId="6403" xr:uid="{00000000-0005-0000-0000-0000A8140000}"/>
    <cellStyle name="Normal 4 3 3 7 3 2" xfId="14832" xr:uid="{53C87618-BEFF-4079-9F40-399DFC5EACD7}"/>
    <cellStyle name="Normal 4 3 3 7 4" xfId="10614" xr:uid="{0519070E-B4FB-4A5F-A3B3-65CDE72663D7}"/>
    <cellStyle name="Normal 4 3 3 8" xfId="2531" xr:uid="{00000000-0005-0000-0000-0000A9140000}"/>
    <cellStyle name="Normal 4 3 3 8 2" xfId="6816" xr:uid="{00000000-0005-0000-0000-0000AA140000}"/>
    <cellStyle name="Normal 4 3 3 8 2 2" xfId="15245" xr:uid="{29840469-2BAE-4799-9AAF-7A0C32ACE31A}"/>
    <cellStyle name="Normal 4 3 3 8 3" xfId="11027" xr:uid="{99EF48C5-FBA4-49A6-9CE1-FC0EFB881AA1}"/>
    <cellStyle name="Normal 4 3 3 9" xfId="4751" xr:uid="{00000000-0005-0000-0000-0000AB140000}"/>
    <cellStyle name="Normal 4 3 3 9 2" xfId="13180" xr:uid="{CDD8E5BB-3CEF-4E64-929D-EE817075B15B}"/>
    <cellStyle name="Normal 4 3 4" xfId="843" xr:uid="{00000000-0005-0000-0000-0000AC140000}"/>
    <cellStyle name="Normal 4 3 4 2" xfId="3080" xr:uid="{00000000-0005-0000-0000-0000AD140000}"/>
    <cellStyle name="Normal 4 3 4 2 2" xfId="7304" xr:uid="{00000000-0005-0000-0000-0000AE140000}"/>
    <cellStyle name="Normal 4 3 4 2 2 2" xfId="15733" xr:uid="{0563571A-7B02-4A85-A574-B52087A13E59}"/>
    <cellStyle name="Normal 4 3 4 2 3" xfId="11515" xr:uid="{CCCB5983-89E5-49CD-9D3B-2C5E2F9F6711}"/>
    <cellStyle name="Normal 4 3 4 3" xfId="5159" xr:uid="{00000000-0005-0000-0000-0000AF140000}"/>
    <cellStyle name="Normal 4 3 4 3 2" xfId="13588" xr:uid="{EF7A4E24-6811-4141-AEB1-6A0970C6AD9F}"/>
    <cellStyle name="Normal 4 3 4 4" xfId="9370" xr:uid="{AC20EA2F-CAD8-4FFA-8A9B-97601AB4286A}"/>
    <cellStyle name="Normal 4 3 5" xfId="1263" xr:uid="{00000000-0005-0000-0000-0000B0140000}"/>
    <cellStyle name="Normal 4 3 5 2" xfId="3493" xr:uid="{00000000-0005-0000-0000-0000B1140000}"/>
    <cellStyle name="Normal 4 3 5 2 2" xfId="7717" xr:uid="{00000000-0005-0000-0000-0000B2140000}"/>
    <cellStyle name="Normal 4 3 5 2 2 2" xfId="16146" xr:uid="{AD27FBC8-025B-44BD-B6F3-591232C80428}"/>
    <cellStyle name="Normal 4 3 5 2 3" xfId="11928" xr:uid="{2FDADCE5-8ED2-42C3-83F7-A1AB9343DA34}"/>
    <cellStyle name="Normal 4 3 5 3" xfId="5572" xr:uid="{00000000-0005-0000-0000-0000B3140000}"/>
    <cellStyle name="Normal 4 3 5 3 2" xfId="14001" xr:uid="{81267ECF-58A0-4D6F-93BE-4D8799C49CD8}"/>
    <cellStyle name="Normal 4 3 5 4" xfId="9783" xr:uid="{72AC9886-AC59-469F-AD88-C98D0A1C2935}"/>
    <cellStyle name="Normal 4 3 6" xfId="1676" xr:uid="{00000000-0005-0000-0000-0000B4140000}"/>
    <cellStyle name="Normal 4 3 6 2" xfId="3906" xr:uid="{00000000-0005-0000-0000-0000B5140000}"/>
    <cellStyle name="Normal 4 3 6 2 2" xfId="8130" xr:uid="{00000000-0005-0000-0000-0000B6140000}"/>
    <cellStyle name="Normal 4 3 6 2 2 2" xfId="16559" xr:uid="{C4B1B0DF-19F9-47CC-930D-5A508CBC2FB7}"/>
    <cellStyle name="Normal 4 3 6 2 3" xfId="12341" xr:uid="{32A338F6-1FD4-4923-83C4-D2AAD483BD4E}"/>
    <cellStyle name="Normal 4 3 6 3" xfId="5985" xr:uid="{00000000-0005-0000-0000-0000B7140000}"/>
    <cellStyle name="Normal 4 3 6 3 2" xfId="14414" xr:uid="{D4E9CACA-BDDA-4D0C-8FC8-092DA8BA7720}"/>
    <cellStyle name="Normal 4 3 6 4" xfId="10196" xr:uid="{BA2B8CBA-8F8E-499A-8D4C-E3DA6D7D6CC2}"/>
    <cellStyle name="Normal 4 3 7" xfId="2090" xr:uid="{00000000-0005-0000-0000-0000B8140000}"/>
    <cellStyle name="Normal 4 3 7 2" xfId="4319" xr:uid="{00000000-0005-0000-0000-0000B9140000}"/>
    <cellStyle name="Normal 4 3 7 2 2" xfId="8543" xr:uid="{00000000-0005-0000-0000-0000BA140000}"/>
    <cellStyle name="Normal 4 3 7 2 2 2" xfId="16972" xr:uid="{628757BF-2B9B-4DA0-8050-7A372D0F8B47}"/>
    <cellStyle name="Normal 4 3 7 2 3" xfId="12754" xr:uid="{20DAB4DD-7F62-40BE-AF85-6B7CC6102F62}"/>
    <cellStyle name="Normal 4 3 7 3" xfId="6398" xr:uid="{00000000-0005-0000-0000-0000BB140000}"/>
    <cellStyle name="Normal 4 3 7 3 2" xfId="14827" xr:uid="{371EBD37-9EB5-4A83-800A-BD58552A1F47}"/>
    <cellStyle name="Normal 4 3 7 4" xfId="10609" xr:uid="{B6AAC877-14FC-46F2-90AE-9A906798261C}"/>
    <cellStyle name="Normal 4 3 8" xfId="2526" xr:uid="{00000000-0005-0000-0000-0000BC140000}"/>
    <cellStyle name="Normal 4 3 8 2" xfId="6811" xr:uid="{00000000-0005-0000-0000-0000BD140000}"/>
    <cellStyle name="Normal 4 3 8 2 2" xfId="15240" xr:uid="{E58DBE0F-3100-46A7-A499-7C2F643F2637}"/>
    <cellStyle name="Normal 4 3 8 3" xfId="11022" xr:uid="{6F582EE9-786F-4949-BA19-EFEE8EF32FA5}"/>
    <cellStyle name="Normal 4 3 9" xfId="4746" xr:uid="{00000000-0005-0000-0000-0000BE140000}"/>
    <cellStyle name="Normal 4 3 9 2" xfId="13175" xr:uid="{1C4F3BAA-4CAC-434F-88D1-D345D8C96786}"/>
    <cellStyle name="Normal 4 4" xfId="378" xr:uid="{00000000-0005-0000-0000-0000BF140000}"/>
    <cellStyle name="Normal 4 4 10" xfId="2535" xr:uid="{00000000-0005-0000-0000-0000C0140000}"/>
    <cellStyle name="Normal 4 4 10 2" xfId="6820" xr:uid="{00000000-0005-0000-0000-0000C1140000}"/>
    <cellStyle name="Normal 4 4 10 2 2" xfId="15249" xr:uid="{4369CD11-59E9-4554-8064-A5F43904174A}"/>
    <cellStyle name="Normal 4 4 10 3" xfId="11031" xr:uid="{D9C54667-3F5C-4A2C-BE47-E93EB8DADC98}"/>
    <cellStyle name="Normal 4 4 11" xfId="4755" xr:uid="{00000000-0005-0000-0000-0000C2140000}"/>
    <cellStyle name="Normal 4 4 11 2" xfId="13184" xr:uid="{12925D32-BB33-46EF-B86F-6952DC5936AE}"/>
    <cellStyle name="Normal 4 4 12" xfId="8966" xr:uid="{C834B217-11D8-41FA-B87E-C1E6DD261046}"/>
    <cellStyle name="Normal 4 4 2" xfId="379" xr:uid="{00000000-0005-0000-0000-0000C3140000}"/>
    <cellStyle name="Normal 4 4 2 10" xfId="4756" xr:uid="{00000000-0005-0000-0000-0000C4140000}"/>
    <cellStyle name="Normal 4 4 2 10 2" xfId="13185" xr:uid="{85E8855A-ED91-46CE-94A2-12B060012F8A}"/>
    <cellStyle name="Normal 4 4 2 11" xfId="8967" xr:uid="{4279A9AA-57A4-43DB-A55F-4EB5461E4992}"/>
    <cellStyle name="Normal 4 4 2 2" xfId="380" xr:uid="{00000000-0005-0000-0000-0000C5140000}"/>
    <cellStyle name="Normal 4 4 2 2 10" xfId="8968" xr:uid="{2B9CDCE6-059E-4A08-91BE-D2B69BF23B9C}"/>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21FFFE3A-3481-4990-908B-09FAAD72D7B2}"/>
    <cellStyle name="Normal 4 4 2 2 2 2 2 2 3" xfId="11528" xr:uid="{7727770B-8E99-4129-AC39-82BC687EED15}"/>
    <cellStyle name="Normal 4 4 2 2 2 2 2 3" xfId="5172" xr:uid="{00000000-0005-0000-0000-0000CB140000}"/>
    <cellStyle name="Normal 4 4 2 2 2 2 2 3 2" xfId="13601" xr:uid="{98D41217-FEA2-484F-AA9A-2C4338D36BF9}"/>
    <cellStyle name="Normal 4 4 2 2 2 2 2 4" xfId="9383" xr:uid="{0AE28891-8B1C-4275-B09B-223827FA5382}"/>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A2793539-6E96-47FB-B65B-DF8EE9CA9101}"/>
    <cellStyle name="Normal 4 4 2 2 2 2 3 2 3" xfId="11941" xr:uid="{7C5F043D-E3DA-45ED-AF28-519E36E03C78}"/>
    <cellStyle name="Normal 4 4 2 2 2 2 3 3" xfId="5585" xr:uid="{00000000-0005-0000-0000-0000CF140000}"/>
    <cellStyle name="Normal 4 4 2 2 2 2 3 3 2" xfId="14014" xr:uid="{E18D47CD-3A7E-4F94-A92D-6762B0D31298}"/>
    <cellStyle name="Normal 4 4 2 2 2 2 3 4" xfId="9796" xr:uid="{A5C8AF8E-8E3B-41DD-B1BC-027C38C92577}"/>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DD70A778-CB21-4A46-A03A-971860449CDB}"/>
    <cellStyle name="Normal 4 4 2 2 2 2 4 2 3" xfId="12354" xr:uid="{FADB5554-BD01-491D-BB04-8D1F6F73E29C}"/>
    <cellStyle name="Normal 4 4 2 2 2 2 4 3" xfId="5998" xr:uid="{00000000-0005-0000-0000-0000D3140000}"/>
    <cellStyle name="Normal 4 4 2 2 2 2 4 3 2" xfId="14427" xr:uid="{2AE7CC9A-1D61-4297-93A1-77E6F444D091}"/>
    <cellStyle name="Normal 4 4 2 2 2 2 4 4" xfId="10209" xr:uid="{D4B2BB99-BF47-43BF-800A-D2D51CA86999}"/>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E7BC53C6-4CB0-492A-8D56-C2B0C9CB1F49}"/>
    <cellStyle name="Normal 4 4 2 2 2 2 5 2 3" xfId="12767" xr:uid="{07FF5E78-E0E6-4B14-B8DE-150AE6ED42C2}"/>
    <cellStyle name="Normal 4 4 2 2 2 2 5 3" xfId="6411" xr:uid="{00000000-0005-0000-0000-0000D7140000}"/>
    <cellStyle name="Normal 4 4 2 2 2 2 5 3 2" xfId="14840" xr:uid="{F7844D9E-1945-4C7E-BE87-32296A31CDED}"/>
    <cellStyle name="Normal 4 4 2 2 2 2 5 4" xfId="10622" xr:uid="{8DF0462E-73D3-4A0A-A9FD-C971F48529A7}"/>
    <cellStyle name="Normal 4 4 2 2 2 2 6" xfId="2539" xr:uid="{00000000-0005-0000-0000-0000D8140000}"/>
    <cellStyle name="Normal 4 4 2 2 2 2 6 2" xfId="6824" xr:uid="{00000000-0005-0000-0000-0000D9140000}"/>
    <cellStyle name="Normal 4 4 2 2 2 2 6 2 2" xfId="15253" xr:uid="{BCA9AFBE-5DA6-465F-B54D-0853AC5ABC4B}"/>
    <cellStyle name="Normal 4 4 2 2 2 2 6 3" xfId="11035" xr:uid="{297FE43F-4673-419D-B8DB-D62380591AEF}"/>
    <cellStyle name="Normal 4 4 2 2 2 2 7" xfId="4759" xr:uid="{00000000-0005-0000-0000-0000DA140000}"/>
    <cellStyle name="Normal 4 4 2 2 2 2 7 2" xfId="13188" xr:uid="{C63DD446-5D9D-418C-9A62-40C71C5B395B}"/>
    <cellStyle name="Normal 4 4 2 2 2 2 8" xfId="8970" xr:uid="{B35B8A53-37C3-4B82-9CB6-B4A684DAE9BB}"/>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6F288F17-30FB-4653-9F68-D6099A1C4828}"/>
    <cellStyle name="Normal 4 4 2 2 2 3 2 3" xfId="11527" xr:uid="{7A335DBB-8801-46E2-B048-5987DE17926B}"/>
    <cellStyle name="Normal 4 4 2 2 2 3 3" xfId="5171" xr:uid="{00000000-0005-0000-0000-0000DE140000}"/>
    <cellStyle name="Normal 4 4 2 2 2 3 3 2" xfId="13600" xr:uid="{97D0C222-95AB-431E-A708-689AE8C3AB4B}"/>
    <cellStyle name="Normal 4 4 2 2 2 3 4" xfId="9382" xr:uid="{71F3FC8E-6C3D-4665-A6D5-E1AC188B58F5}"/>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BD3A42AF-9580-4598-98EF-44261E97B047}"/>
    <cellStyle name="Normal 4 4 2 2 2 4 2 3" xfId="11940" xr:uid="{645E487F-11B9-40A6-B1A4-E59877DCC646}"/>
    <cellStyle name="Normal 4 4 2 2 2 4 3" xfId="5584" xr:uid="{00000000-0005-0000-0000-0000E2140000}"/>
    <cellStyle name="Normal 4 4 2 2 2 4 3 2" xfId="14013" xr:uid="{50AF29FB-5119-46D3-ADFB-3F66DCCA380B}"/>
    <cellStyle name="Normal 4 4 2 2 2 4 4" xfId="9795" xr:uid="{8F5CF8EF-0223-41F9-9895-D8387156B7B7}"/>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3C92DA02-3ECB-42E9-851B-23121AD5062F}"/>
    <cellStyle name="Normal 4 4 2 2 2 5 2 3" xfId="12353" xr:uid="{DDF1C95B-5A80-44A2-910A-4AC964328EF8}"/>
    <cellStyle name="Normal 4 4 2 2 2 5 3" xfId="5997" xr:uid="{00000000-0005-0000-0000-0000E6140000}"/>
    <cellStyle name="Normal 4 4 2 2 2 5 3 2" xfId="14426" xr:uid="{0EDB87E8-DAE6-41AD-A046-D03BB47121DC}"/>
    <cellStyle name="Normal 4 4 2 2 2 5 4" xfId="10208" xr:uid="{21EB073A-FC2D-4C01-BDCD-5B36A78C54B8}"/>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B628FE44-866E-4D72-9FB3-AD73C574871F}"/>
    <cellStyle name="Normal 4 4 2 2 2 6 2 3" xfId="12766" xr:uid="{E1B83892-DAEA-4617-BAAB-FCE0850D397F}"/>
    <cellStyle name="Normal 4 4 2 2 2 6 3" xfId="6410" xr:uid="{00000000-0005-0000-0000-0000EA140000}"/>
    <cellStyle name="Normal 4 4 2 2 2 6 3 2" xfId="14839" xr:uid="{D9249034-A9B2-4159-ACA6-DA03110B1DB8}"/>
    <cellStyle name="Normal 4 4 2 2 2 6 4" xfId="10621" xr:uid="{DC74602B-CE8B-4F64-A43F-EC59C5BE3211}"/>
    <cellStyle name="Normal 4 4 2 2 2 7" xfId="2538" xr:uid="{00000000-0005-0000-0000-0000EB140000}"/>
    <cellStyle name="Normal 4 4 2 2 2 7 2" xfId="6823" xr:uid="{00000000-0005-0000-0000-0000EC140000}"/>
    <cellStyle name="Normal 4 4 2 2 2 7 2 2" xfId="15252" xr:uid="{D6097F6E-5469-403F-A602-58C5F3B0B86C}"/>
    <cellStyle name="Normal 4 4 2 2 2 7 3" xfId="11034" xr:uid="{7D86004D-9066-42AE-BD02-86D15057D645}"/>
    <cellStyle name="Normal 4 4 2 2 2 8" xfId="4758" xr:uid="{00000000-0005-0000-0000-0000ED140000}"/>
    <cellStyle name="Normal 4 4 2 2 2 8 2" xfId="13187" xr:uid="{7A9A8D10-1AF6-4D89-8077-0B27BD08ED0F}"/>
    <cellStyle name="Normal 4 4 2 2 2 9" xfId="8969" xr:uid="{56570CB3-1D64-465F-B2B3-C16DF42E70F2}"/>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6002FF7A-F5A2-4B5A-86C3-6EDB5952A913}"/>
    <cellStyle name="Normal 4 4 2 2 3 2 2 3" xfId="11529" xr:uid="{AB7AED4A-52BC-4BE2-BD44-E196004931CC}"/>
    <cellStyle name="Normal 4 4 2 2 3 2 3" xfId="5173" xr:uid="{00000000-0005-0000-0000-0000F2140000}"/>
    <cellStyle name="Normal 4 4 2 2 3 2 3 2" xfId="13602" xr:uid="{862D49AC-5A40-47D9-9DB3-464F9C332F93}"/>
    <cellStyle name="Normal 4 4 2 2 3 2 4" xfId="9384" xr:uid="{5EAD86E9-6771-4768-9432-FBE73D3B52FC}"/>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91BF4F84-9028-43A4-BA2B-2DA7E5204182}"/>
    <cellStyle name="Normal 4 4 2 2 3 3 2 3" xfId="11942" xr:uid="{758E0B6B-818D-4B72-A454-7EE50611C0C0}"/>
    <cellStyle name="Normal 4 4 2 2 3 3 3" xfId="5586" xr:uid="{00000000-0005-0000-0000-0000F6140000}"/>
    <cellStyle name="Normal 4 4 2 2 3 3 3 2" xfId="14015" xr:uid="{124DE328-6F0F-438E-A8B8-858736C0BE65}"/>
    <cellStyle name="Normal 4 4 2 2 3 3 4" xfId="9797" xr:uid="{292F9C1D-16CC-448A-818F-774A661626AE}"/>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82EDFF06-B1FC-4262-86B5-41FC92CB1162}"/>
    <cellStyle name="Normal 4 4 2 2 3 4 2 3" xfId="12355" xr:uid="{3EAB7F25-3F83-49CA-B2B7-55C1BFE781D7}"/>
    <cellStyle name="Normal 4 4 2 2 3 4 3" xfId="5999" xr:uid="{00000000-0005-0000-0000-0000FA140000}"/>
    <cellStyle name="Normal 4 4 2 2 3 4 3 2" xfId="14428" xr:uid="{FF655A31-43CC-436A-8C9A-2E87A1D3A8AA}"/>
    <cellStyle name="Normal 4 4 2 2 3 4 4" xfId="10210" xr:uid="{0237156D-4AC4-467F-9390-F5E698AC29A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76E89724-C54A-4CBB-9BB3-3603F6E099BB}"/>
    <cellStyle name="Normal 4 4 2 2 3 5 2 3" xfId="12768" xr:uid="{2BCABD15-08B3-456C-A7A4-E5B9BDA62CE0}"/>
    <cellStyle name="Normal 4 4 2 2 3 5 3" xfId="6412" xr:uid="{00000000-0005-0000-0000-0000FE140000}"/>
    <cellStyle name="Normal 4 4 2 2 3 5 3 2" xfId="14841" xr:uid="{4EEC7587-DE75-4764-93CA-A55F4393E77B}"/>
    <cellStyle name="Normal 4 4 2 2 3 5 4" xfId="10623" xr:uid="{80B51F36-C00D-4A30-A8CB-6F952018A194}"/>
    <cellStyle name="Normal 4 4 2 2 3 6" xfId="2540" xr:uid="{00000000-0005-0000-0000-0000FF140000}"/>
    <cellStyle name="Normal 4 4 2 2 3 6 2" xfId="6825" xr:uid="{00000000-0005-0000-0000-000000150000}"/>
    <cellStyle name="Normal 4 4 2 2 3 6 2 2" xfId="15254" xr:uid="{C49F560A-231C-4393-8343-3FAA286A1B48}"/>
    <cellStyle name="Normal 4 4 2 2 3 6 3" xfId="11036" xr:uid="{DA7F3643-BDB0-4F2E-AFE3-951435855BF6}"/>
    <cellStyle name="Normal 4 4 2 2 3 7" xfId="4760" xr:uid="{00000000-0005-0000-0000-000001150000}"/>
    <cellStyle name="Normal 4 4 2 2 3 7 2" xfId="13189" xr:uid="{B4CDDD67-16E5-4DDA-A900-38D3F50396D6}"/>
    <cellStyle name="Normal 4 4 2 2 3 8" xfId="8971" xr:uid="{64A4D629-B958-4078-8511-AA00D7A66437}"/>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69F1772B-3755-4649-A846-56891B770FDD}"/>
    <cellStyle name="Normal 4 4 2 2 4 2 3" xfId="11526" xr:uid="{4E3D52A9-D4AB-4141-8D09-955FBEF3A6CE}"/>
    <cellStyle name="Normal 4 4 2 2 4 3" xfId="5170" xr:uid="{00000000-0005-0000-0000-000005150000}"/>
    <cellStyle name="Normal 4 4 2 2 4 3 2" xfId="13599" xr:uid="{E454CBAD-FBFE-40FB-A857-446DA91B8F36}"/>
    <cellStyle name="Normal 4 4 2 2 4 4" xfId="9381" xr:uid="{DBEC62DC-36E2-45C0-8830-A4E54606278A}"/>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EDB094A6-F2CA-4A9B-A141-4D0E702F575B}"/>
    <cellStyle name="Normal 4 4 2 2 5 2 3" xfId="11939" xr:uid="{293F54F7-6D8D-45D8-AA63-1B595D28240C}"/>
    <cellStyle name="Normal 4 4 2 2 5 3" xfId="5583" xr:uid="{00000000-0005-0000-0000-000009150000}"/>
    <cellStyle name="Normal 4 4 2 2 5 3 2" xfId="14012" xr:uid="{13EE90FA-ED92-4028-9376-5B6A0C31DD5E}"/>
    <cellStyle name="Normal 4 4 2 2 5 4" xfId="9794" xr:uid="{54EAC80A-FD68-490D-8C18-F54162C81CC7}"/>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9FFA8960-82C6-4502-BEF0-8434FF85B3A9}"/>
    <cellStyle name="Normal 4 4 2 2 6 2 3" xfId="12352" xr:uid="{4BEED252-3D5D-40C1-B7BC-B41C9502B57C}"/>
    <cellStyle name="Normal 4 4 2 2 6 3" xfId="5996" xr:uid="{00000000-0005-0000-0000-00000D150000}"/>
    <cellStyle name="Normal 4 4 2 2 6 3 2" xfId="14425" xr:uid="{ECE66CD2-27FE-44D0-84F8-501C723B5922}"/>
    <cellStyle name="Normal 4 4 2 2 6 4" xfId="10207" xr:uid="{B0338541-5045-45B2-9C4F-27CFA9A81FC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48295042-79AF-4D16-91C6-73E36413D1CA}"/>
    <cellStyle name="Normal 4 4 2 2 7 2 3" xfId="12765" xr:uid="{69F86561-6F10-47C1-8E59-429367D0909A}"/>
    <cellStyle name="Normal 4 4 2 2 7 3" xfId="6409" xr:uid="{00000000-0005-0000-0000-000011150000}"/>
    <cellStyle name="Normal 4 4 2 2 7 3 2" xfId="14838" xr:uid="{0CE14D40-4B50-4786-838E-B24C9989CDCF}"/>
    <cellStyle name="Normal 4 4 2 2 7 4" xfId="10620" xr:uid="{303CEBEA-E241-439D-89A4-2AB079DEC116}"/>
    <cellStyle name="Normal 4 4 2 2 8" xfId="2537" xr:uid="{00000000-0005-0000-0000-000012150000}"/>
    <cellStyle name="Normal 4 4 2 2 8 2" xfId="6822" xr:uid="{00000000-0005-0000-0000-000013150000}"/>
    <cellStyle name="Normal 4 4 2 2 8 2 2" xfId="15251" xr:uid="{6CF4AC01-9562-453C-90D7-5021D410AC4D}"/>
    <cellStyle name="Normal 4 4 2 2 8 3" xfId="11033" xr:uid="{757F7193-4A76-4CC2-B3C6-606520DF6041}"/>
    <cellStyle name="Normal 4 4 2 2 9" xfId="4757" xr:uid="{00000000-0005-0000-0000-000014150000}"/>
    <cellStyle name="Normal 4 4 2 2 9 2" xfId="13186" xr:uid="{48296B8A-DF1B-45E1-96CE-6A33CCCF552A}"/>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19B0D648-6E5B-498C-84F0-F7DB3C50B245}"/>
    <cellStyle name="Normal 4 4 2 3 2 2 2 3" xfId="11531" xr:uid="{8DCFDDD8-EF40-41F6-8820-121C25E5A579}"/>
    <cellStyle name="Normal 4 4 2 3 2 2 3" xfId="5175" xr:uid="{00000000-0005-0000-0000-00001A150000}"/>
    <cellStyle name="Normal 4 4 2 3 2 2 3 2" xfId="13604" xr:uid="{EAB6F43D-A0DC-4D10-8724-E8EE966BDC54}"/>
    <cellStyle name="Normal 4 4 2 3 2 2 4" xfId="9386" xr:uid="{F7727BD1-EF5B-4E99-92A4-428987F3B3B8}"/>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9F826689-EA0C-4982-9B35-7A160452BA59}"/>
    <cellStyle name="Normal 4 4 2 3 2 3 2 3" xfId="11944" xr:uid="{173FB010-9AF7-40EE-AD7F-B7ED34E753D3}"/>
    <cellStyle name="Normal 4 4 2 3 2 3 3" xfId="5588" xr:uid="{00000000-0005-0000-0000-00001E150000}"/>
    <cellStyle name="Normal 4 4 2 3 2 3 3 2" xfId="14017" xr:uid="{892FA1F8-FC2E-4A0B-A280-F14A42A6BE1F}"/>
    <cellStyle name="Normal 4 4 2 3 2 3 4" xfId="9799" xr:uid="{3F4A5C4B-F390-446B-8DAA-080E019D19D6}"/>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132150CC-1ECB-42E6-958C-E43E5E497E54}"/>
    <cellStyle name="Normal 4 4 2 3 2 4 2 3" xfId="12357" xr:uid="{A77332D0-DD2E-4247-9D23-D97AFC9777FC}"/>
    <cellStyle name="Normal 4 4 2 3 2 4 3" xfId="6001" xr:uid="{00000000-0005-0000-0000-000022150000}"/>
    <cellStyle name="Normal 4 4 2 3 2 4 3 2" xfId="14430" xr:uid="{1A30FC78-885C-4BAC-9740-21F59A145924}"/>
    <cellStyle name="Normal 4 4 2 3 2 4 4" xfId="10212" xr:uid="{7F1D06E7-1316-4A4E-AA23-D436D4489911}"/>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9103AE39-21D8-4F36-A5C0-E4700632E33D}"/>
    <cellStyle name="Normal 4 4 2 3 2 5 2 3" xfId="12770" xr:uid="{0B186685-78ED-43A4-8A7A-5E0902582F29}"/>
    <cellStyle name="Normal 4 4 2 3 2 5 3" xfId="6414" xr:uid="{00000000-0005-0000-0000-000026150000}"/>
    <cellStyle name="Normal 4 4 2 3 2 5 3 2" xfId="14843" xr:uid="{EDB11B56-B4C7-4B30-AD85-D4185B02E7DE}"/>
    <cellStyle name="Normal 4 4 2 3 2 5 4" xfId="10625" xr:uid="{7E134EA3-CBC3-4B54-A13D-9AD132A121B7}"/>
    <cellStyle name="Normal 4 4 2 3 2 6" xfId="2542" xr:uid="{00000000-0005-0000-0000-000027150000}"/>
    <cellStyle name="Normal 4 4 2 3 2 6 2" xfId="6827" xr:uid="{00000000-0005-0000-0000-000028150000}"/>
    <cellStyle name="Normal 4 4 2 3 2 6 2 2" xfId="15256" xr:uid="{4C454151-497E-4828-9542-978997DB7374}"/>
    <cellStyle name="Normal 4 4 2 3 2 6 3" xfId="11038" xr:uid="{53A8654D-B91A-4F39-9213-3A48408E29F9}"/>
    <cellStyle name="Normal 4 4 2 3 2 7" xfId="4762" xr:uid="{00000000-0005-0000-0000-000029150000}"/>
    <cellStyle name="Normal 4 4 2 3 2 7 2" xfId="13191" xr:uid="{42230B36-18D7-4B39-AC75-C54481B55F68}"/>
    <cellStyle name="Normal 4 4 2 3 2 8" xfId="8973" xr:uid="{AFB0E0B6-054E-40A3-A563-D0A2F1B7C967}"/>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0A214BE0-CE51-4E53-AF25-129E38A6741F}"/>
    <cellStyle name="Normal 4 4 2 3 3 2 3" xfId="11530" xr:uid="{677C94E2-574C-43DE-9B82-2CF7B437DA81}"/>
    <cellStyle name="Normal 4 4 2 3 3 3" xfId="5174" xr:uid="{00000000-0005-0000-0000-00002D150000}"/>
    <cellStyle name="Normal 4 4 2 3 3 3 2" xfId="13603" xr:uid="{84E88AB5-E7C8-498E-88E1-91065F3D10F2}"/>
    <cellStyle name="Normal 4 4 2 3 3 4" xfId="9385" xr:uid="{A7D5306A-5500-4D51-9B71-6681DFB09A3B}"/>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B5F3FFE3-A0DD-42A6-BF15-FA417B62177C}"/>
    <cellStyle name="Normal 4 4 2 3 4 2 3" xfId="11943" xr:uid="{3CB1F097-A140-4311-961F-BB6C5A16A6FC}"/>
    <cellStyle name="Normal 4 4 2 3 4 3" xfId="5587" xr:uid="{00000000-0005-0000-0000-000031150000}"/>
    <cellStyle name="Normal 4 4 2 3 4 3 2" xfId="14016" xr:uid="{65013BFA-9BCB-4BF0-8BE3-3FFBC56D4404}"/>
    <cellStyle name="Normal 4 4 2 3 4 4" xfId="9798" xr:uid="{77135A32-2153-4B1F-8BCB-A3809FCDDFA4}"/>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D781CBDB-1BD7-48CB-9DFE-3587EEA653C7}"/>
    <cellStyle name="Normal 4 4 2 3 5 2 3" xfId="12356" xr:uid="{EAAAFA88-2869-4F13-AABB-AD74761CD3EA}"/>
    <cellStyle name="Normal 4 4 2 3 5 3" xfId="6000" xr:uid="{00000000-0005-0000-0000-000035150000}"/>
    <cellStyle name="Normal 4 4 2 3 5 3 2" xfId="14429" xr:uid="{C596F746-850B-4403-BF55-73E921D5E997}"/>
    <cellStyle name="Normal 4 4 2 3 5 4" xfId="10211" xr:uid="{FBF3FD8A-6143-4BDE-BCD8-E4F052AE06B2}"/>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E14C63CD-6541-48ED-ACEF-7E8CC61C1E31}"/>
    <cellStyle name="Normal 4 4 2 3 6 2 3" xfId="12769" xr:uid="{ECA0BC5A-52D8-4D9D-A974-213348E0967F}"/>
    <cellStyle name="Normal 4 4 2 3 6 3" xfId="6413" xr:uid="{00000000-0005-0000-0000-000039150000}"/>
    <cellStyle name="Normal 4 4 2 3 6 3 2" xfId="14842" xr:uid="{5A7034C5-559D-4E56-82A0-142E6DE8C89C}"/>
    <cellStyle name="Normal 4 4 2 3 6 4" xfId="10624" xr:uid="{F09090AC-6D65-41D7-9AF7-B8085C4F7364}"/>
    <cellStyle name="Normal 4 4 2 3 7" xfId="2541" xr:uid="{00000000-0005-0000-0000-00003A150000}"/>
    <cellStyle name="Normal 4 4 2 3 7 2" xfId="6826" xr:uid="{00000000-0005-0000-0000-00003B150000}"/>
    <cellStyle name="Normal 4 4 2 3 7 2 2" xfId="15255" xr:uid="{89BEA011-1CA9-4C34-9F8E-0927984B1B32}"/>
    <cellStyle name="Normal 4 4 2 3 7 3" xfId="11037" xr:uid="{5C80EECB-C79E-40AD-9104-8739EAB142D9}"/>
    <cellStyle name="Normal 4 4 2 3 8" xfId="4761" xr:uid="{00000000-0005-0000-0000-00003C150000}"/>
    <cellStyle name="Normal 4 4 2 3 8 2" xfId="13190" xr:uid="{F2B85332-7225-4986-AA06-8A6924682B08}"/>
    <cellStyle name="Normal 4 4 2 3 9" xfId="8972" xr:uid="{B7B25BF9-B183-400B-A92C-A4524166FB8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4C3B8AEB-5F8A-4B08-BE0D-4D06A182DDB9}"/>
    <cellStyle name="Normal 4 4 2 4 2 2 3" xfId="11532" xr:uid="{C06C92D1-8A1E-4B3A-92CB-496F0D2B53BF}"/>
    <cellStyle name="Normal 4 4 2 4 2 3" xfId="5176" xr:uid="{00000000-0005-0000-0000-000041150000}"/>
    <cellStyle name="Normal 4 4 2 4 2 3 2" xfId="13605" xr:uid="{7F741DD8-31B4-475E-9A54-33163C8DFA5E}"/>
    <cellStyle name="Normal 4 4 2 4 2 4" xfId="9387" xr:uid="{50B960A6-17F4-44C8-92B1-086C3A62AE61}"/>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45802080-4EEB-4AE6-8702-3ABA0EF910EF}"/>
    <cellStyle name="Normal 4 4 2 4 3 2 3" xfId="11945" xr:uid="{C018B505-7474-4A81-9BD1-4C5DAAF86D09}"/>
    <cellStyle name="Normal 4 4 2 4 3 3" xfId="5589" xr:uid="{00000000-0005-0000-0000-000045150000}"/>
    <cellStyle name="Normal 4 4 2 4 3 3 2" xfId="14018" xr:uid="{A79583DD-EF62-481D-9993-95340F664292}"/>
    <cellStyle name="Normal 4 4 2 4 3 4" xfId="9800" xr:uid="{255FB007-4EEC-4B9D-B2A2-AE3866121A49}"/>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DBDBB929-25D0-4D3F-BF9F-9DD533A39DA5}"/>
    <cellStyle name="Normal 4 4 2 4 4 2 3" xfId="12358" xr:uid="{532AB0D6-D9FD-4199-B8E2-0216CCF99E57}"/>
    <cellStyle name="Normal 4 4 2 4 4 3" xfId="6002" xr:uid="{00000000-0005-0000-0000-000049150000}"/>
    <cellStyle name="Normal 4 4 2 4 4 3 2" xfId="14431" xr:uid="{D805A923-1B91-4A49-B08A-1CEA8A1BA106}"/>
    <cellStyle name="Normal 4 4 2 4 4 4" xfId="10213" xr:uid="{170499D6-EF62-486B-BC23-9DB825FDDC9B}"/>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A15B616C-6A38-43DE-9BDE-569EAE11BFAF}"/>
    <cellStyle name="Normal 4 4 2 4 5 2 3" xfId="12771" xr:uid="{7960F662-E590-416E-87CA-E53F3A2D1251}"/>
    <cellStyle name="Normal 4 4 2 4 5 3" xfId="6415" xr:uid="{00000000-0005-0000-0000-00004D150000}"/>
    <cellStyle name="Normal 4 4 2 4 5 3 2" xfId="14844" xr:uid="{78FCC3AF-A983-4A6A-B1B7-02C6701DE3C7}"/>
    <cellStyle name="Normal 4 4 2 4 5 4" xfId="10626" xr:uid="{DFCF248F-9335-48CA-9125-3B03EDD96A1D}"/>
    <cellStyle name="Normal 4 4 2 4 6" xfId="2543" xr:uid="{00000000-0005-0000-0000-00004E150000}"/>
    <cellStyle name="Normal 4 4 2 4 6 2" xfId="6828" xr:uid="{00000000-0005-0000-0000-00004F150000}"/>
    <cellStyle name="Normal 4 4 2 4 6 2 2" xfId="15257" xr:uid="{7583530A-CC8C-4DFD-B156-7AC928DA672E}"/>
    <cellStyle name="Normal 4 4 2 4 6 3" xfId="11039" xr:uid="{A4841E94-7ED3-41AB-89A6-2429DE7BE044}"/>
    <cellStyle name="Normal 4 4 2 4 7" xfId="4763" xr:uid="{00000000-0005-0000-0000-000050150000}"/>
    <cellStyle name="Normal 4 4 2 4 7 2" xfId="13192" xr:uid="{C7A16E19-721B-4C4C-8FDE-DDE52FC9BC15}"/>
    <cellStyle name="Normal 4 4 2 4 8" xfId="8974" xr:uid="{F58643E4-B95E-47A4-A444-82328A51E535}"/>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EE66BCA2-C580-4AB3-90D9-9B11A2501664}"/>
    <cellStyle name="Normal 4 4 2 5 2 3" xfId="11525" xr:uid="{F634A2C0-A45F-458E-BEAC-4934E613E6A0}"/>
    <cellStyle name="Normal 4 4 2 5 3" xfId="5169" xr:uid="{00000000-0005-0000-0000-000054150000}"/>
    <cellStyle name="Normal 4 4 2 5 3 2" xfId="13598" xr:uid="{822CD937-C39F-40E4-B6DE-894A760BE609}"/>
    <cellStyle name="Normal 4 4 2 5 4" xfId="9380" xr:uid="{436C4DA8-B0B6-4640-B71E-3E5B6E98262A}"/>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CC28FC12-1065-4953-B2DD-AB310F62B3AA}"/>
    <cellStyle name="Normal 4 4 2 6 2 3" xfId="11938" xr:uid="{C630F767-33A7-4513-9B40-0E1B440C36D9}"/>
    <cellStyle name="Normal 4 4 2 6 3" xfId="5582" xr:uid="{00000000-0005-0000-0000-000058150000}"/>
    <cellStyle name="Normal 4 4 2 6 3 2" xfId="14011" xr:uid="{7E1A82B5-2336-49EB-916B-2E93A21ACAED}"/>
    <cellStyle name="Normal 4 4 2 6 4" xfId="9793" xr:uid="{D2121176-32A2-4AF4-83FE-6CAC0290BEAD}"/>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F2537019-94B7-4255-B75F-23FCBA6FEC3E}"/>
    <cellStyle name="Normal 4 4 2 7 2 3" xfId="12351" xr:uid="{0C573ACC-1AAF-4314-83B5-141279CDCD11}"/>
    <cellStyle name="Normal 4 4 2 7 3" xfId="5995" xr:uid="{00000000-0005-0000-0000-00005C150000}"/>
    <cellStyle name="Normal 4 4 2 7 3 2" xfId="14424" xr:uid="{F8E4864C-79E4-48A7-B8BE-7426BAF60A96}"/>
    <cellStyle name="Normal 4 4 2 7 4" xfId="10206" xr:uid="{E4A6B974-3A1B-49B8-B713-4C69A31745CD}"/>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72F9E4C4-1770-4BB5-83BD-15E52A6D1094}"/>
    <cellStyle name="Normal 4 4 2 8 2 3" xfId="12764" xr:uid="{980A752F-32B6-4840-B6AB-B424946F846F}"/>
    <cellStyle name="Normal 4 4 2 8 3" xfId="6408" xr:uid="{00000000-0005-0000-0000-000060150000}"/>
    <cellStyle name="Normal 4 4 2 8 3 2" xfId="14837" xr:uid="{04DE5B81-7B2A-4409-850B-ED02DF2A6D80}"/>
    <cellStyle name="Normal 4 4 2 8 4" xfId="10619" xr:uid="{609B017E-9424-4D46-898A-88706E18FF7B}"/>
    <cellStyle name="Normal 4 4 2 9" xfId="2536" xr:uid="{00000000-0005-0000-0000-000061150000}"/>
    <cellStyle name="Normal 4 4 2 9 2" xfId="6821" xr:uid="{00000000-0005-0000-0000-000062150000}"/>
    <cellStyle name="Normal 4 4 2 9 2 2" xfId="15250" xr:uid="{E3CB3035-BBDE-43D2-AD4D-0592BAF65393}"/>
    <cellStyle name="Normal 4 4 2 9 3" xfId="11032" xr:uid="{2A117DD3-2D4B-44D4-9B56-7255F77F7ADE}"/>
    <cellStyle name="Normal 4 4 3" xfId="387" xr:uid="{00000000-0005-0000-0000-000063150000}"/>
    <cellStyle name="Normal 4 4 3 10" xfId="8975" xr:uid="{D8378D4F-4EE5-4E7E-AC3D-BA48323E3244}"/>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A05440C9-C21A-4784-B140-9DC8DF874533}"/>
    <cellStyle name="Normal 4 4 3 2 2 2 2 3" xfId="11535" xr:uid="{752A419A-357B-44B6-AAD9-11E4D26E7D5D}"/>
    <cellStyle name="Normal 4 4 3 2 2 2 3" xfId="5179" xr:uid="{00000000-0005-0000-0000-000069150000}"/>
    <cellStyle name="Normal 4 4 3 2 2 2 3 2" xfId="13608" xr:uid="{F7E81100-E1DC-4418-A704-FC243D2945BB}"/>
    <cellStyle name="Normal 4 4 3 2 2 2 4" xfId="9390" xr:uid="{C9445746-7759-4EC1-B7A5-672194802A93}"/>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01D8E4DB-9A3A-46A7-BCDB-EDDDBC4E996E}"/>
    <cellStyle name="Normal 4 4 3 2 2 3 2 3" xfId="11948" xr:uid="{25757BFC-F104-4D70-850D-753B091D08FE}"/>
    <cellStyle name="Normal 4 4 3 2 2 3 3" xfId="5592" xr:uid="{00000000-0005-0000-0000-00006D150000}"/>
    <cellStyle name="Normal 4 4 3 2 2 3 3 2" xfId="14021" xr:uid="{C5BA612E-C867-4873-8998-E2E9936B96FF}"/>
    <cellStyle name="Normal 4 4 3 2 2 3 4" xfId="9803" xr:uid="{1F350ABD-407D-420E-91F4-08396C40F79C}"/>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6A7B815F-BD22-4ADD-B63A-93437A5EBCDF}"/>
    <cellStyle name="Normal 4 4 3 2 2 4 2 3" xfId="12361" xr:uid="{30A1BC0D-6405-42D1-A436-6FA8E5CCCAC0}"/>
    <cellStyle name="Normal 4 4 3 2 2 4 3" xfId="6005" xr:uid="{00000000-0005-0000-0000-000071150000}"/>
    <cellStyle name="Normal 4 4 3 2 2 4 3 2" xfId="14434" xr:uid="{C16A9051-633C-41C0-A216-CC3012890BF7}"/>
    <cellStyle name="Normal 4 4 3 2 2 4 4" xfId="10216" xr:uid="{47EDEBDE-E24F-419F-9B70-880DBC641397}"/>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3FE7E048-72D0-4147-AB14-DB1754ECCD2B}"/>
    <cellStyle name="Normal 4 4 3 2 2 5 2 3" xfId="12774" xr:uid="{ADD306C8-2146-4980-A25E-BEC25F1BC65E}"/>
    <cellStyle name="Normal 4 4 3 2 2 5 3" xfId="6418" xr:uid="{00000000-0005-0000-0000-000075150000}"/>
    <cellStyle name="Normal 4 4 3 2 2 5 3 2" xfId="14847" xr:uid="{B8F935C6-4E1A-48D6-87A7-62EEF79DD0DB}"/>
    <cellStyle name="Normal 4 4 3 2 2 5 4" xfId="10629" xr:uid="{848DA43A-E527-4A60-9335-24D0EF59E560}"/>
    <cellStyle name="Normal 4 4 3 2 2 6" xfId="2546" xr:uid="{00000000-0005-0000-0000-000076150000}"/>
    <cellStyle name="Normal 4 4 3 2 2 6 2" xfId="6831" xr:uid="{00000000-0005-0000-0000-000077150000}"/>
    <cellStyle name="Normal 4 4 3 2 2 6 2 2" xfId="15260" xr:uid="{FA3C07BA-BF75-4A85-86E9-1EDAB36B3979}"/>
    <cellStyle name="Normal 4 4 3 2 2 6 3" xfId="11042" xr:uid="{B1220BDC-973A-4D63-82AB-372F0CAA0929}"/>
    <cellStyle name="Normal 4 4 3 2 2 7" xfId="4766" xr:uid="{00000000-0005-0000-0000-000078150000}"/>
    <cellStyle name="Normal 4 4 3 2 2 7 2" xfId="13195" xr:uid="{ADEA177D-5C02-4BD8-B417-00CBB7C5A8B5}"/>
    <cellStyle name="Normal 4 4 3 2 2 8" xfId="8977" xr:uid="{EFEB49F0-A2B7-4C60-B8A0-DB5F6027B8EE}"/>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38BD4F76-4FF6-4DE7-A019-B13ED037CD45}"/>
    <cellStyle name="Normal 4 4 3 2 3 2 3" xfId="11534" xr:uid="{CC8E912C-1642-4EA7-ADB7-AC82D1BBCB61}"/>
    <cellStyle name="Normal 4 4 3 2 3 3" xfId="5178" xr:uid="{00000000-0005-0000-0000-00007C150000}"/>
    <cellStyle name="Normal 4 4 3 2 3 3 2" xfId="13607" xr:uid="{13B3B006-0433-415E-813C-2DFE12EBD97D}"/>
    <cellStyle name="Normal 4 4 3 2 3 4" xfId="9389" xr:uid="{5450030C-8D8F-495F-8542-A615123D67E9}"/>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CE4BF59B-B691-42A2-9B07-DD027E22CDB9}"/>
    <cellStyle name="Normal 4 4 3 2 4 2 3" xfId="11947" xr:uid="{F73F0407-8E91-4203-8EC3-D849679817D9}"/>
    <cellStyle name="Normal 4 4 3 2 4 3" xfId="5591" xr:uid="{00000000-0005-0000-0000-000080150000}"/>
    <cellStyle name="Normal 4 4 3 2 4 3 2" xfId="14020" xr:uid="{82A1003A-D618-4033-8C37-6BE0B8DEABA2}"/>
    <cellStyle name="Normal 4 4 3 2 4 4" xfId="9802" xr:uid="{20B75E58-EE31-47C3-B390-FB856CA26DBA}"/>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1455A4EF-4E34-40E7-B97A-88520E21B03F}"/>
    <cellStyle name="Normal 4 4 3 2 5 2 3" xfId="12360" xr:uid="{4CA6DF59-59E7-4ACB-8933-CB9282328849}"/>
    <cellStyle name="Normal 4 4 3 2 5 3" xfId="6004" xr:uid="{00000000-0005-0000-0000-000084150000}"/>
    <cellStyle name="Normal 4 4 3 2 5 3 2" xfId="14433" xr:uid="{73635B4F-669F-4184-9C9F-50501427D5B1}"/>
    <cellStyle name="Normal 4 4 3 2 5 4" xfId="10215" xr:uid="{2D0E8C35-766D-402D-8D8C-69ADEA8D4A06}"/>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2C4E279B-7FFC-439B-88E4-02F57B227F97}"/>
    <cellStyle name="Normal 4 4 3 2 6 2 3" xfId="12773" xr:uid="{3FFB353C-16F0-4307-ADFC-1F7841F36579}"/>
    <cellStyle name="Normal 4 4 3 2 6 3" xfId="6417" xr:uid="{00000000-0005-0000-0000-000088150000}"/>
    <cellStyle name="Normal 4 4 3 2 6 3 2" xfId="14846" xr:uid="{0871F7BE-967D-43DE-B6D8-1D60AB38BE52}"/>
    <cellStyle name="Normal 4 4 3 2 6 4" xfId="10628" xr:uid="{663CBF25-C3F4-4C78-BB62-0528FECBC1F3}"/>
    <cellStyle name="Normal 4 4 3 2 7" xfId="2545" xr:uid="{00000000-0005-0000-0000-000089150000}"/>
    <cellStyle name="Normal 4 4 3 2 7 2" xfId="6830" xr:uid="{00000000-0005-0000-0000-00008A150000}"/>
    <cellStyle name="Normal 4 4 3 2 7 2 2" xfId="15259" xr:uid="{BAB24864-846D-440E-BB96-6E88BC447FCF}"/>
    <cellStyle name="Normal 4 4 3 2 7 3" xfId="11041" xr:uid="{C788418F-47A4-4BA1-B2E3-00991E3EB6D0}"/>
    <cellStyle name="Normal 4 4 3 2 8" xfId="4765" xr:uid="{00000000-0005-0000-0000-00008B150000}"/>
    <cellStyle name="Normal 4 4 3 2 8 2" xfId="13194" xr:uid="{1BE03E8C-5074-4F39-A557-9D4830D13A1B}"/>
    <cellStyle name="Normal 4 4 3 2 9" xfId="8976" xr:uid="{5A9D5166-18EC-4228-83F0-E8C971CC660D}"/>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D0BC4EAD-4EF7-462F-8C6C-DBAE3DDAEE83}"/>
    <cellStyle name="Normal 4 4 3 3 2 2 3" xfId="11536" xr:uid="{E1B7F6AC-CBE4-4F6C-9399-FD89471ECBAD}"/>
    <cellStyle name="Normal 4 4 3 3 2 3" xfId="5180" xr:uid="{00000000-0005-0000-0000-000090150000}"/>
    <cellStyle name="Normal 4 4 3 3 2 3 2" xfId="13609" xr:uid="{3F7FE0AC-5FBB-433E-8EA5-A211A7C16BFE}"/>
    <cellStyle name="Normal 4 4 3 3 2 4" xfId="9391" xr:uid="{090D78FA-AF68-459D-9632-639ECE4FFDA0}"/>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F5CDC77C-5360-4659-99B7-6C7DFB40CA4E}"/>
    <cellStyle name="Normal 4 4 3 3 3 2 3" xfId="11949" xr:uid="{37B3657B-F7FF-40F4-84B6-965A62DED68C}"/>
    <cellStyle name="Normal 4 4 3 3 3 3" xfId="5593" xr:uid="{00000000-0005-0000-0000-000094150000}"/>
    <cellStyle name="Normal 4 4 3 3 3 3 2" xfId="14022" xr:uid="{9A15C171-6BCE-4274-9060-80F13BA05BA3}"/>
    <cellStyle name="Normal 4 4 3 3 3 4" xfId="9804" xr:uid="{CEF17B67-0484-4DEB-AFDE-9DA09D05EBC1}"/>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7F67760F-651F-4872-AFEF-B254CC17AFB6}"/>
    <cellStyle name="Normal 4 4 3 3 4 2 3" xfId="12362" xr:uid="{D3F83644-AE73-42E5-9F21-648C5152EEF4}"/>
    <cellStyle name="Normal 4 4 3 3 4 3" xfId="6006" xr:uid="{00000000-0005-0000-0000-000098150000}"/>
    <cellStyle name="Normal 4 4 3 3 4 3 2" xfId="14435" xr:uid="{A3B8EACF-602D-4E20-A09F-41A3A1E07EEA}"/>
    <cellStyle name="Normal 4 4 3 3 4 4" xfId="10217" xr:uid="{635C2D61-ED8E-4BEC-AFC6-F12C927472F1}"/>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4856DE70-B3FF-42B2-AABA-9421CE99DFD9}"/>
    <cellStyle name="Normal 4 4 3 3 5 2 3" xfId="12775" xr:uid="{E7BEA980-C86E-4089-85F2-B9CE3A377C68}"/>
    <cellStyle name="Normal 4 4 3 3 5 3" xfId="6419" xr:uid="{00000000-0005-0000-0000-00009C150000}"/>
    <cellStyle name="Normal 4 4 3 3 5 3 2" xfId="14848" xr:uid="{04C4E25D-2F8D-4978-A454-ABC5889B1E58}"/>
    <cellStyle name="Normal 4 4 3 3 5 4" xfId="10630" xr:uid="{8081B13B-C27E-4C42-8A43-23C1AB1F7192}"/>
    <cellStyle name="Normal 4 4 3 3 6" xfId="2547" xr:uid="{00000000-0005-0000-0000-00009D150000}"/>
    <cellStyle name="Normal 4 4 3 3 6 2" xfId="6832" xr:uid="{00000000-0005-0000-0000-00009E150000}"/>
    <cellStyle name="Normal 4 4 3 3 6 2 2" xfId="15261" xr:uid="{C46A3BB2-8A7D-47C0-B5A7-361AFB855761}"/>
    <cellStyle name="Normal 4 4 3 3 6 3" xfId="11043" xr:uid="{F3B2879C-2263-4579-AD8C-573130552500}"/>
    <cellStyle name="Normal 4 4 3 3 7" xfId="4767" xr:uid="{00000000-0005-0000-0000-00009F150000}"/>
    <cellStyle name="Normal 4 4 3 3 7 2" xfId="13196" xr:uid="{88705089-76D5-4177-B9A0-33F3EB339432}"/>
    <cellStyle name="Normal 4 4 3 3 8" xfId="8978" xr:uid="{67ED6F21-915E-4FA2-86B1-7D54B225FCC5}"/>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09E9E6DB-319E-4497-994A-DBA83C33E2F6}"/>
    <cellStyle name="Normal 4 4 3 4 2 3" xfId="11533" xr:uid="{0D6B0A54-6C1B-4B34-9E6A-8C03FCD713D6}"/>
    <cellStyle name="Normal 4 4 3 4 3" xfId="5177" xr:uid="{00000000-0005-0000-0000-0000A3150000}"/>
    <cellStyle name="Normal 4 4 3 4 3 2" xfId="13606" xr:uid="{BB68BEC8-4BFC-42A4-813A-5C4A91D0E6CE}"/>
    <cellStyle name="Normal 4 4 3 4 4" xfId="9388" xr:uid="{0BDF76F2-C489-4F00-AFDA-013C000573A2}"/>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DB387942-635A-46C5-BA5E-6AA1D75DA14D}"/>
    <cellStyle name="Normal 4 4 3 5 2 3" xfId="11946" xr:uid="{BAF537C2-BE25-40AD-ABBC-BAF0A4E59B91}"/>
    <cellStyle name="Normal 4 4 3 5 3" xfId="5590" xr:uid="{00000000-0005-0000-0000-0000A7150000}"/>
    <cellStyle name="Normal 4 4 3 5 3 2" xfId="14019" xr:uid="{22E8107C-D964-4A43-9E80-4F6BE0D90726}"/>
    <cellStyle name="Normal 4 4 3 5 4" xfId="9801" xr:uid="{8FAE5CE0-2E24-4618-BB43-D1DD977DA577}"/>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5BFCF957-9A82-4669-B1F4-8F768902AB5E}"/>
    <cellStyle name="Normal 4 4 3 6 2 3" xfId="12359" xr:uid="{B197D38B-17B6-4182-88E0-0B5FABCA0C8A}"/>
    <cellStyle name="Normal 4 4 3 6 3" xfId="6003" xr:uid="{00000000-0005-0000-0000-0000AB150000}"/>
    <cellStyle name="Normal 4 4 3 6 3 2" xfId="14432" xr:uid="{EA891CCA-2B62-4EA7-AAEF-4DFA2F9C3662}"/>
    <cellStyle name="Normal 4 4 3 6 4" xfId="10214" xr:uid="{9540C3A8-3E7D-4B35-9A16-C0F7DAC519A6}"/>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32D57FA7-2111-43B7-8868-FB74205B5EB2}"/>
    <cellStyle name="Normal 4 4 3 7 2 3" xfId="12772" xr:uid="{32C56A5E-FDC5-4BCD-8BB0-E84B8D4F843E}"/>
    <cellStyle name="Normal 4 4 3 7 3" xfId="6416" xr:uid="{00000000-0005-0000-0000-0000AF150000}"/>
    <cellStyle name="Normal 4 4 3 7 3 2" xfId="14845" xr:uid="{472525C9-1E24-43F1-8F48-8681EA391DC6}"/>
    <cellStyle name="Normal 4 4 3 7 4" xfId="10627" xr:uid="{6B878DF3-A682-412F-B436-3547C407EFF4}"/>
    <cellStyle name="Normal 4 4 3 8" xfId="2544" xr:uid="{00000000-0005-0000-0000-0000B0150000}"/>
    <cellStyle name="Normal 4 4 3 8 2" xfId="6829" xr:uid="{00000000-0005-0000-0000-0000B1150000}"/>
    <cellStyle name="Normal 4 4 3 8 2 2" xfId="15258" xr:uid="{1CADC7E0-AAB1-4286-BE55-E125A567BB11}"/>
    <cellStyle name="Normal 4 4 3 8 3" xfId="11040" xr:uid="{4885419A-EB6F-449A-911A-81F8D8962598}"/>
    <cellStyle name="Normal 4 4 3 9" xfId="4764" xr:uid="{00000000-0005-0000-0000-0000B2150000}"/>
    <cellStyle name="Normal 4 4 3 9 2" xfId="13193" xr:uid="{48AA280B-CF54-40C8-BE79-F6FF37576C3E}"/>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CEB089BC-62BA-4F4F-B405-26D270765FB0}"/>
    <cellStyle name="Normal 4 4 4 2 2 2 3" xfId="11538" xr:uid="{A1B1DB18-2C5E-489A-9A57-26ECC5B111EC}"/>
    <cellStyle name="Normal 4 4 4 2 2 3" xfId="5182" xr:uid="{00000000-0005-0000-0000-0000B8150000}"/>
    <cellStyle name="Normal 4 4 4 2 2 3 2" xfId="13611" xr:uid="{0D86D101-F073-4E46-BE7E-DF9BA5F8AE82}"/>
    <cellStyle name="Normal 4 4 4 2 2 4" xfId="9393" xr:uid="{854D9366-050D-4EAE-A9FB-8C7961E0340D}"/>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31F36673-0D4A-43F7-AEFD-221FA9D5C012}"/>
    <cellStyle name="Normal 4 4 4 2 3 2 3" xfId="11951" xr:uid="{43F61EC6-AFCC-4A9A-8F81-17F015A67111}"/>
    <cellStyle name="Normal 4 4 4 2 3 3" xfId="5595" xr:uid="{00000000-0005-0000-0000-0000BC150000}"/>
    <cellStyle name="Normal 4 4 4 2 3 3 2" xfId="14024" xr:uid="{4485D7E2-5DCE-466C-A98A-D5E3DD6FCAA7}"/>
    <cellStyle name="Normal 4 4 4 2 3 4" xfId="9806" xr:uid="{D027C8F8-AFB7-45D5-9928-7AE3D375FD9E}"/>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23777293-66BA-4602-AA89-4C29898CE143}"/>
    <cellStyle name="Normal 4 4 4 2 4 2 3" xfId="12364" xr:uid="{D23F3E6C-C98C-47C4-96DB-77641FA76197}"/>
    <cellStyle name="Normal 4 4 4 2 4 3" xfId="6008" xr:uid="{00000000-0005-0000-0000-0000C0150000}"/>
    <cellStyle name="Normal 4 4 4 2 4 3 2" xfId="14437" xr:uid="{8875E23D-4D11-4BB2-BE3C-41628406DB06}"/>
    <cellStyle name="Normal 4 4 4 2 4 4" xfId="10219" xr:uid="{8F26F921-B6EE-4A2C-8F97-8CCECA24F7CE}"/>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D96836E7-0657-4E99-9432-C80EF3D0D46A}"/>
    <cellStyle name="Normal 4 4 4 2 5 2 3" xfId="12777" xr:uid="{9412B345-00A2-4A03-837C-BA92D11EB8E7}"/>
    <cellStyle name="Normal 4 4 4 2 5 3" xfId="6421" xr:uid="{00000000-0005-0000-0000-0000C4150000}"/>
    <cellStyle name="Normal 4 4 4 2 5 3 2" xfId="14850" xr:uid="{F7893F4E-6958-42D4-8D54-23C9178F2005}"/>
    <cellStyle name="Normal 4 4 4 2 5 4" xfId="10632" xr:uid="{B89F50A3-18DC-424A-BF5A-1D80B1E43DC5}"/>
    <cellStyle name="Normal 4 4 4 2 6" xfId="2549" xr:uid="{00000000-0005-0000-0000-0000C5150000}"/>
    <cellStyle name="Normal 4 4 4 2 6 2" xfId="6834" xr:uid="{00000000-0005-0000-0000-0000C6150000}"/>
    <cellStyle name="Normal 4 4 4 2 6 2 2" xfId="15263" xr:uid="{2795D786-A21D-408E-BCF1-62EA1FF05D78}"/>
    <cellStyle name="Normal 4 4 4 2 6 3" xfId="11045" xr:uid="{D8D3457E-A6F9-4F27-A65C-1F81E0D39B6E}"/>
    <cellStyle name="Normal 4 4 4 2 7" xfId="4769" xr:uid="{00000000-0005-0000-0000-0000C7150000}"/>
    <cellStyle name="Normal 4 4 4 2 7 2" xfId="13198" xr:uid="{B8EE0219-BF6A-4941-9AB5-48361A3E98D3}"/>
    <cellStyle name="Normal 4 4 4 2 8" xfId="8980" xr:uid="{E4959D58-824A-46EC-9AEA-B4AB497819D6}"/>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DBA4BB55-77D3-487B-BA74-9E642ABB5F2B}"/>
    <cellStyle name="Normal 4 4 4 3 2 3" xfId="11537" xr:uid="{182673E4-BCC7-44A7-A22A-CD5F7A015B6A}"/>
    <cellStyle name="Normal 4 4 4 3 3" xfId="5181" xr:uid="{00000000-0005-0000-0000-0000CB150000}"/>
    <cellStyle name="Normal 4 4 4 3 3 2" xfId="13610" xr:uid="{60EA5E8E-BE97-4168-8F17-857C8192FC4D}"/>
    <cellStyle name="Normal 4 4 4 3 4" xfId="9392" xr:uid="{987CF9B8-A616-416E-A23F-11208D9A9E62}"/>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4E42FE15-3CF3-44E2-9C3A-D86CCDAB3C17}"/>
    <cellStyle name="Normal 4 4 4 4 2 3" xfId="11950" xr:uid="{60C0AE2C-FBA2-4817-9389-C5637FC4F3C4}"/>
    <cellStyle name="Normal 4 4 4 4 3" xfId="5594" xr:uid="{00000000-0005-0000-0000-0000CF150000}"/>
    <cellStyle name="Normal 4 4 4 4 3 2" xfId="14023" xr:uid="{3D80BCFC-DB87-4F8C-8021-D89347012576}"/>
    <cellStyle name="Normal 4 4 4 4 4" xfId="9805" xr:uid="{B67F5020-7C0E-4236-8B03-151399420E83}"/>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1FB55955-AABA-4C22-A89D-010EFE42E36A}"/>
    <cellStyle name="Normal 4 4 4 5 2 3" xfId="12363" xr:uid="{E996BF3F-E06F-4EC5-96B5-6E9181963201}"/>
    <cellStyle name="Normal 4 4 4 5 3" xfId="6007" xr:uid="{00000000-0005-0000-0000-0000D3150000}"/>
    <cellStyle name="Normal 4 4 4 5 3 2" xfId="14436" xr:uid="{458D7CD9-F261-4EC3-BBB2-75CD8D3E597C}"/>
    <cellStyle name="Normal 4 4 4 5 4" xfId="10218" xr:uid="{6C5614AC-9672-4367-A515-D5121A90A6FC}"/>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14A971B0-287F-4006-B074-F9782FB6910F}"/>
    <cellStyle name="Normal 4 4 4 6 2 3" xfId="12776" xr:uid="{A32DC769-0D2E-4F25-AA9E-FBBE51FC9A20}"/>
    <cellStyle name="Normal 4 4 4 6 3" xfId="6420" xr:uid="{00000000-0005-0000-0000-0000D7150000}"/>
    <cellStyle name="Normal 4 4 4 6 3 2" xfId="14849" xr:uid="{7C2BEFE5-5AA2-44E5-93D6-CE24D9E5EFD8}"/>
    <cellStyle name="Normal 4 4 4 6 4" xfId="10631" xr:uid="{F83FD246-9627-4E46-9F55-5BF21F15800F}"/>
    <cellStyle name="Normal 4 4 4 7" xfId="2548" xr:uid="{00000000-0005-0000-0000-0000D8150000}"/>
    <cellStyle name="Normal 4 4 4 7 2" xfId="6833" xr:uid="{00000000-0005-0000-0000-0000D9150000}"/>
    <cellStyle name="Normal 4 4 4 7 2 2" xfId="15262" xr:uid="{21ECAC02-08B0-4787-9579-4F3B5A44F40C}"/>
    <cellStyle name="Normal 4 4 4 7 3" xfId="11044" xr:uid="{A4551888-0C4A-4597-82BC-C40D92615662}"/>
    <cellStyle name="Normal 4 4 4 8" xfId="4768" xr:uid="{00000000-0005-0000-0000-0000DA150000}"/>
    <cellStyle name="Normal 4 4 4 8 2" xfId="13197" xr:uid="{7047EBE5-994F-4D59-8F00-26D09E2985C8}"/>
    <cellStyle name="Normal 4 4 4 9" xfId="8979" xr:uid="{6B9182BC-1534-4209-8C37-901B2E092774}"/>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43048AA0-92AA-46D2-8478-33BA6E90FA7F}"/>
    <cellStyle name="Normal 4 4 5 2 2 3" xfId="11539" xr:uid="{B72F26D7-5855-4687-935E-8AAF035F8CB2}"/>
    <cellStyle name="Normal 4 4 5 2 3" xfId="5183" xr:uid="{00000000-0005-0000-0000-0000DF150000}"/>
    <cellStyle name="Normal 4 4 5 2 3 2" xfId="13612" xr:uid="{754B538A-0F00-4EA4-9F11-FE8450DC8475}"/>
    <cellStyle name="Normal 4 4 5 2 4" xfId="9394" xr:uid="{98B1E50A-830C-4121-B496-66A8F7CECCE0}"/>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0ABD08FC-7DAA-4EBD-8967-E4C5A0FA903F}"/>
    <cellStyle name="Normal 4 4 5 3 2 3" xfId="11952" xr:uid="{4073F72F-8D69-4124-AD9D-9F315C8D7539}"/>
    <cellStyle name="Normal 4 4 5 3 3" xfId="5596" xr:uid="{00000000-0005-0000-0000-0000E3150000}"/>
    <cellStyle name="Normal 4 4 5 3 3 2" xfId="14025" xr:uid="{83347620-C1A3-43B0-9A60-BAA1EF57ECF2}"/>
    <cellStyle name="Normal 4 4 5 3 4" xfId="9807" xr:uid="{E86E181F-DB10-4564-B2BF-F9C06B5E030B}"/>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2F54EEBB-B4A8-43B0-B380-41F4BCE19FE0}"/>
    <cellStyle name="Normal 4 4 5 4 2 3" xfId="12365" xr:uid="{10E28894-0F94-4BB4-ABCF-15CDC3B50F54}"/>
    <cellStyle name="Normal 4 4 5 4 3" xfId="6009" xr:uid="{00000000-0005-0000-0000-0000E7150000}"/>
    <cellStyle name="Normal 4 4 5 4 3 2" xfId="14438" xr:uid="{1AD3E8CE-3714-4960-995D-42326C1127EC}"/>
    <cellStyle name="Normal 4 4 5 4 4" xfId="10220" xr:uid="{7C703F38-5E2F-4DF5-AD5B-243E77976E7E}"/>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6A71395A-6616-4E44-960D-A477F261C128}"/>
    <cellStyle name="Normal 4 4 5 5 2 3" xfId="12778" xr:uid="{65EF553A-19A3-4BE5-A724-7ED1AEF033E6}"/>
    <cellStyle name="Normal 4 4 5 5 3" xfId="6422" xr:uid="{00000000-0005-0000-0000-0000EB150000}"/>
    <cellStyle name="Normal 4 4 5 5 3 2" xfId="14851" xr:uid="{9ED11005-0FF8-4339-9442-27B716B0BAB2}"/>
    <cellStyle name="Normal 4 4 5 5 4" xfId="10633" xr:uid="{34CAF835-EA3E-4104-87D0-DDBFEECB660B}"/>
    <cellStyle name="Normal 4 4 5 6" xfId="2550" xr:uid="{00000000-0005-0000-0000-0000EC150000}"/>
    <cellStyle name="Normal 4 4 5 6 2" xfId="6835" xr:uid="{00000000-0005-0000-0000-0000ED150000}"/>
    <cellStyle name="Normal 4 4 5 6 2 2" xfId="15264" xr:uid="{CCAA3E42-F8A8-4F63-8AF8-2A9547710DBF}"/>
    <cellStyle name="Normal 4 4 5 6 3" xfId="11046" xr:uid="{08B4871F-D5BF-494D-A6B4-12357C324B72}"/>
    <cellStyle name="Normal 4 4 5 7" xfId="4770" xr:uid="{00000000-0005-0000-0000-0000EE150000}"/>
    <cellStyle name="Normal 4 4 5 7 2" xfId="13199" xr:uid="{E86CCF4A-362B-4F5C-A217-37A8B7A58A6C}"/>
    <cellStyle name="Normal 4 4 5 8" xfId="8981" xr:uid="{0E235292-70AD-46DD-836E-E626DFB4725F}"/>
    <cellStyle name="Normal 4 4 6" xfId="854" xr:uid="{00000000-0005-0000-0000-0000EF150000}"/>
    <cellStyle name="Normal 4 4 6 2" xfId="3089" xr:uid="{00000000-0005-0000-0000-0000F0150000}"/>
    <cellStyle name="Normal 4 4 6 2 2" xfId="7313" xr:uid="{00000000-0005-0000-0000-0000F1150000}"/>
    <cellStyle name="Normal 4 4 6 2 2 2" xfId="15742" xr:uid="{1221A312-06F5-4BCB-9F78-8B6DBAF37466}"/>
    <cellStyle name="Normal 4 4 6 2 3" xfId="11524" xr:uid="{25B13989-9046-4241-BB83-5442FD9EADC0}"/>
    <cellStyle name="Normal 4 4 6 3" xfId="5168" xr:uid="{00000000-0005-0000-0000-0000F2150000}"/>
    <cellStyle name="Normal 4 4 6 3 2" xfId="13597" xr:uid="{57E9407E-351A-4228-882A-DA6DC886DD26}"/>
    <cellStyle name="Normal 4 4 6 4" xfId="9379" xr:uid="{2F80B0F3-F34D-4CA9-B53B-962772D6FF7A}"/>
    <cellStyle name="Normal 4 4 7" xfId="1272" xr:uid="{00000000-0005-0000-0000-0000F3150000}"/>
    <cellStyle name="Normal 4 4 7 2" xfId="3502" xr:uid="{00000000-0005-0000-0000-0000F4150000}"/>
    <cellStyle name="Normal 4 4 7 2 2" xfId="7726" xr:uid="{00000000-0005-0000-0000-0000F5150000}"/>
    <cellStyle name="Normal 4 4 7 2 2 2" xfId="16155" xr:uid="{C8C8D4EB-07AA-475B-93E2-77E8B10848C3}"/>
    <cellStyle name="Normal 4 4 7 2 3" xfId="11937" xr:uid="{E2BC67FB-6C53-4A25-9498-482854813F06}"/>
    <cellStyle name="Normal 4 4 7 3" xfId="5581" xr:uid="{00000000-0005-0000-0000-0000F6150000}"/>
    <cellStyle name="Normal 4 4 7 3 2" xfId="14010" xr:uid="{37E28938-1C49-43F6-B686-6B4B25387A7D}"/>
    <cellStyle name="Normal 4 4 7 4" xfId="9792" xr:uid="{A4A2FF08-0804-49CE-B8CA-875634932718}"/>
    <cellStyle name="Normal 4 4 8" xfId="1685" xr:uid="{00000000-0005-0000-0000-0000F7150000}"/>
    <cellStyle name="Normal 4 4 8 2" xfId="3915" xr:uid="{00000000-0005-0000-0000-0000F8150000}"/>
    <cellStyle name="Normal 4 4 8 2 2" xfId="8139" xr:uid="{00000000-0005-0000-0000-0000F9150000}"/>
    <cellStyle name="Normal 4 4 8 2 2 2" xfId="16568" xr:uid="{71AB695C-F14E-42B0-978C-1C649E6844DC}"/>
    <cellStyle name="Normal 4 4 8 2 3" xfId="12350" xr:uid="{0165EBFE-38D3-4C6F-9720-D378BEC8E360}"/>
    <cellStyle name="Normal 4 4 8 3" xfId="5994" xr:uid="{00000000-0005-0000-0000-0000FA150000}"/>
    <cellStyle name="Normal 4 4 8 3 2" xfId="14423" xr:uid="{1151B8DD-0288-4258-A342-BC53576B7699}"/>
    <cellStyle name="Normal 4 4 8 4" xfId="10205" xr:uid="{DE7616A1-CF26-44CC-94A7-A20B4EE37432}"/>
    <cellStyle name="Normal 4 4 9" xfId="2099" xr:uid="{00000000-0005-0000-0000-0000FB150000}"/>
    <cellStyle name="Normal 4 4 9 2" xfId="4328" xr:uid="{00000000-0005-0000-0000-0000FC150000}"/>
    <cellStyle name="Normal 4 4 9 2 2" xfId="8552" xr:uid="{00000000-0005-0000-0000-0000FD150000}"/>
    <cellStyle name="Normal 4 4 9 2 2 2" xfId="16981" xr:uid="{5A153FEB-59EA-4F0C-AA52-A084ABF4C9A2}"/>
    <cellStyle name="Normal 4 4 9 2 3" xfId="12763" xr:uid="{363CAC7D-33F9-4643-B263-A0309CDD0A36}"/>
    <cellStyle name="Normal 4 4 9 3" xfId="6407" xr:uid="{00000000-0005-0000-0000-0000FE150000}"/>
    <cellStyle name="Normal 4 4 9 3 2" xfId="14836" xr:uid="{84265763-A20D-48BC-A943-3F9B594DE6B1}"/>
    <cellStyle name="Normal 4 4 9 4" xfId="10618" xr:uid="{D7BE6B55-97BC-48D1-B215-4133CD06770C}"/>
    <cellStyle name="Normal 4 5" xfId="394" xr:uid="{00000000-0005-0000-0000-0000FF150000}"/>
    <cellStyle name="Normal 4 6" xfId="395" xr:uid="{00000000-0005-0000-0000-000000160000}"/>
    <cellStyle name="Normal 4 6 10" xfId="4771" xr:uid="{00000000-0005-0000-0000-000001160000}"/>
    <cellStyle name="Normal 4 6 10 2" xfId="13200" xr:uid="{269EB9F3-8AD6-4AE4-A16F-62230DF25A2F}"/>
    <cellStyle name="Normal 4 6 11" xfId="8982" xr:uid="{64A7CAC3-2DB6-40E7-9546-D46EF4538240}"/>
    <cellStyle name="Normal 4 6 2" xfId="396" xr:uid="{00000000-0005-0000-0000-000002160000}"/>
    <cellStyle name="Normal 4 6 2 10" xfId="8983" xr:uid="{F678C610-57F5-48B0-A920-49CAB6434646}"/>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24669501-F78F-4A51-88B5-8253F1787FEE}"/>
    <cellStyle name="Normal 4 6 2 2 2 2 2 3" xfId="11543" xr:uid="{D130A3E0-7527-4CB9-A6DF-74C1A6720941}"/>
    <cellStyle name="Normal 4 6 2 2 2 2 3" xfId="5187" xr:uid="{00000000-0005-0000-0000-000008160000}"/>
    <cellStyle name="Normal 4 6 2 2 2 2 3 2" xfId="13616" xr:uid="{B5B8C66B-1F7D-4BC2-828A-E6CA55FA680C}"/>
    <cellStyle name="Normal 4 6 2 2 2 2 4" xfId="9398" xr:uid="{8614C6DA-57F4-47EB-A57A-94392C7C4913}"/>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7EC03ECD-F70B-4528-BC70-548A8FB56198}"/>
    <cellStyle name="Normal 4 6 2 2 2 3 2 3" xfId="11956" xr:uid="{B06F3FED-CC6B-447A-AE1B-81FDDBF6F3C4}"/>
    <cellStyle name="Normal 4 6 2 2 2 3 3" xfId="5600" xr:uid="{00000000-0005-0000-0000-00000C160000}"/>
    <cellStyle name="Normal 4 6 2 2 2 3 3 2" xfId="14029" xr:uid="{BB4EF25C-2A9E-44B4-92B3-4ED1888CEA62}"/>
    <cellStyle name="Normal 4 6 2 2 2 3 4" xfId="9811" xr:uid="{E1438A00-0018-4D06-B3AC-91E58321F1F9}"/>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52FF6C9B-09F5-4200-9958-FD62EEFBEC9E}"/>
    <cellStyle name="Normal 4 6 2 2 2 4 2 3" xfId="12369" xr:uid="{0C967CA7-C488-4EB0-97D7-7FC765346A1C}"/>
    <cellStyle name="Normal 4 6 2 2 2 4 3" xfId="6013" xr:uid="{00000000-0005-0000-0000-000010160000}"/>
    <cellStyle name="Normal 4 6 2 2 2 4 3 2" xfId="14442" xr:uid="{EE69A45A-46FC-4745-94C7-C81C183041DB}"/>
    <cellStyle name="Normal 4 6 2 2 2 4 4" xfId="10224" xr:uid="{227DBEC2-5C9F-4E0E-944D-50EE62ECDDC2}"/>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9F9AA2BC-2183-4DC2-86ED-6B789F3C148B}"/>
    <cellStyle name="Normal 4 6 2 2 2 5 2 3" xfId="12782" xr:uid="{444928A0-7F99-423E-9A43-ED2EE9F47800}"/>
    <cellStyle name="Normal 4 6 2 2 2 5 3" xfId="6426" xr:uid="{00000000-0005-0000-0000-000014160000}"/>
    <cellStyle name="Normal 4 6 2 2 2 5 3 2" xfId="14855" xr:uid="{F9726066-1F82-4B27-BBE8-FB8042F75C99}"/>
    <cellStyle name="Normal 4 6 2 2 2 5 4" xfId="10637" xr:uid="{0B750FD6-35F7-40E9-BDC4-A5A389299DE9}"/>
    <cellStyle name="Normal 4 6 2 2 2 6" xfId="2554" xr:uid="{00000000-0005-0000-0000-000015160000}"/>
    <cellStyle name="Normal 4 6 2 2 2 6 2" xfId="6839" xr:uid="{00000000-0005-0000-0000-000016160000}"/>
    <cellStyle name="Normal 4 6 2 2 2 6 2 2" xfId="15268" xr:uid="{BB65EA90-1193-4301-B1C5-60FFFE86F2DE}"/>
    <cellStyle name="Normal 4 6 2 2 2 6 3" xfId="11050" xr:uid="{66C6546C-D0B8-4B81-965D-C58705B8FA2C}"/>
    <cellStyle name="Normal 4 6 2 2 2 7" xfId="4774" xr:uid="{00000000-0005-0000-0000-000017160000}"/>
    <cellStyle name="Normal 4 6 2 2 2 7 2" xfId="13203" xr:uid="{9AC03A0A-9D13-4C38-AC16-839667C42748}"/>
    <cellStyle name="Normal 4 6 2 2 2 8" xfId="8985" xr:uid="{8FD23404-A650-4F53-A567-42CA4EE946ED}"/>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6601742E-F212-4A21-A755-65F94E35BFE9}"/>
    <cellStyle name="Normal 4 6 2 2 3 2 3" xfId="11542" xr:uid="{8911C376-C6A6-42A1-AD24-E2BD49E95599}"/>
    <cellStyle name="Normal 4 6 2 2 3 3" xfId="5186" xr:uid="{00000000-0005-0000-0000-00001B160000}"/>
    <cellStyle name="Normal 4 6 2 2 3 3 2" xfId="13615" xr:uid="{095D051E-312B-4477-A80D-B98DDFCF2821}"/>
    <cellStyle name="Normal 4 6 2 2 3 4" xfId="9397" xr:uid="{E4ECE4BC-A318-4F94-8592-B7CCE98CBB9C}"/>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E02D5E39-1B65-48B4-BC8C-9D6D7639A647}"/>
    <cellStyle name="Normal 4 6 2 2 4 2 3" xfId="11955" xr:uid="{9313314D-E4D0-445A-857D-8442FFD98EA5}"/>
    <cellStyle name="Normal 4 6 2 2 4 3" xfId="5599" xr:uid="{00000000-0005-0000-0000-00001F160000}"/>
    <cellStyle name="Normal 4 6 2 2 4 3 2" xfId="14028" xr:uid="{21550032-5B7E-4105-8548-9147CB181D1E}"/>
    <cellStyle name="Normal 4 6 2 2 4 4" xfId="9810" xr:uid="{3ABF02E1-11D8-41BB-A600-3147B495718C}"/>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1C3B198E-A9D3-4A93-8842-9058838BC578}"/>
    <cellStyle name="Normal 4 6 2 2 5 2 3" xfId="12368" xr:uid="{92EA2E3E-EB52-4A3B-A7E6-C2A93079871F}"/>
    <cellStyle name="Normal 4 6 2 2 5 3" xfId="6012" xr:uid="{00000000-0005-0000-0000-000023160000}"/>
    <cellStyle name="Normal 4 6 2 2 5 3 2" xfId="14441" xr:uid="{97AF6B01-0E37-44C6-B878-44877E619D5A}"/>
    <cellStyle name="Normal 4 6 2 2 5 4" xfId="10223" xr:uid="{6C6F0042-86E4-430C-B31A-71465A130DD3}"/>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8E4161B6-B520-4808-B01F-8C3E4354DE0D}"/>
    <cellStyle name="Normal 4 6 2 2 6 2 3" xfId="12781" xr:uid="{916C32EE-9B61-49BF-ABB2-848DFA7B3760}"/>
    <cellStyle name="Normal 4 6 2 2 6 3" xfId="6425" xr:uid="{00000000-0005-0000-0000-000027160000}"/>
    <cellStyle name="Normal 4 6 2 2 6 3 2" xfId="14854" xr:uid="{7C760E6A-2D93-41F8-9B3F-737E3EB50680}"/>
    <cellStyle name="Normal 4 6 2 2 6 4" xfId="10636" xr:uid="{57901ABB-654C-42E7-82BE-785A7914C5E3}"/>
    <cellStyle name="Normal 4 6 2 2 7" xfId="2553" xr:uid="{00000000-0005-0000-0000-000028160000}"/>
    <cellStyle name="Normal 4 6 2 2 7 2" xfId="6838" xr:uid="{00000000-0005-0000-0000-000029160000}"/>
    <cellStyle name="Normal 4 6 2 2 7 2 2" xfId="15267" xr:uid="{E14AC5F9-F53A-4DB9-A221-40B26ED45A7C}"/>
    <cellStyle name="Normal 4 6 2 2 7 3" xfId="11049" xr:uid="{94493F87-1054-4C65-A949-EEAA5A6E03D8}"/>
    <cellStyle name="Normal 4 6 2 2 8" xfId="4773" xr:uid="{00000000-0005-0000-0000-00002A160000}"/>
    <cellStyle name="Normal 4 6 2 2 8 2" xfId="13202" xr:uid="{193F382E-EC3B-4099-8424-00C06C22588C}"/>
    <cellStyle name="Normal 4 6 2 2 9" xfId="8984" xr:uid="{7C34340B-D2E4-43FF-9633-D8E84D2E8B9F}"/>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64163B7F-E1AE-469C-98CB-4D07989AC871}"/>
    <cellStyle name="Normal 4 6 2 3 2 2 3" xfId="11544" xr:uid="{57D0289A-3EB2-4A3B-AF4C-D3466D36AB70}"/>
    <cellStyle name="Normal 4 6 2 3 2 3" xfId="5188" xr:uid="{00000000-0005-0000-0000-00002F160000}"/>
    <cellStyle name="Normal 4 6 2 3 2 3 2" xfId="13617" xr:uid="{D46CFEE9-DF5F-4D8A-8CC8-CDD487EA11EB}"/>
    <cellStyle name="Normal 4 6 2 3 2 4" xfId="9399" xr:uid="{9D15FEBC-4C54-4B8D-8974-A324DAE5E733}"/>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AA0B01D0-2792-40F5-AFF2-93480E82CDC3}"/>
    <cellStyle name="Normal 4 6 2 3 3 2 3" xfId="11957" xr:uid="{F3CFC84B-4998-4601-8551-4C1FC68E5849}"/>
    <cellStyle name="Normal 4 6 2 3 3 3" xfId="5601" xr:uid="{00000000-0005-0000-0000-000033160000}"/>
    <cellStyle name="Normal 4 6 2 3 3 3 2" xfId="14030" xr:uid="{E34F8A54-69CD-4A67-8EE9-4AAA6950CD3F}"/>
    <cellStyle name="Normal 4 6 2 3 3 4" xfId="9812" xr:uid="{AEDA0F2D-C082-47A2-BD5C-BD1265E8D242}"/>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A81433BB-8099-4C75-9F19-044F8E1B6E2E}"/>
    <cellStyle name="Normal 4 6 2 3 4 2 3" xfId="12370" xr:uid="{6D9D0C69-1B71-4FEF-ACA7-C9347063DB8B}"/>
    <cellStyle name="Normal 4 6 2 3 4 3" xfId="6014" xr:uid="{00000000-0005-0000-0000-000037160000}"/>
    <cellStyle name="Normal 4 6 2 3 4 3 2" xfId="14443" xr:uid="{603F6509-48AC-42E4-80BB-F03D57B11654}"/>
    <cellStyle name="Normal 4 6 2 3 4 4" xfId="10225" xr:uid="{795F30EF-3C76-4134-81FE-ADD7E2AB1018}"/>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B81FFDA0-E98F-4C27-90E5-9E382B4D06E4}"/>
    <cellStyle name="Normal 4 6 2 3 5 2 3" xfId="12783" xr:uid="{147E7460-7EC1-4F40-BF3F-C3D8A62CCD33}"/>
    <cellStyle name="Normal 4 6 2 3 5 3" xfId="6427" xr:uid="{00000000-0005-0000-0000-00003B160000}"/>
    <cellStyle name="Normal 4 6 2 3 5 3 2" xfId="14856" xr:uid="{6DB02FAA-E9E7-4706-8531-502F21C11D55}"/>
    <cellStyle name="Normal 4 6 2 3 5 4" xfId="10638" xr:uid="{DAC0B46F-54F8-4F26-9EAC-DB97C1934112}"/>
    <cellStyle name="Normal 4 6 2 3 6" xfId="2555" xr:uid="{00000000-0005-0000-0000-00003C160000}"/>
    <cellStyle name="Normal 4 6 2 3 6 2" xfId="6840" xr:uid="{00000000-0005-0000-0000-00003D160000}"/>
    <cellStyle name="Normal 4 6 2 3 6 2 2" xfId="15269" xr:uid="{7F4CC1B7-E294-4BE5-9C4F-95FD6B475BE4}"/>
    <cellStyle name="Normal 4 6 2 3 6 3" xfId="11051" xr:uid="{8442C715-3708-43AF-B7F2-723DEF8A9325}"/>
    <cellStyle name="Normal 4 6 2 3 7" xfId="4775" xr:uid="{00000000-0005-0000-0000-00003E160000}"/>
    <cellStyle name="Normal 4 6 2 3 7 2" xfId="13204" xr:uid="{892BFC94-3366-4544-9A8D-A0ED926F75B1}"/>
    <cellStyle name="Normal 4 6 2 3 8" xfId="8986" xr:uid="{AEDF73BE-0031-4387-80F3-37BDCDD34E36}"/>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D666A543-CF5A-415B-BBCE-2D1A8143904C}"/>
    <cellStyle name="Normal 4 6 2 4 2 3" xfId="11541" xr:uid="{3E5632FE-C289-4634-B8F2-B34DC488B601}"/>
    <cellStyle name="Normal 4 6 2 4 3" xfId="5185" xr:uid="{00000000-0005-0000-0000-000042160000}"/>
    <cellStyle name="Normal 4 6 2 4 3 2" xfId="13614" xr:uid="{39F9B63F-8447-47CC-B9CF-351EFF23366E}"/>
    <cellStyle name="Normal 4 6 2 4 4" xfId="9396" xr:uid="{F8CE2C5C-AE9C-49EC-997F-A9E1A76E9E99}"/>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121DBEE8-DA7B-4E12-82AD-49744B74D517}"/>
    <cellStyle name="Normal 4 6 2 5 2 3" xfId="11954" xr:uid="{BFB3F2C9-8BB2-4E94-8518-DC00F93B003F}"/>
    <cellStyle name="Normal 4 6 2 5 3" xfId="5598" xr:uid="{00000000-0005-0000-0000-000046160000}"/>
    <cellStyle name="Normal 4 6 2 5 3 2" xfId="14027" xr:uid="{AC4B9E9B-BB63-46CE-8C47-A5BF909EFEAD}"/>
    <cellStyle name="Normal 4 6 2 5 4" xfId="9809" xr:uid="{89DE6F14-3095-4CDD-8E85-F56F3E1B48A1}"/>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ACD12FC4-2089-4D18-B949-E83C74B8E85C}"/>
    <cellStyle name="Normal 4 6 2 6 2 3" xfId="12367" xr:uid="{FA63FCCA-61C9-4856-80BC-0E9D3481FC77}"/>
    <cellStyle name="Normal 4 6 2 6 3" xfId="6011" xr:uid="{00000000-0005-0000-0000-00004A160000}"/>
    <cellStyle name="Normal 4 6 2 6 3 2" xfId="14440" xr:uid="{99867A8A-3F88-4C83-8F67-7AD75ACF6C78}"/>
    <cellStyle name="Normal 4 6 2 6 4" xfId="10222" xr:uid="{D01A789D-F165-4496-8DF8-E419C62A5351}"/>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E28086FD-2B7A-4169-988D-0D8C0DB51FDE}"/>
    <cellStyle name="Normal 4 6 2 7 2 3" xfId="12780" xr:uid="{DC05EAF1-B62E-45CF-9208-B9E1B082FFA4}"/>
    <cellStyle name="Normal 4 6 2 7 3" xfId="6424" xr:uid="{00000000-0005-0000-0000-00004E160000}"/>
    <cellStyle name="Normal 4 6 2 7 3 2" xfId="14853" xr:uid="{2ADBFEEF-594E-4980-A7C1-A68983200B08}"/>
    <cellStyle name="Normal 4 6 2 7 4" xfId="10635" xr:uid="{0AF1E845-918E-40DB-A6A5-5C33D076030B}"/>
    <cellStyle name="Normal 4 6 2 8" xfId="2552" xr:uid="{00000000-0005-0000-0000-00004F160000}"/>
    <cellStyle name="Normal 4 6 2 8 2" xfId="6837" xr:uid="{00000000-0005-0000-0000-000050160000}"/>
    <cellStyle name="Normal 4 6 2 8 2 2" xfId="15266" xr:uid="{E1F6ADD4-4D3D-4AEC-9B5C-EDFE40AA2CA3}"/>
    <cellStyle name="Normal 4 6 2 8 3" xfId="11048" xr:uid="{1B173775-95C9-4E3A-8EBA-627B0070F173}"/>
    <cellStyle name="Normal 4 6 2 9" xfId="4772" xr:uid="{00000000-0005-0000-0000-000051160000}"/>
    <cellStyle name="Normal 4 6 2 9 2" xfId="13201" xr:uid="{72CD35E3-8598-4A1C-86AD-82643B30E426}"/>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3C4AE105-FAA6-47D6-8667-5C088A330052}"/>
    <cellStyle name="Normal 4 6 3 2 2 2 3" xfId="11546" xr:uid="{6C802289-79EB-4119-8209-7BF58E1EF4E8}"/>
    <cellStyle name="Normal 4 6 3 2 2 3" xfId="5190" xr:uid="{00000000-0005-0000-0000-000057160000}"/>
    <cellStyle name="Normal 4 6 3 2 2 3 2" xfId="13619" xr:uid="{4013DEC8-4124-43AA-882C-6D9A5FE62CD2}"/>
    <cellStyle name="Normal 4 6 3 2 2 4" xfId="9401" xr:uid="{8221F69B-85D0-47F3-8410-271480A720A6}"/>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05FE1074-BB0F-4EAB-ACDE-E7D330D8F572}"/>
    <cellStyle name="Normal 4 6 3 2 3 2 3" xfId="11959" xr:uid="{6D61B066-67B6-4E39-9D85-F97EC559510D}"/>
    <cellStyle name="Normal 4 6 3 2 3 3" xfId="5603" xr:uid="{00000000-0005-0000-0000-00005B160000}"/>
    <cellStyle name="Normal 4 6 3 2 3 3 2" xfId="14032" xr:uid="{6181D95A-14A7-4CE2-A278-B62D5B993F5A}"/>
    <cellStyle name="Normal 4 6 3 2 3 4" xfId="9814" xr:uid="{046D67B7-649D-4851-8D97-3B09C93DCD85}"/>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A9DAAF53-445F-4067-A0C2-51353A3AF48B}"/>
    <cellStyle name="Normal 4 6 3 2 4 2 3" xfId="12372" xr:uid="{E7E2A2B8-FFD1-4B06-9DAF-65B3FD491811}"/>
    <cellStyle name="Normal 4 6 3 2 4 3" xfId="6016" xr:uid="{00000000-0005-0000-0000-00005F160000}"/>
    <cellStyle name="Normal 4 6 3 2 4 3 2" xfId="14445" xr:uid="{19CF5200-7200-4276-8682-52EB22861357}"/>
    <cellStyle name="Normal 4 6 3 2 4 4" xfId="10227" xr:uid="{9CFAD7BF-DF8A-4802-86CD-4BD0C7100198}"/>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887CDC5E-C68B-49A2-A52C-26F19ACE32E3}"/>
    <cellStyle name="Normal 4 6 3 2 5 2 3" xfId="12785" xr:uid="{03EEB972-1579-4274-80C9-6810B6BB7735}"/>
    <cellStyle name="Normal 4 6 3 2 5 3" xfId="6429" xr:uid="{00000000-0005-0000-0000-000063160000}"/>
    <cellStyle name="Normal 4 6 3 2 5 3 2" xfId="14858" xr:uid="{3ECB0D1C-CD55-469E-A6CB-899AB7F4ACAE}"/>
    <cellStyle name="Normal 4 6 3 2 5 4" xfId="10640" xr:uid="{06819A5F-2678-4B17-81AF-91424E4DE4FA}"/>
    <cellStyle name="Normal 4 6 3 2 6" xfId="2557" xr:uid="{00000000-0005-0000-0000-000064160000}"/>
    <cellStyle name="Normal 4 6 3 2 6 2" xfId="6842" xr:uid="{00000000-0005-0000-0000-000065160000}"/>
    <cellStyle name="Normal 4 6 3 2 6 2 2" xfId="15271" xr:uid="{4FBF62C5-E0D2-4783-A4E6-4E03932B62D3}"/>
    <cellStyle name="Normal 4 6 3 2 6 3" xfId="11053" xr:uid="{C4DEF8D1-DAEC-4FA8-AE27-5DA07BD54470}"/>
    <cellStyle name="Normal 4 6 3 2 7" xfId="4777" xr:uid="{00000000-0005-0000-0000-000066160000}"/>
    <cellStyle name="Normal 4 6 3 2 7 2" xfId="13206" xr:uid="{A4787208-A2B9-4C22-827F-4030B904EE25}"/>
    <cellStyle name="Normal 4 6 3 2 8" xfId="8988" xr:uid="{2D4CF5D7-066C-4ED5-A83B-9FDABCE15664}"/>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9FB2476B-F264-458D-B1B1-33A64E0B0BA6}"/>
    <cellStyle name="Normal 4 6 3 3 2 3" xfId="11545" xr:uid="{B28D9519-285A-4D82-9B7B-15C8444A283A}"/>
    <cellStyle name="Normal 4 6 3 3 3" xfId="5189" xr:uid="{00000000-0005-0000-0000-00006A160000}"/>
    <cellStyle name="Normal 4 6 3 3 3 2" xfId="13618" xr:uid="{E4C6888C-A902-4567-8BC2-EDC1CFED14E5}"/>
    <cellStyle name="Normal 4 6 3 3 4" xfId="9400" xr:uid="{F226858B-7ABE-4B0A-89D9-91721C79DDB2}"/>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EEA90FE5-AC71-4553-A792-E0006F969F04}"/>
    <cellStyle name="Normal 4 6 3 4 2 3" xfId="11958" xr:uid="{3197B8EA-C959-4D8A-85ED-BA1AACD3DDE2}"/>
    <cellStyle name="Normal 4 6 3 4 3" xfId="5602" xr:uid="{00000000-0005-0000-0000-00006E160000}"/>
    <cellStyle name="Normal 4 6 3 4 3 2" xfId="14031" xr:uid="{9739D16D-6A9C-4D41-A7AA-BECBBA2F8337}"/>
    <cellStyle name="Normal 4 6 3 4 4" xfId="9813" xr:uid="{91D057CB-BE3C-429D-84D3-823F4A44D41F}"/>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A019300F-DF27-4980-8D23-47C534759923}"/>
    <cellStyle name="Normal 4 6 3 5 2 3" xfId="12371" xr:uid="{598C22BA-8ED7-4699-A94C-2F93FB36223E}"/>
    <cellStyle name="Normal 4 6 3 5 3" xfId="6015" xr:uid="{00000000-0005-0000-0000-000072160000}"/>
    <cellStyle name="Normal 4 6 3 5 3 2" xfId="14444" xr:uid="{8A7A60E2-9F45-42A2-82B1-0799BCE305FA}"/>
    <cellStyle name="Normal 4 6 3 5 4" xfId="10226" xr:uid="{923D2B46-BC53-4434-A108-B6E1DD91850B}"/>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B2265B42-E3B3-4DA7-A374-222B1CFE724C}"/>
    <cellStyle name="Normal 4 6 3 6 2 3" xfId="12784" xr:uid="{EA2418D6-CF73-447D-9BD2-42C127A8AFEB}"/>
    <cellStyle name="Normal 4 6 3 6 3" xfId="6428" xr:uid="{00000000-0005-0000-0000-000076160000}"/>
    <cellStyle name="Normal 4 6 3 6 3 2" xfId="14857" xr:uid="{B00A9C1D-7B40-4404-962E-4D9E4938576E}"/>
    <cellStyle name="Normal 4 6 3 6 4" xfId="10639" xr:uid="{325D23F4-E6A0-40BB-ABA7-8D821E4937BA}"/>
    <cellStyle name="Normal 4 6 3 7" xfId="2556" xr:uid="{00000000-0005-0000-0000-000077160000}"/>
    <cellStyle name="Normal 4 6 3 7 2" xfId="6841" xr:uid="{00000000-0005-0000-0000-000078160000}"/>
    <cellStyle name="Normal 4 6 3 7 2 2" xfId="15270" xr:uid="{1C61BBD9-DA47-466A-98A9-4BE43063464B}"/>
    <cellStyle name="Normal 4 6 3 7 3" xfId="11052" xr:uid="{E5C80BEC-CD04-4865-942B-48BC6DB551E6}"/>
    <cellStyle name="Normal 4 6 3 8" xfId="4776" xr:uid="{00000000-0005-0000-0000-000079160000}"/>
    <cellStyle name="Normal 4 6 3 8 2" xfId="13205" xr:uid="{683C4DA8-CACD-4BAA-8706-B875C02E4B32}"/>
    <cellStyle name="Normal 4 6 3 9" xfId="8987" xr:uid="{732C3EDD-376C-44B2-BA5C-114CE1249365}"/>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CB069810-6D70-4E45-9237-9FD67D0F3DD8}"/>
    <cellStyle name="Normal 4 6 4 2 2 3" xfId="11547" xr:uid="{EABAD2B2-E8CD-44B5-AC5A-8DB3B44E5914}"/>
    <cellStyle name="Normal 4 6 4 2 3" xfId="5191" xr:uid="{00000000-0005-0000-0000-00007E160000}"/>
    <cellStyle name="Normal 4 6 4 2 3 2" xfId="13620" xr:uid="{D00BC77E-2952-4E23-A76B-62E0D9647F95}"/>
    <cellStyle name="Normal 4 6 4 2 4" xfId="9402" xr:uid="{3E18778C-F06D-459E-828E-DE7AF8E4FDC4}"/>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23029D2E-7941-41A8-B4EC-5D0D3C4D5E84}"/>
    <cellStyle name="Normal 4 6 4 3 2 3" xfId="11960" xr:uid="{3C676C65-6AFC-4435-83CA-0B426F2DC7C3}"/>
    <cellStyle name="Normal 4 6 4 3 3" xfId="5604" xr:uid="{00000000-0005-0000-0000-000082160000}"/>
    <cellStyle name="Normal 4 6 4 3 3 2" xfId="14033" xr:uid="{35D4407D-C47F-42E6-852E-88D16D94E52B}"/>
    <cellStyle name="Normal 4 6 4 3 4" xfId="9815" xr:uid="{13C55EF8-A937-4407-BED7-45B0A577B870}"/>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BA2C1976-CC3D-4078-A59D-F546EB1664F6}"/>
    <cellStyle name="Normal 4 6 4 4 2 3" xfId="12373" xr:uid="{7E3C478F-4131-4831-A3EE-81F192FD1858}"/>
    <cellStyle name="Normal 4 6 4 4 3" xfId="6017" xr:uid="{00000000-0005-0000-0000-000086160000}"/>
    <cellStyle name="Normal 4 6 4 4 3 2" xfId="14446" xr:uid="{44BE66C6-DCFA-4F73-B5C4-2E64D29E1C94}"/>
    <cellStyle name="Normal 4 6 4 4 4" xfId="10228" xr:uid="{1F769D04-A5CE-4E8B-AB4F-A5489B60CB52}"/>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D2A414C8-43AA-4DDD-96EB-1664F40A1A0D}"/>
    <cellStyle name="Normal 4 6 4 5 2 3" xfId="12786" xr:uid="{2BADF451-24B4-4F68-AB5D-5A96EF5B6627}"/>
    <cellStyle name="Normal 4 6 4 5 3" xfId="6430" xr:uid="{00000000-0005-0000-0000-00008A160000}"/>
    <cellStyle name="Normal 4 6 4 5 3 2" xfId="14859" xr:uid="{D4645333-BE46-487B-9AD9-CD6558BC5375}"/>
    <cellStyle name="Normal 4 6 4 5 4" xfId="10641" xr:uid="{97A9CE5D-46F5-4E5C-8268-E00A0CE061DE}"/>
    <cellStyle name="Normal 4 6 4 6" xfId="2558" xr:uid="{00000000-0005-0000-0000-00008B160000}"/>
    <cellStyle name="Normal 4 6 4 6 2" xfId="6843" xr:uid="{00000000-0005-0000-0000-00008C160000}"/>
    <cellStyle name="Normal 4 6 4 6 2 2" xfId="15272" xr:uid="{360E836D-86B8-4F4C-93AB-ED7848555830}"/>
    <cellStyle name="Normal 4 6 4 6 3" xfId="11054" xr:uid="{46E972DC-48FB-476C-9872-4590D9350270}"/>
    <cellStyle name="Normal 4 6 4 7" xfId="4778" xr:uid="{00000000-0005-0000-0000-00008D160000}"/>
    <cellStyle name="Normal 4 6 4 7 2" xfId="13207" xr:uid="{DA9F886D-845F-4EF6-B5F6-BACA82D75500}"/>
    <cellStyle name="Normal 4 6 4 8" xfId="8989" xr:uid="{E302C917-223E-4AF6-A6AA-80D166496AB0}"/>
    <cellStyle name="Normal 4 6 5" xfId="870" xr:uid="{00000000-0005-0000-0000-00008E160000}"/>
    <cellStyle name="Normal 4 6 5 2" xfId="3105" xr:uid="{00000000-0005-0000-0000-00008F160000}"/>
    <cellStyle name="Normal 4 6 5 2 2" xfId="7329" xr:uid="{00000000-0005-0000-0000-000090160000}"/>
    <cellStyle name="Normal 4 6 5 2 2 2" xfId="15758" xr:uid="{7C762402-9298-472F-B70B-213FDD1E9E69}"/>
    <cellStyle name="Normal 4 6 5 2 3" xfId="11540" xr:uid="{30E78629-E057-468B-BE56-B793E46A2FD8}"/>
    <cellStyle name="Normal 4 6 5 3" xfId="5184" xr:uid="{00000000-0005-0000-0000-000091160000}"/>
    <cellStyle name="Normal 4 6 5 3 2" xfId="13613" xr:uid="{8087D49D-8393-4B21-A43C-F8CF440AE54E}"/>
    <cellStyle name="Normal 4 6 5 4" xfId="9395" xr:uid="{58944466-1C29-4425-94D8-F9DB907DC672}"/>
    <cellStyle name="Normal 4 6 6" xfId="1288" xr:uid="{00000000-0005-0000-0000-000092160000}"/>
    <cellStyle name="Normal 4 6 6 2" xfId="3518" xr:uid="{00000000-0005-0000-0000-000093160000}"/>
    <cellStyle name="Normal 4 6 6 2 2" xfId="7742" xr:uid="{00000000-0005-0000-0000-000094160000}"/>
    <cellStyle name="Normal 4 6 6 2 2 2" xfId="16171" xr:uid="{C195E6ED-FBAE-4602-B9D4-A5B616B6C757}"/>
    <cellStyle name="Normal 4 6 6 2 3" xfId="11953" xr:uid="{6DB821FA-F69D-4A61-9CA2-9BE6551F0550}"/>
    <cellStyle name="Normal 4 6 6 3" xfId="5597" xr:uid="{00000000-0005-0000-0000-000095160000}"/>
    <cellStyle name="Normal 4 6 6 3 2" xfId="14026" xr:uid="{387A41EC-A476-4495-AD97-FD4CF37DFEF9}"/>
    <cellStyle name="Normal 4 6 6 4" xfId="9808" xr:uid="{E1DEEE6E-781B-41E8-98C2-B4CF98DAE97A}"/>
    <cellStyle name="Normal 4 6 7" xfId="1701" xr:uid="{00000000-0005-0000-0000-000096160000}"/>
    <cellStyle name="Normal 4 6 7 2" xfId="3931" xr:uid="{00000000-0005-0000-0000-000097160000}"/>
    <cellStyle name="Normal 4 6 7 2 2" xfId="8155" xr:uid="{00000000-0005-0000-0000-000098160000}"/>
    <cellStyle name="Normal 4 6 7 2 2 2" xfId="16584" xr:uid="{FF4F1469-37FB-4118-92D6-908DAF4A9624}"/>
    <cellStyle name="Normal 4 6 7 2 3" xfId="12366" xr:uid="{32D92C4E-8DC7-4E22-9351-A3F924708B3C}"/>
    <cellStyle name="Normal 4 6 7 3" xfId="6010" xr:uid="{00000000-0005-0000-0000-000099160000}"/>
    <cellStyle name="Normal 4 6 7 3 2" xfId="14439" xr:uid="{1D222DF9-5872-443E-9C85-B76F4251BE4E}"/>
    <cellStyle name="Normal 4 6 7 4" xfId="10221" xr:uid="{CBA2F62B-9F47-47D2-A28F-31CD9DA74914}"/>
    <cellStyle name="Normal 4 6 8" xfId="2115" xr:uid="{00000000-0005-0000-0000-00009A160000}"/>
    <cellStyle name="Normal 4 6 8 2" xfId="4344" xr:uid="{00000000-0005-0000-0000-00009B160000}"/>
    <cellStyle name="Normal 4 6 8 2 2" xfId="8568" xr:uid="{00000000-0005-0000-0000-00009C160000}"/>
    <cellStyle name="Normal 4 6 8 2 2 2" xfId="16997" xr:uid="{6FAEDAF0-6D5A-46D6-BC7C-E08C5C4F8D54}"/>
    <cellStyle name="Normal 4 6 8 2 3" xfId="12779" xr:uid="{330DF6DA-8E71-41C9-A2AE-BAE956EC2CC1}"/>
    <cellStyle name="Normal 4 6 8 3" xfId="6423" xr:uid="{00000000-0005-0000-0000-00009D160000}"/>
    <cellStyle name="Normal 4 6 8 3 2" xfId="14852" xr:uid="{A526AD1A-92B8-4CB2-AB77-93348A4A173D}"/>
    <cellStyle name="Normal 4 6 8 4" xfId="10634" xr:uid="{63F320D2-F15F-42B9-B1C9-B8B099EB510E}"/>
    <cellStyle name="Normal 4 6 9" xfId="2551" xr:uid="{00000000-0005-0000-0000-00009E160000}"/>
    <cellStyle name="Normal 4 6 9 2" xfId="6836" xr:uid="{00000000-0005-0000-0000-00009F160000}"/>
    <cellStyle name="Normal 4 6 9 2 2" xfId="15265" xr:uid="{ED02A800-23BE-449E-958D-36A5C5CC73FA}"/>
    <cellStyle name="Normal 4 6 9 3" xfId="11047" xr:uid="{D1C540D4-9149-4811-ADBC-C547003D4875}"/>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0AAD1788-319B-4180-BAF8-BC0ABC2F37DA}"/>
    <cellStyle name="Normal 4 7 2 2 2 3" xfId="11549" xr:uid="{0B1B7287-E4C8-46DD-94FB-D834AB46A330}"/>
    <cellStyle name="Normal 4 7 2 2 3" xfId="5193" xr:uid="{00000000-0005-0000-0000-0000A5160000}"/>
    <cellStyle name="Normal 4 7 2 2 3 2" xfId="13622" xr:uid="{3BD5CBB0-C8B9-4EDC-8E56-7406E8987C9D}"/>
    <cellStyle name="Normal 4 7 2 2 4" xfId="9404" xr:uid="{F28663CE-1A4F-44F3-9F4D-E61876A2F1A0}"/>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7BFC773B-A425-422C-86A7-82F7A36F11E9}"/>
    <cellStyle name="Normal 4 7 2 3 2 3" xfId="11962" xr:uid="{B3E51D0A-B230-4090-8A69-D291B2C1F764}"/>
    <cellStyle name="Normal 4 7 2 3 3" xfId="5606" xr:uid="{00000000-0005-0000-0000-0000A9160000}"/>
    <cellStyle name="Normal 4 7 2 3 3 2" xfId="14035" xr:uid="{219172C3-5CA9-4F12-9690-1408B816AB46}"/>
    <cellStyle name="Normal 4 7 2 3 4" xfId="9817" xr:uid="{6E4BC20A-094D-4330-961D-EEE33422A252}"/>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B5534045-1AF4-4ED7-A534-786D172D0673}"/>
    <cellStyle name="Normal 4 7 2 4 2 3" xfId="12375" xr:uid="{8D824A85-C93D-4178-88AA-1C10D9AB8F4C}"/>
    <cellStyle name="Normal 4 7 2 4 3" xfId="6019" xr:uid="{00000000-0005-0000-0000-0000AD160000}"/>
    <cellStyle name="Normal 4 7 2 4 3 2" xfId="14448" xr:uid="{DCCA1868-9805-4BE3-A84A-F58B61289D9B}"/>
    <cellStyle name="Normal 4 7 2 4 4" xfId="10230" xr:uid="{A1AE5619-569C-4B0E-AB5F-334AF7D425B4}"/>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D66CCB96-38D6-4989-BACC-AC12042DDEF7}"/>
    <cellStyle name="Normal 4 7 2 5 2 3" xfId="12788" xr:uid="{64385803-D742-4CB8-B316-3CC0BA41BDF1}"/>
    <cellStyle name="Normal 4 7 2 5 3" xfId="6432" xr:uid="{00000000-0005-0000-0000-0000B1160000}"/>
    <cellStyle name="Normal 4 7 2 5 3 2" xfId="14861" xr:uid="{23937E9D-01F3-44DC-818F-47DAEFB1F0C6}"/>
    <cellStyle name="Normal 4 7 2 5 4" xfId="10643" xr:uid="{06C323DF-6C21-46DC-8E5C-C7BE12DEE0DC}"/>
    <cellStyle name="Normal 4 7 2 6" xfId="2560" xr:uid="{00000000-0005-0000-0000-0000B2160000}"/>
    <cellStyle name="Normal 4 7 2 6 2" xfId="6845" xr:uid="{00000000-0005-0000-0000-0000B3160000}"/>
    <cellStyle name="Normal 4 7 2 6 2 2" xfId="15274" xr:uid="{6C5C37C4-D4E6-4AFD-B910-71F55EDEDA2F}"/>
    <cellStyle name="Normal 4 7 2 6 3" xfId="11056" xr:uid="{5DC348D6-A9DF-45A7-BC7C-71EEAF8A00B4}"/>
    <cellStyle name="Normal 4 7 2 7" xfId="4780" xr:uid="{00000000-0005-0000-0000-0000B4160000}"/>
    <cellStyle name="Normal 4 7 2 7 2" xfId="13209" xr:uid="{1A38B4D5-B4A4-49EC-B93F-16C2D75EDA6B}"/>
    <cellStyle name="Normal 4 7 2 8" xfId="8991" xr:uid="{3A79717A-874B-461E-A116-165920F7B94F}"/>
    <cellStyle name="Normal 4 7 3" xfId="878" xr:uid="{00000000-0005-0000-0000-0000B5160000}"/>
    <cellStyle name="Normal 4 7 3 2" xfId="3113" xr:uid="{00000000-0005-0000-0000-0000B6160000}"/>
    <cellStyle name="Normal 4 7 3 2 2" xfId="7337" xr:uid="{00000000-0005-0000-0000-0000B7160000}"/>
    <cellStyle name="Normal 4 7 3 2 2 2" xfId="15766" xr:uid="{68DF081E-37F8-4299-AD6A-71E4CB06C926}"/>
    <cellStyle name="Normal 4 7 3 2 3" xfId="11548" xr:uid="{D4B390E4-89D7-4426-8873-A02CC48901F4}"/>
    <cellStyle name="Normal 4 7 3 3" xfId="5192" xr:uid="{00000000-0005-0000-0000-0000B8160000}"/>
    <cellStyle name="Normal 4 7 3 3 2" xfId="13621" xr:uid="{0F63A2C3-66A4-4568-A456-A8C5D5ACC1DE}"/>
    <cellStyle name="Normal 4 7 3 4" xfId="9403" xr:uid="{5F20794E-564B-445D-BDBC-C0C9C76D8FF3}"/>
    <cellStyle name="Normal 4 7 4" xfId="1296" xr:uid="{00000000-0005-0000-0000-0000B9160000}"/>
    <cellStyle name="Normal 4 7 4 2" xfId="3526" xr:uid="{00000000-0005-0000-0000-0000BA160000}"/>
    <cellStyle name="Normal 4 7 4 2 2" xfId="7750" xr:uid="{00000000-0005-0000-0000-0000BB160000}"/>
    <cellStyle name="Normal 4 7 4 2 2 2" xfId="16179" xr:uid="{87905811-D5EF-44BF-B8F4-FEC8BCB477B0}"/>
    <cellStyle name="Normal 4 7 4 2 3" xfId="11961" xr:uid="{4DB23A49-127D-4145-8077-BE743926AE13}"/>
    <cellStyle name="Normal 4 7 4 3" xfId="5605" xr:uid="{00000000-0005-0000-0000-0000BC160000}"/>
    <cellStyle name="Normal 4 7 4 3 2" xfId="14034" xr:uid="{FFA67DD9-431B-40B7-BFB0-AA707B5BF6AC}"/>
    <cellStyle name="Normal 4 7 4 4" xfId="9816" xr:uid="{2A85A617-623C-45AA-A600-19B4B3022490}"/>
    <cellStyle name="Normal 4 7 5" xfId="1709" xr:uid="{00000000-0005-0000-0000-0000BD160000}"/>
    <cellStyle name="Normal 4 7 5 2" xfId="3939" xr:uid="{00000000-0005-0000-0000-0000BE160000}"/>
    <cellStyle name="Normal 4 7 5 2 2" xfId="8163" xr:uid="{00000000-0005-0000-0000-0000BF160000}"/>
    <cellStyle name="Normal 4 7 5 2 2 2" xfId="16592" xr:uid="{2256EA23-4C59-40B6-9007-8A03D433A671}"/>
    <cellStyle name="Normal 4 7 5 2 3" xfId="12374" xr:uid="{791E0963-23F7-4BDC-AB8A-79691AE4D984}"/>
    <cellStyle name="Normal 4 7 5 3" xfId="6018" xr:uid="{00000000-0005-0000-0000-0000C0160000}"/>
    <cellStyle name="Normal 4 7 5 3 2" xfId="14447" xr:uid="{59265C68-22AA-4313-B4B1-245AD8DC7DD2}"/>
    <cellStyle name="Normal 4 7 5 4" xfId="10229" xr:uid="{DB50ECB2-7368-4673-861B-8E6A60297448}"/>
    <cellStyle name="Normal 4 7 6" xfId="2123" xr:uid="{00000000-0005-0000-0000-0000C1160000}"/>
    <cellStyle name="Normal 4 7 6 2" xfId="4352" xr:uid="{00000000-0005-0000-0000-0000C2160000}"/>
    <cellStyle name="Normal 4 7 6 2 2" xfId="8576" xr:uid="{00000000-0005-0000-0000-0000C3160000}"/>
    <cellStyle name="Normal 4 7 6 2 2 2" xfId="17005" xr:uid="{298C7FE5-27DD-4E2E-BC4A-352879AB719B}"/>
    <cellStyle name="Normal 4 7 6 2 3" xfId="12787" xr:uid="{D025ACF4-A0A8-4D0C-AAA1-0D2C1A00D596}"/>
    <cellStyle name="Normal 4 7 6 3" xfId="6431" xr:uid="{00000000-0005-0000-0000-0000C4160000}"/>
    <cellStyle name="Normal 4 7 6 3 2" xfId="14860" xr:uid="{DD54828A-02F7-4A76-88D2-DF0DEEAD3F8A}"/>
    <cellStyle name="Normal 4 7 6 4" xfId="10642" xr:uid="{BC813C7B-3193-40C5-BBFB-C9DD4723AAB3}"/>
    <cellStyle name="Normal 4 7 7" xfId="2559" xr:uid="{00000000-0005-0000-0000-0000C5160000}"/>
    <cellStyle name="Normal 4 7 7 2" xfId="6844" xr:uid="{00000000-0005-0000-0000-0000C6160000}"/>
    <cellStyle name="Normal 4 7 7 2 2" xfId="15273" xr:uid="{FD5DD144-AFB4-4E7A-B7FE-6E5F54606056}"/>
    <cellStyle name="Normal 4 7 7 3" xfId="11055" xr:uid="{EC20EF79-E6B1-4287-B13F-3AFA67891905}"/>
    <cellStyle name="Normal 4 7 8" xfId="4779" xr:uid="{00000000-0005-0000-0000-0000C7160000}"/>
    <cellStyle name="Normal 4 7 8 2" xfId="13208" xr:uid="{909D09B5-1BEC-42C7-B9BA-EB2A774638C6}"/>
    <cellStyle name="Normal 4 7 9" xfId="8990" xr:uid="{423687C5-BD46-4167-8167-861420DBA0C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E2032AD-62A7-4014-85A8-EAE179C6F237}"/>
    <cellStyle name="Normal 4 8 2 2 3" xfId="11550" xr:uid="{7CE3E8BF-FC9B-4856-9482-9B6B5B06F76E}"/>
    <cellStyle name="Normal 4 8 2 3" xfId="5194" xr:uid="{00000000-0005-0000-0000-0000CC160000}"/>
    <cellStyle name="Normal 4 8 2 3 2" xfId="13623" xr:uid="{885AFDBE-8B1A-4D5E-A164-10E701B3BD50}"/>
    <cellStyle name="Normal 4 8 2 4" xfId="9405" xr:uid="{BE52B231-DB4D-4595-A903-D90353BC16A4}"/>
    <cellStyle name="Normal 4 8 3" xfId="1298" xr:uid="{00000000-0005-0000-0000-0000CD160000}"/>
    <cellStyle name="Normal 4 8 3 2" xfId="3528" xr:uid="{00000000-0005-0000-0000-0000CE160000}"/>
    <cellStyle name="Normal 4 8 3 2 2" xfId="7752" xr:uid="{00000000-0005-0000-0000-0000CF160000}"/>
    <cellStyle name="Normal 4 8 3 2 2 2" xfId="16181" xr:uid="{CF17DF20-0A4F-4791-981A-0A1241E878EC}"/>
    <cellStyle name="Normal 4 8 3 2 3" xfId="11963" xr:uid="{A1BC6E95-0372-4132-A33C-A7D05892D895}"/>
    <cellStyle name="Normal 4 8 3 3" xfId="5607" xr:uid="{00000000-0005-0000-0000-0000D0160000}"/>
    <cellStyle name="Normal 4 8 3 3 2" xfId="14036" xr:uid="{91C8041F-0F10-44BA-932E-F6F5B3557400}"/>
    <cellStyle name="Normal 4 8 3 4" xfId="9818" xr:uid="{82F58B9F-C594-4686-8AED-F17D00906191}"/>
    <cellStyle name="Normal 4 8 4" xfId="1711" xr:uid="{00000000-0005-0000-0000-0000D1160000}"/>
    <cellStyle name="Normal 4 8 4 2" xfId="3941" xr:uid="{00000000-0005-0000-0000-0000D2160000}"/>
    <cellStyle name="Normal 4 8 4 2 2" xfId="8165" xr:uid="{00000000-0005-0000-0000-0000D3160000}"/>
    <cellStyle name="Normal 4 8 4 2 2 2" xfId="16594" xr:uid="{09C2D39A-7DB1-4308-B1EE-CD463A4F8923}"/>
    <cellStyle name="Normal 4 8 4 2 3" xfId="12376" xr:uid="{44B6D2F6-D877-4325-9BE3-48FCD56400E7}"/>
    <cellStyle name="Normal 4 8 4 3" xfId="6020" xr:uid="{00000000-0005-0000-0000-0000D4160000}"/>
    <cellStyle name="Normal 4 8 4 3 2" xfId="14449" xr:uid="{96E0B22A-E460-45BC-8B4A-83C4344D2CE3}"/>
    <cellStyle name="Normal 4 8 4 4" xfId="10231" xr:uid="{0D147888-97DA-4A53-B956-601F644115F8}"/>
    <cellStyle name="Normal 4 8 5" xfId="2125" xr:uid="{00000000-0005-0000-0000-0000D5160000}"/>
    <cellStyle name="Normal 4 8 5 2" xfId="4354" xr:uid="{00000000-0005-0000-0000-0000D6160000}"/>
    <cellStyle name="Normal 4 8 5 2 2" xfId="8578" xr:uid="{00000000-0005-0000-0000-0000D7160000}"/>
    <cellStyle name="Normal 4 8 5 2 2 2" xfId="17007" xr:uid="{8E72241B-D260-4273-8BA9-886462A51045}"/>
    <cellStyle name="Normal 4 8 5 2 3" xfId="12789" xr:uid="{58533B73-1E11-409D-BFE6-3B3AF1F7E9E8}"/>
    <cellStyle name="Normal 4 8 5 3" xfId="6433" xr:uid="{00000000-0005-0000-0000-0000D8160000}"/>
    <cellStyle name="Normal 4 8 5 3 2" xfId="14862" xr:uid="{CAFBF028-0ECD-43B7-8033-11E3921719BF}"/>
    <cellStyle name="Normal 4 8 5 4" xfId="10644" xr:uid="{ADC21395-2616-46B1-BB47-FBE47093A7D2}"/>
    <cellStyle name="Normal 4 8 6" xfId="2561" xr:uid="{00000000-0005-0000-0000-0000D9160000}"/>
    <cellStyle name="Normal 4 8 6 2" xfId="6846" xr:uid="{00000000-0005-0000-0000-0000DA160000}"/>
    <cellStyle name="Normal 4 8 6 2 2" xfId="15275" xr:uid="{4BCF02E2-78C6-40AE-89AA-590A9CD4F4A4}"/>
    <cellStyle name="Normal 4 8 6 3" xfId="11057" xr:uid="{FC873564-4DC1-48BB-8624-AF79F7881037}"/>
    <cellStyle name="Normal 4 8 7" xfId="4781" xr:uid="{00000000-0005-0000-0000-0000DB160000}"/>
    <cellStyle name="Normal 4 8 7 2" xfId="13210" xr:uid="{BA1A1ECD-5B8B-4611-B1A3-8DDE4BA81E8E}"/>
    <cellStyle name="Normal 4 8 8" xfId="8992" xr:uid="{964BA67D-3C41-4E38-9A51-CA3A91B5616F}"/>
    <cellStyle name="Normal 4 9" xfId="4718" xr:uid="{00000000-0005-0000-0000-0000DC160000}"/>
    <cellStyle name="Normal 4 9 2" xfId="13147" xr:uid="{74B885F6-20A7-4F13-940F-174E0A435AB9}"/>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CD331D62-3CFE-44B8-AACF-15002D63C83F}"/>
    <cellStyle name="Normal 5 10 2 3" xfId="12377" xr:uid="{3A389238-3748-4B48-8F36-7D564BFEAD84}"/>
    <cellStyle name="Normal 5 10 3" xfId="6021" xr:uid="{00000000-0005-0000-0000-0000E1160000}"/>
    <cellStyle name="Normal 5 10 3 2" xfId="14450" xr:uid="{B07EA953-04CD-4BEC-B47A-20179AA3BD23}"/>
    <cellStyle name="Normal 5 10 4" xfId="10232" xr:uid="{9E13B904-4037-4A39-B131-BE05C01D604B}"/>
    <cellStyle name="Normal 5 11" xfId="2126" xr:uid="{00000000-0005-0000-0000-0000E2160000}"/>
    <cellStyle name="Normal 5 11 2" xfId="4355" xr:uid="{00000000-0005-0000-0000-0000E3160000}"/>
    <cellStyle name="Normal 5 11 2 2" xfId="8579" xr:uid="{00000000-0005-0000-0000-0000E4160000}"/>
    <cellStyle name="Normal 5 11 2 2 2" xfId="17008" xr:uid="{FD4E1411-C891-41D4-9CE1-43149F657825}"/>
    <cellStyle name="Normal 5 11 2 3" xfId="12790" xr:uid="{4C33894F-A9E0-46DB-B3A8-C9D8D17E9B44}"/>
    <cellStyle name="Normal 5 11 3" xfId="6434" xr:uid="{00000000-0005-0000-0000-0000E5160000}"/>
    <cellStyle name="Normal 5 11 3 2" xfId="14863" xr:uid="{9B1140D7-B37D-4A4B-A7D0-67607DD09F3B}"/>
    <cellStyle name="Normal 5 11 4" xfId="10645" xr:uid="{CFB3DB7D-2AE1-45C4-8688-0ACE7C5FAEFA}"/>
    <cellStyle name="Normal 5 12" xfId="2562" xr:uid="{00000000-0005-0000-0000-0000E6160000}"/>
    <cellStyle name="Normal 5 12 2" xfId="6847" xr:uid="{00000000-0005-0000-0000-0000E7160000}"/>
    <cellStyle name="Normal 5 12 2 2" xfId="15276" xr:uid="{41D339D6-6FE3-4D41-A500-E7CC765C4633}"/>
    <cellStyle name="Normal 5 12 3" xfId="11058" xr:uid="{E86704E7-2747-4BC0-BF1F-58A85149BFD3}"/>
    <cellStyle name="Normal 5 13" xfId="4782" xr:uid="{00000000-0005-0000-0000-0000E8160000}"/>
    <cellStyle name="Normal 5 13 2" xfId="13211" xr:uid="{F39889F4-5C56-47B5-854A-5E0D2B0F0411}"/>
    <cellStyle name="Normal 5 14" xfId="8993" xr:uid="{8379DDD5-5C61-49B2-A64E-A4385E4B5BCC}"/>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A7F8D2AD-E73A-4948-8755-B302756B1FFE}"/>
    <cellStyle name="Normal 5 2 10 2 3" xfId="12791" xr:uid="{311C9E82-B970-4CC8-AD1B-E27D3A6C3BB6}"/>
    <cellStyle name="Normal 5 2 10 3" xfId="6435" xr:uid="{00000000-0005-0000-0000-0000ED160000}"/>
    <cellStyle name="Normal 5 2 10 3 2" xfId="14864" xr:uid="{C297C588-7EEB-4FBA-BC37-947BFEB29608}"/>
    <cellStyle name="Normal 5 2 10 4" xfId="10646" xr:uid="{F3C9DAED-C981-440A-81A7-7BBA64B93D47}"/>
    <cellStyle name="Normal 5 2 11" xfId="2563" xr:uid="{00000000-0005-0000-0000-0000EE160000}"/>
    <cellStyle name="Normal 5 2 11 2" xfId="6848" xr:uid="{00000000-0005-0000-0000-0000EF160000}"/>
    <cellStyle name="Normal 5 2 11 2 2" xfId="15277" xr:uid="{6A9B9DFF-C413-4CA3-8527-EFBDDF909713}"/>
    <cellStyle name="Normal 5 2 11 3" xfId="11059" xr:uid="{F1F50E88-F299-44AF-8F61-351515FD3D97}"/>
    <cellStyle name="Normal 5 2 12" xfId="4783" xr:uid="{00000000-0005-0000-0000-0000F0160000}"/>
    <cellStyle name="Normal 5 2 12 2" xfId="13212" xr:uid="{8AE8BB85-6CFD-4599-8038-C480B0AA7E36}"/>
    <cellStyle name="Normal 5 2 13" xfId="8994" xr:uid="{84A50B10-E7BE-444A-B092-13B409E23CB4}"/>
    <cellStyle name="Normal 5 2 2" xfId="408" xr:uid="{00000000-0005-0000-0000-0000F1160000}"/>
    <cellStyle name="Normal 5 2 2 10" xfId="2564" xr:uid="{00000000-0005-0000-0000-0000F2160000}"/>
    <cellStyle name="Normal 5 2 2 10 2" xfId="6849" xr:uid="{00000000-0005-0000-0000-0000F3160000}"/>
    <cellStyle name="Normal 5 2 2 10 2 2" xfId="15278" xr:uid="{7FDE19F8-8FF2-4391-B91E-9221BB900FC1}"/>
    <cellStyle name="Normal 5 2 2 10 3" xfId="11060" xr:uid="{EC007550-7898-4FED-9AB6-95F427148F21}"/>
    <cellStyle name="Normal 5 2 2 11" xfId="4784" xr:uid="{00000000-0005-0000-0000-0000F4160000}"/>
    <cellStyle name="Normal 5 2 2 11 2" xfId="13213" xr:uid="{ECF42984-427E-439E-A3A3-097368FB17B7}"/>
    <cellStyle name="Normal 5 2 2 12" xfId="8995" xr:uid="{4517D8FD-D0FD-4D33-93C8-ED9F0699EC16}"/>
    <cellStyle name="Normal 5 2 2 2" xfId="409" xr:uid="{00000000-0005-0000-0000-0000F5160000}"/>
    <cellStyle name="Normal 5 2 2 2 10" xfId="4785" xr:uid="{00000000-0005-0000-0000-0000F6160000}"/>
    <cellStyle name="Normal 5 2 2 2 10 2" xfId="13214" xr:uid="{BE1442E0-D1B1-4FA0-A45D-A8C12CAAB722}"/>
    <cellStyle name="Normal 5 2 2 2 11" xfId="8996" xr:uid="{94C58E12-9A88-4C7A-A09E-14333ED55799}"/>
    <cellStyle name="Normal 5 2 2 2 2" xfId="410" xr:uid="{00000000-0005-0000-0000-0000F7160000}"/>
    <cellStyle name="Normal 5 2 2 2 2 10" xfId="8997" xr:uid="{1E02F92D-5758-443A-B3AA-09BD83209696}"/>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D0539920-6D07-46CC-8401-C7ABFDC133A5}"/>
    <cellStyle name="Normal 5 2 2 2 2 2 2 2 2 3" xfId="11557" xr:uid="{9714FEC9-4461-4F77-978D-6DF655EDC3B2}"/>
    <cellStyle name="Normal 5 2 2 2 2 2 2 2 3" xfId="5201" xr:uid="{00000000-0005-0000-0000-0000FD160000}"/>
    <cellStyle name="Normal 5 2 2 2 2 2 2 2 3 2" xfId="13630" xr:uid="{003872D4-F9D5-4539-A6D4-23E3B5000485}"/>
    <cellStyle name="Normal 5 2 2 2 2 2 2 2 4" xfId="9412" xr:uid="{5CC53F80-9086-4C47-AA38-29DA04E57002}"/>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F38AC453-C814-4997-98D2-43F510E7E8C7}"/>
    <cellStyle name="Normal 5 2 2 2 2 2 2 3 2 3" xfId="11970" xr:uid="{17143833-B89F-4BCD-BC3D-01D760EFDA84}"/>
    <cellStyle name="Normal 5 2 2 2 2 2 2 3 3" xfId="5614" xr:uid="{00000000-0005-0000-0000-000001170000}"/>
    <cellStyle name="Normal 5 2 2 2 2 2 2 3 3 2" xfId="14043" xr:uid="{20BA52DC-87A0-4BA7-A1CE-80726748861F}"/>
    <cellStyle name="Normal 5 2 2 2 2 2 2 3 4" xfId="9825" xr:uid="{2461308F-270D-4A71-907B-EE8EE3E2E7F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B239F6B1-DAE0-4796-817A-15FDC2B9FBA6}"/>
    <cellStyle name="Normal 5 2 2 2 2 2 2 4 2 3" xfId="12383" xr:uid="{C10487FC-833C-477C-BA16-3F9F34D8A605}"/>
    <cellStyle name="Normal 5 2 2 2 2 2 2 4 3" xfId="6027" xr:uid="{00000000-0005-0000-0000-000005170000}"/>
    <cellStyle name="Normal 5 2 2 2 2 2 2 4 3 2" xfId="14456" xr:uid="{319CBCE5-41EC-4937-9BFB-8DA86F697D74}"/>
    <cellStyle name="Normal 5 2 2 2 2 2 2 4 4" xfId="10238" xr:uid="{588380F3-585D-44FD-ACC2-433E1EC8AD6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8545342B-1408-4C8D-B6DC-211E23CDCAC6}"/>
    <cellStyle name="Normal 5 2 2 2 2 2 2 5 2 3" xfId="12796" xr:uid="{2E41F6B3-5877-47B2-85F8-666CC3DF1142}"/>
    <cellStyle name="Normal 5 2 2 2 2 2 2 5 3" xfId="6440" xr:uid="{00000000-0005-0000-0000-000009170000}"/>
    <cellStyle name="Normal 5 2 2 2 2 2 2 5 3 2" xfId="14869" xr:uid="{F1FEFC85-5BF2-484E-A599-60A4410C2E85}"/>
    <cellStyle name="Normal 5 2 2 2 2 2 2 5 4" xfId="10651" xr:uid="{667E95BE-C71C-4D14-837B-B89A12583D36}"/>
    <cellStyle name="Normal 5 2 2 2 2 2 2 6" xfId="2568" xr:uid="{00000000-0005-0000-0000-00000A170000}"/>
    <cellStyle name="Normal 5 2 2 2 2 2 2 6 2" xfId="6853" xr:uid="{00000000-0005-0000-0000-00000B170000}"/>
    <cellStyle name="Normal 5 2 2 2 2 2 2 6 2 2" xfId="15282" xr:uid="{7F3C9EC0-06A1-4E55-9DB2-9A77C949D96F}"/>
    <cellStyle name="Normal 5 2 2 2 2 2 2 6 3" xfId="11064" xr:uid="{15C708FB-CE19-4794-AB96-59EAA28982E2}"/>
    <cellStyle name="Normal 5 2 2 2 2 2 2 7" xfId="4788" xr:uid="{00000000-0005-0000-0000-00000C170000}"/>
    <cellStyle name="Normal 5 2 2 2 2 2 2 7 2" xfId="13217" xr:uid="{C659C5A4-4598-40A4-AE4F-484F3E2B3580}"/>
    <cellStyle name="Normal 5 2 2 2 2 2 2 8" xfId="8999" xr:uid="{FBFECCF2-5E0D-4741-801F-7792914B2F48}"/>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AFEC6573-922E-4306-AC59-6907B8266485}"/>
    <cellStyle name="Normal 5 2 2 2 2 2 3 2 3" xfId="11556" xr:uid="{4A6D7E88-2DB3-49ED-8F79-E3A6FA7E2756}"/>
    <cellStyle name="Normal 5 2 2 2 2 2 3 3" xfId="5200" xr:uid="{00000000-0005-0000-0000-000010170000}"/>
    <cellStyle name="Normal 5 2 2 2 2 2 3 3 2" xfId="13629" xr:uid="{DCB0136A-1F06-4649-9B67-DFC78CF504ED}"/>
    <cellStyle name="Normal 5 2 2 2 2 2 3 4" xfId="9411" xr:uid="{F029C5A6-6966-46CF-B502-A8E82F20683B}"/>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126A4B30-BF5E-4FAA-99E9-5D7AA110FF3E}"/>
    <cellStyle name="Normal 5 2 2 2 2 2 4 2 3" xfId="11969" xr:uid="{017C8A85-C4CA-4645-ACC6-B28F0E2235CC}"/>
    <cellStyle name="Normal 5 2 2 2 2 2 4 3" xfId="5613" xr:uid="{00000000-0005-0000-0000-000014170000}"/>
    <cellStyle name="Normal 5 2 2 2 2 2 4 3 2" xfId="14042" xr:uid="{B7352CE3-5A73-43A1-872B-0E7539D90CC0}"/>
    <cellStyle name="Normal 5 2 2 2 2 2 4 4" xfId="9824" xr:uid="{4F4D32F6-C7BD-4973-B7E8-941803C4B12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03AB5BB7-159B-4AAB-A2F0-CF6F03AD0B81}"/>
    <cellStyle name="Normal 5 2 2 2 2 2 5 2 3" xfId="12382" xr:uid="{4E573A46-9451-4267-A670-C2F3FA9A461D}"/>
    <cellStyle name="Normal 5 2 2 2 2 2 5 3" xfId="6026" xr:uid="{00000000-0005-0000-0000-000018170000}"/>
    <cellStyle name="Normal 5 2 2 2 2 2 5 3 2" xfId="14455" xr:uid="{10093D5B-7E5D-41E1-931C-253B7A771F4A}"/>
    <cellStyle name="Normal 5 2 2 2 2 2 5 4" xfId="10237" xr:uid="{2D01F7EB-4478-4033-949F-BF44ED3C318A}"/>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D3F85C35-CAA2-4AA8-8634-431E1E8C4941}"/>
    <cellStyle name="Normal 5 2 2 2 2 2 6 2 3" xfId="12795" xr:uid="{37C16EF4-398A-45C8-9CBC-A29354D2DC75}"/>
    <cellStyle name="Normal 5 2 2 2 2 2 6 3" xfId="6439" xr:uid="{00000000-0005-0000-0000-00001C170000}"/>
    <cellStyle name="Normal 5 2 2 2 2 2 6 3 2" xfId="14868" xr:uid="{591AD519-E75A-4226-954C-9110974B7730}"/>
    <cellStyle name="Normal 5 2 2 2 2 2 6 4" xfId="10650" xr:uid="{2D0E5C41-519B-49A9-9F0B-DE99E288012D}"/>
    <cellStyle name="Normal 5 2 2 2 2 2 7" xfId="2567" xr:uid="{00000000-0005-0000-0000-00001D170000}"/>
    <cellStyle name="Normal 5 2 2 2 2 2 7 2" xfId="6852" xr:uid="{00000000-0005-0000-0000-00001E170000}"/>
    <cellStyle name="Normal 5 2 2 2 2 2 7 2 2" xfId="15281" xr:uid="{A8BFA2DD-C3A7-4E5F-8BA8-533D35BC6370}"/>
    <cellStyle name="Normal 5 2 2 2 2 2 7 3" xfId="11063" xr:uid="{1158BD9B-4480-44B1-9201-641FFF636DCB}"/>
    <cellStyle name="Normal 5 2 2 2 2 2 8" xfId="4787" xr:uid="{00000000-0005-0000-0000-00001F170000}"/>
    <cellStyle name="Normal 5 2 2 2 2 2 8 2" xfId="13216" xr:uid="{2DA55EDA-3284-405F-8048-E663DE82D59E}"/>
    <cellStyle name="Normal 5 2 2 2 2 2 9" xfId="8998" xr:uid="{C22826DA-E408-4650-A9AB-7002FDD0A7E1}"/>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871FCA37-835F-465E-B502-D0709F146B30}"/>
    <cellStyle name="Normal 5 2 2 2 2 3 2 2 3" xfId="11558" xr:uid="{0F10AEE2-4A72-4304-BD6A-E15FC5AC2E03}"/>
    <cellStyle name="Normal 5 2 2 2 2 3 2 3" xfId="5202" xr:uid="{00000000-0005-0000-0000-000024170000}"/>
    <cellStyle name="Normal 5 2 2 2 2 3 2 3 2" xfId="13631" xr:uid="{81D75BAE-5D6F-49EA-AA63-93B8C53A8349}"/>
    <cellStyle name="Normal 5 2 2 2 2 3 2 4" xfId="9413" xr:uid="{68205E5F-226F-4A71-B74C-F7A4722DF2FE}"/>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2DA901F1-B3BC-4840-9170-B92FC74C66CF}"/>
    <cellStyle name="Normal 5 2 2 2 2 3 3 2 3" xfId="11971" xr:uid="{C7F7E164-35F4-4723-82BD-A94AE0FC61F2}"/>
    <cellStyle name="Normal 5 2 2 2 2 3 3 3" xfId="5615" xr:uid="{00000000-0005-0000-0000-000028170000}"/>
    <cellStyle name="Normal 5 2 2 2 2 3 3 3 2" xfId="14044" xr:uid="{BBC06271-55D8-4647-ADF9-D330A7B19B86}"/>
    <cellStyle name="Normal 5 2 2 2 2 3 3 4" xfId="9826" xr:uid="{026B7CAB-2B6A-4E5F-91FB-2D2E229CB7E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BD9FE660-7289-4FD2-B6CE-48D8937C4437}"/>
    <cellStyle name="Normal 5 2 2 2 2 3 4 2 3" xfId="12384" xr:uid="{3FB453A3-73F8-43DD-B6B8-20A29ED1416F}"/>
    <cellStyle name="Normal 5 2 2 2 2 3 4 3" xfId="6028" xr:uid="{00000000-0005-0000-0000-00002C170000}"/>
    <cellStyle name="Normal 5 2 2 2 2 3 4 3 2" xfId="14457" xr:uid="{8767C5DA-C7C0-43DB-BBF1-7D05083225E5}"/>
    <cellStyle name="Normal 5 2 2 2 2 3 4 4" xfId="10239" xr:uid="{6BED5FDD-EA16-4A94-82B2-347CB8D16702}"/>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746522E0-5D80-4C0B-ABBE-7C8A43947452}"/>
    <cellStyle name="Normal 5 2 2 2 2 3 5 2 3" xfId="12797" xr:uid="{7CE99E78-3341-45AE-9908-D368A999F6F2}"/>
    <cellStyle name="Normal 5 2 2 2 2 3 5 3" xfId="6441" xr:uid="{00000000-0005-0000-0000-000030170000}"/>
    <cellStyle name="Normal 5 2 2 2 2 3 5 3 2" xfId="14870" xr:uid="{4B31E442-4A95-4E77-941E-8511DF2A2F32}"/>
    <cellStyle name="Normal 5 2 2 2 2 3 5 4" xfId="10652" xr:uid="{F762F0E9-F039-49BD-9478-B0774330E610}"/>
    <cellStyle name="Normal 5 2 2 2 2 3 6" xfId="2569" xr:uid="{00000000-0005-0000-0000-000031170000}"/>
    <cellStyle name="Normal 5 2 2 2 2 3 6 2" xfId="6854" xr:uid="{00000000-0005-0000-0000-000032170000}"/>
    <cellStyle name="Normal 5 2 2 2 2 3 6 2 2" xfId="15283" xr:uid="{1E9AB8CB-18C6-4A50-928F-403CF283B9B7}"/>
    <cellStyle name="Normal 5 2 2 2 2 3 6 3" xfId="11065" xr:uid="{9B830C8C-1FC0-46E0-9153-B6F7E589CC45}"/>
    <cellStyle name="Normal 5 2 2 2 2 3 7" xfId="4789" xr:uid="{00000000-0005-0000-0000-000033170000}"/>
    <cellStyle name="Normal 5 2 2 2 2 3 7 2" xfId="13218" xr:uid="{356F29F0-26DF-4177-BEC7-3873155D8625}"/>
    <cellStyle name="Normal 5 2 2 2 2 3 8" xfId="9000" xr:uid="{C6F8BD65-9595-42FE-B365-B2BC07E166E5}"/>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7F632E03-FA3B-4E7D-BD5A-5F865950549B}"/>
    <cellStyle name="Normal 5 2 2 2 2 4 2 3" xfId="11555" xr:uid="{65D0637F-8D9A-4EF5-8EE9-F785A3415172}"/>
    <cellStyle name="Normal 5 2 2 2 2 4 3" xfId="5199" xr:uid="{00000000-0005-0000-0000-000037170000}"/>
    <cellStyle name="Normal 5 2 2 2 2 4 3 2" xfId="13628" xr:uid="{1C6B8672-9EAE-4644-954D-A619DD58D406}"/>
    <cellStyle name="Normal 5 2 2 2 2 4 4" xfId="9410" xr:uid="{AC3C97ED-37D0-4EFB-BF8E-DEF7550CF19C}"/>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B721A315-ECC7-4D86-8E36-4644915FDD67}"/>
    <cellStyle name="Normal 5 2 2 2 2 5 2 3" xfId="11968" xr:uid="{E4BBE0F6-2592-4A04-A07F-A7EC897EBD4D}"/>
    <cellStyle name="Normal 5 2 2 2 2 5 3" xfId="5612" xr:uid="{00000000-0005-0000-0000-00003B170000}"/>
    <cellStyle name="Normal 5 2 2 2 2 5 3 2" xfId="14041" xr:uid="{E8115979-2EA9-4DFE-B065-92A80DBBC539}"/>
    <cellStyle name="Normal 5 2 2 2 2 5 4" xfId="9823" xr:uid="{08B9BD1C-42DE-4239-9F42-A6BE9CFD69F2}"/>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8F892C8D-D3DC-48C8-A762-3A685ED196D8}"/>
    <cellStyle name="Normal 5 2 2 2 2 6 2 3" xfId="12381" xr:uid="{86AA6EF6-6EBB-42C8-B3AA-E3365511795F}"/>
    <cellStyle name="Normal 5 2 2 2 2 6 3" xfId="6025" xr:uid="{00000000-0005-0000-0000-00003F170000}"/>
    <cellStyle name="Normal 5 2 2 2 2 6 3 2" xfId="14454" xr:uid="{5B598157-9CC9-450C-B104-177E6D1345F5}"/>
    <cellStyle name="Normal 5 2 2 2 2 6 4" xfId="10236" xr:uid="{CB00A2C2-6E0E-49ED-B8B5-701AB8C57C4A}"/>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5AC0BAFA-2EF0-48C7-A5D3-4883490A299E}"/>
    <cellStyle name="Normal 5 2 2 2 2 7 2 3" xfId="12794" xr:uid="{00EE4286-507F-4083-9D64-EE374DED1D57}"/>
    <cellStyle name="Normal 5 2 2 2 2 7 3" xfId="6438" xr:uid="{00000000-0005-0000-0000-000043170000}"/>
    <cellStyle name="Normal 5 2 2 2 2 7 3 2" xfId="14867" xr:uid="{ED054CB6-0F1C-4FE4-87CD-C7C64A0BC9EB}"/>
    <cellStyle name="Normal 5 2 2 2 2 7 4" xfId="10649" xr:uid="{3B5C5096-10A7-4265-B6C8-1302AC4DD150}"/>
    <cellStyle name="Normal 5 2 2 2 2 8" xfId="2566" xr:uid="{00000000-0005-0000-0000-000044170000}"/>
    <cellStyle name="Normal 5 2 2 2 2 8 2" xfId="6851" xr:uid="{00000000-0005-0000-0000-000045170000}"/>
    <cellStyle name="Normal 5 2 2 2 2 8 2 2" xfId="15280" xr:uid="{529ADE23-5CD9-48A7-8B0F-8B892D09E120}"/>
    <cellStyle name="Normal 5 2 2 2 2 8 3" xfId="11062" xr:uid="{D64856D9-8561-4E5A-8BC8-855CE15EA994}"/>
    <cellStyle name="Normal 5 2 2 2 2 9" xfId="4786" xr:uid="{00000000-0005-0000-0000-000046170000}"/>
    <cellStyle name="Normal 5 2 2 2 2 9 2" xfId="13215" xr:uid="{B1A65305-B1A9-48EE-97B6-C7913727B25B}"/>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BAA1662C-7F2F-48BE-8A8F-F565B85B6A83}"/>
    <cellStyle name="Normal 5 2 2 2 3 2 2 2 3" xfId="11560" xr:uid="{BCC8429D-EC38-4ABE-8170-1B6BECA0198B}"/>
    <cellStyle name="Normal 5 2 2 2 3 2 2 3" xfId="5204" xr:uid="{00000000-0005-0000-0000-00004C170000}"/>
    <cellStyle name="Normal 5 2 2 2 3 2 2 3 2" xfId="13633" xr:uid="{7FF970CE-0165-448B-A33C-44D32EAE024D}"/>
    <cellStyle name="Normal 5 2 2 2 3 2 2 4" xfId="9415" xr:uid="{802375D8-05E9-47EC-8D0A-6285A04A14EE}"/>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9744C5ED-9B67-4344-99A9-4FD85BE6F0F9}"/>
    <cellStyle name="Normal 5 2 2 2 3 2 3 2 3" xfId="11973" xr:uid="{31022085-FC68-4013-AE09-A98F52D30073}"/>
    <cellStyle name="Normal 5 2 2 2 3 2 3 3" xfId="5617" xr:uid="{00000000-0005-0000-0000-000050170000}"/>
    <cellStyle name="Normal 5 2 2 2 3 2 3 3 2" xfId="14046" xr:uid="{377CDCBD-601C-4147-902B-628DCC284FB2}"/>
    <cellStyle name="Normal 5 2 2 2 3 2 3 4" xfId="9828" xr:uid="{AA05148D-2D04-4CF6-97C5-9D8DA179732B}"/>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8E6794A8-31CD-477C-B2D1-D34843CE5FF5}"/>
    <cellStyle name="Normal 5 2 2 2 3 2 4 2 3" xfId="12386" xr:uid="{FF94E268-AE5B-4C2F-8C32-A9004EE3FC87}"/>
    <cellStyle name="Normal 5 2 2 2 3 2 4 3" xfId="6030" xr:uid="{00000000-0005-0000-0000-000054170000}"/>
    <cellStyle name="Normal 5 2 2 2 3 2 4 3 2" xfId="14459" xr:uid="{2A84984B-48E7-40CE-B11E-3EA8F1F4AD79}"/>
    <cellStyle name="Normal 5 2 2 2 3 2 4 4" xfId="10241" xr:uid="{98DF2DBF-CF0A-47FF-8DB1-CCB76ACD690F}"/>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F6BD7761-A478-4854-9DE9-FBC5A595988B}"/>
    <cellStyle name="Normal 5 2 2 2 3 2 5 2 3" xfId="12799" xr:uid="{F0B851D4-CDFD-46C9-BE31-B13E0DB03682}"/>
    <cellStyle name="Normal 5 2 2 2 3 2 5 3" xfId="6443" xr:uid="{00000000-0005-0000-0000-000058170000}"/>
    <cellStyle name="Normal 5 2 2 2 3 2 5 3 2" xfId="14872" xr:uid="{35EBF0CC-0446-4086-9615-6292BA5DB7E6}"/>
    <cellStyle name="Normal 5 2 2 2 3 2 5 4" xfId="10654" xr:uid="{A6A7ECB7-8C25-46A0-A798-3FCF2752CA5E}"/>
    <cellStyle name="Normal 5 2 2 2 3 2 6" xfId="2571" xr:uid="{00000000-0005-0000-0000-000059170000}"/>
    <cellStyle name="Normal 5 2 2 2 3 2 6 2" xfId="6856" xr:uid="{00000000-0005-0000-0000-00005A170000}"/>
    <cellStyle name="Normal 5 2 2 2 3 2 6 2 2" xfId="15285" xr:uid="{A3B18B87-5062-44AE-BD76-09203CD8D40E}"/>
    <cellStyle name="Normal 5 2 2 2 3 2 6 3" xfId="11067" xr:uid="{927AF73B-279B-4990-A4B7-56FA4A957A15}"/>
    <cellStyle name="Normal 5 2 2 2 3 2 7" xfId="4791" xr:uid="{00000000-0005-0000-0000-00005B170000}"/>
    <cellStyle name="Normal 5 2 2 2 3 2 7 2" xfId="13220" xr:uid="{7EB23D84-2589-4B2A-8380-038947F2A187}"/>
    <cellStyle name="Normal 5 2 2 2 3 2 8" xfId="9002" xr:uid="{7EEB6CF2-1448-4019-A1CA-B74E0D2CA94A}"/>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C10D8D88-157C-405B-88BD-629B54A09CA5}"/>
    <cellStyle name="Normal 5 2 2 2 3 3 2 3" xfId="11559" xr:uid="{4A3F8354-933A-43F8-9742-BFCA681B97C1}"/>
    <cellStyle name="Normal 5 2 2 2 3 3 3" xfId="5203" xr:uid="{00000000-0005-0000-0000-00005F170000}"/>
    <cellStyle name="Normal 5 2 2 2 3 3 3 2" xfId="13632" xr:uid="{21D862D6-8361-4383-A3FF-103BAABC353D}"/>
    <cellStyle name="Normal 5 2 2 2 3 3 4" xfId="9414" xr:uid="{48E1D931-1215-44A4-9510-F809FC0507B1}"/>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187D59E5-066C-404E-BB5C-4E10396C0A03}"/>
    <cellStyle name="Normal 5 2 2 2 3 4 2 3" xfId="11972" xr:uid="{CD42E20B-999A-465F-AD70-54AEA798729B}"/>
    <cellStyle name="Normal 5 2 2 2 3 4 3" xfId="5616" xr:uid="{00000000-0005-0000-0000-000063170000}"/>
    <cellStyle name="Normal 5 2 2 2 3 4 3 2" xfId="14045" xr:uid="{5E46E079-FB48-49BB-9A56-9C62527714B9}"/>
    <cellStyle name="Normal 5 2 2 2 3 4 4" xfId="9827" xr:uid="{C5FA2679-7F5C-4B1C-B806-B577C90AEA15}"/>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CABB8C76-0903-4539-9EFF-4C20EAEA7807}"/>
    <cellStyle name="Normal 5 2 2 2 3 5 2 3" xfId="12385" xr:uid="{DFB95E5D-3049-4EB7-9BA3-EFA94B40B62E}"/>
    <cellStyle name="Normal 5 2 2 2 3 5 3" xfId="6029" xr:uid="{00000000-0005-0000-0000-000067170000}"/>
    <cellStyle name="Normal 5 2 2 2 3 5 3 2" xfId="14458" xr:uid="{E0FCBC98-16ED-4BAE-AC36-BBD0F573CE64}"/>
    <cellStyle name="Normal 5 2 2 2 3 5 4" xfId="10240" xr:uid="{5FD84D10-F81A-41DD-A582-85A43D800762}"/>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B27EAC02-203D-48B7-B95E-03543313CD72}"/>
    <cellStyle name="Normal 5 2 2 2 3 6 2 3" xfId="12798" xr:uid="{AFD46698-FE05-473E-AE61-794E02526051}"/>
    <cellStyle name="Normal 5 2 2 2 3 6 3" xfId="6442" xr:uid="{00000000-0005-0000-0000-00006B170000}"/>
    <cellStyle name="Normal 5 2 2 2 3 6 3 2" xfId="14871" xr:uid="{0B7A70D3-7716-4D4D-9948-E8AE5B5B87AB}"/>
    <cellStyle name="Normal 5 2 2 2 3 6 4" xfId="10653" xr:uid="{84CC8F09-24B5-4BB8-BCAD-7ADF7BA359F7}"/>
    <cellStyle name="Normal 5 2 2 2 3 7" xfId="2570" xr:uid="{00000000-0005-0000-0000-00006C170000}"/>
    <cellStyle name="Normal 5 2 2 2 3 7 2" xfId="6855" xr:uid="{00000000-0005-0000-0000-00006D170000}"/>
    <cellStyle name="Normal 5 2 2 2 3 7 2 2" xfId="15284" xr:uid="{05D0EF9E-8973-4B5C-86B9-9CD3E8AA701B}"/>
    <cellStyle name="Normal 5 2 2 2 3 7 3" xfId="11066" xr:uid="{81B3C892-4FB8-4F2F-B4C6-BA4466972CD0}"/>
    <cellStyle name="Normal 5 2 2 2 3 8" xfId="4790" xr:uid="{00000000-0005-0000-0000-00006E170000}"/>
    <cellStyle name="Normal 5 2 2 2 3 8 2" xfId="13219" xr:uid="{C5F50A4E-44A6-480F-B082-ACC6C8F6500F}"/>
    <cellStyle name="Normal 5 2 2 2 3 9" xfId="9001" xr:uid="{2C909790-C199-4612-991A-C41B91F82A4B}"/>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7A20CB8A-9231-468C-A6D5-2868A362E87E}"/>
    <cellStyle name="Normal 5 2 2 2 4 2 2 3" xfId="11561" xr:uid="{3BD83B6D-B686-4057-A8C8-1B24900F147C}"/>
    <cellStyle name="Normal 5 2 2 2 4 2 3" xfId="5205" xr:uid="{00000000-0005-0000-0000-000073170000}"/>
    <cellStyle name="Normal 5 2 2 2 4 2 3 2" xfId="13634" xr:uid="{A3A1489C-9884-498C-939C-2750DE0F32F4}"/>
    <cellStyle name="Normal 5 2 2 2 4 2 4" xfId="9416" xr:uid="{EBF29A5F-1A3F-44F6-8915-8AC147FFB6D5}"/>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5180F3CC-87AC-4E6A-BAC6-04BD002278E0}"/>
    <cellStyle name="Normal 5 2 2 2 4 3 2 3" xfId="11974" xr:uid="{0A7B470D-97BF-4914-8E71-EBB9FCA468C1}"/>
    <cellStyle name="Normal 5 2 2 2 4 3 3" xfId="5618" xr:uid="{00000000-0005-0000-0000-000077170000}"/>
    <cellStyle name="Normal 5 2 2 2 4 3 3 2" xfId="14047" xr:uid="{F354A286-A5CF-4755-95F2-25DC5C015C5D}"/>
    <cellStyle name="Normal 5 2 2 2 4 3 4" xfId="9829" xr:uid="{89A8B058-25C0-48D9-BA4E-15960BC19F27}"/>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320AEC43-9803-47ED-9BEE-84AF5E805938}"/>
    <cellStyle name="Normal 5 2 2 2 4 4 2 3" xfId="12387" xr:uid="{3598FA0D-1A8D-4B6E-BCFC-ED2FA02C3C24}"/>
    <cellStyle name="Normal 5 2 2 2 4 4 3" xfId="6031" xr:uid="{00000000-0005-0000-0000-00007B170000}"/>
    <cellStyle name="Normal 5 2 2 2 4 4 3 2" xfId="14460" xr:uid="{E40D1CB6-C095-45C7-BC05-1C9020B676AE}"/>
    <cellStyle name="Normal 5 2 2 2 4 4 4" xfId="10242" xr:uid="{FACE524C-4AB9-4292-812F-9D2332BA98F7}"/>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19FB1765-CF81-4650-A63A-559D25B45B55}"/>
    <cellStyle name="Normal 5 2 2 2 4 5 2 3" xfId="12800" xr:uid="{33EC3BDD-1650-4DBE-BB43-62C73A38FA2A}"/>
    <cellStyle name="Normal 5 2 2 2 4 5 3" xfId="6444" xr:uid="{00000000-0005-0000-0000-00007F170000}"/>
    <cellStyle name="Normal 5 2 2 2 4 5 3 2" xfId="14873" xr:uid="{1BF6EF77-69B1-4E92-AC2F-7A15163FF1FF}"/>
    <cellStyle name="Normal 5 2 2 2 4 5 4" xfId="10655" xr:uid="{8CBE5581-FD4B-4109-B839-7D0EE200AC9A}"/>
    <cellStyle name="Normal 5 2 2 2 4 6" xfId="2572" xr:uid="{00000000-0005-0000-0000-000080170000}"/>
    <cellStyle name="Normal 5 2 2 2 4 6 2" xfId="6857" xr:uid="{00000000-0005-0000-0000-000081170000}"/>
    <cellStyle name="Normal 5 2 2 2 4 6 2 2" xfId="15286" xr:uid="{246A5E72-5A83-4F53-BAEA-BF97AE716AC6}"/>
    <cellStyle name="Normal 5 2 2 2 4 6 3" xfId="11068" xr:uid="{3A6036B9-1128-4AE8-92DE-B7C7FABD8CCB}"/>
    <cellStyle name="Normal 5 2 2 2 4 7" xfId="4792" xr:uid="{00000000-0005-0000-0000-000082170000}"/>
    <cellStyle name="Normal 5 2 2 2 4 7 2" xfId="13221" xr:uid="{0D366824-9FD5-4E5D-9AA0-19E770153EBD}"/>
    <cellStyle name="Normal 5 2 2 2 4 8" xfId="9003" xr:uid="{990DD80D-D69F-46F7-80D8-952484B4903D}"/>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FB0B77BB-8485-4C29-8417-5D3D614B0B06}"/>
    <cellStyle name="Normal 5 2 2 2 5 2 3" xfId="11554" xr:uid="{8120718D-4ADA-4373-98E2-B0A35119EB7B}"/>
    <cellStyle name="Normal 5 2 2 2 5 3" xfId="5198" xr:uid="{00000000-0005-0000-0000-000086170000}"/>
    <cellStyle name="Normal 5 2 2 2 5 3 2" xfId="13627" xr:uid="{43FB71CB-3902-48F9-B52F-D8C3771639DF}"/>
    <cellStyle name="Normal 5 2 2 2 5 4" xfId="9409" xr:uid="{1DBEC0F8-8A5D-4069-9D5F-5213D21BC172}"/>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CBBAB626-9956-471C-84E7-5F549F55BDF3}"/>
    <cellStyle name="Normal 5 2 2 2 6 2 3" xfId="11967" xr:uid="{8C37B19F-F04E-42A4-BB7E-CF77A7AD7962}"/>
    <cellStyle name="Normal 5 2 2 2 6 3" xfId="5611" xr:uid="{00000000-0005-0000-0000-00008A170000}"/>
    <cellStyle name="Normal 5 2 2 2 6 3 2" xfId="14040" xr:uid="{CEB52244-30D7-4974-9083-675D530764C9}"/>
    <cellStyle name="Normal 5 2 2 2 6 4" xfId="9822" xr:uid="{F26796E6-9365-4600-806D-0B429191CAAC}"/>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EF129C75-7DED-4452-9E81-5E4401FC9B2B}"/>
    <cellStyle name="Normal 5 2 2 2 7 2 3" xfId="12380" xr:uid="{10A662B2-1E00-47E5-8CE0-285FE586CA90}"/>
    <cellStyle name="Normal 5 2 2 2 7 3" xfId="6024" xr:uid="{00000000-0005-0000-0000-00008E170000}"/>
    <cellStyle name="Normal 5 2 2 2 7 3 2" xfId="14453" xr:uid="{96F6235F-8609-492B-82B3-CBC5B996454D}"/>
    <cellStyle name="Normal 5 2 2 2 7 4" xfId="10235" xr:uid="{22CE89DF-94E4-4B80-88EA-714E8195A86B}"/>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510C74D4-98A0-45D4-937B-0495293585A5}"/>
    <cellStyle name="Normal 5 2 2 2 8 2 3" xfId="12793" xr:uid="{508FCE75-9284-483C-9AC3-52E51B847F6A}"/>
    <cellStyle name="Normal 5 2 2 2 8 3" xfId="6437" xr:uid="{00000000-0005-0000-0000-000092170000}"/>
    <cellStyle name="Normal 5 2 2 2 8 3 2" xfId="14866" xr:uid="{9D22C6A5-F3E4-44DA-96F7-A24AB5B3B434}"/>
    <cellStyle name="Normal 5 2 2 2 8 4" xfId="10648" xr:uid="{07BD224A-140C-4805-9E54-5672B5F7A310}"/>
    <cellStyle name="Normal 5 2 2 2 9" xfId="2565" xr:uid="{00000000-0005-0000-0000-000093170000}"/>
    <cellStyle name="Normal 5 2 2 2 9 2" xfId="6850" xr:uid="{00000000-0005-0000-0000-000094170000}"/>
    <cellStyle name="Normal 5 2 2 2 9 2 2" xfId="15279" xr:uid="{0F13759F-D3D7-4C16-9111-349A3D4ABB4D}"/>
    <cellStyle name="Normal 5 2 2 2 9 3" xfId="11061" xr:uid="{83C81B68-768C-4DD6-A6DA-094DA250C993}"/>
    <cellStyle name="Normal 5 2 2 3" xfId="417" xr:uid="{00000000-0005-0000-0000-000095170000}"/>
    <cellStyle name="Normal 5 2 2 3 10" xfId="9004" xr:uid="{E45E6095-E077-4581-8FFC-9723FC10E913}"/>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0AED98BA-EF48-429D-9E27-0E21F5398841}"/>
    <cellStyle name="Normal 5 2 2 3 2 2 2 2 3" xfId="11564" xr:uid="{452E2A0D-1726-4CDC-8D84-415A4DAD2162}"/>
    <cellStyle name="Normal 5 2 2 3 2 2 2 3" xfId="5208" xr:uid="{00000000-0005-0000-0000-00009B170000}"/>
    <cellStyle name="Normal 5 2 2 3 2 2 2 3 2" xfId="13637" xr:uid="{2CF73A24-2C52-4645-A8D4-A023BB3BECE4}"/>
    <cellStyle name="Normal 5 2 2 3 2 2 2 4" xfId="9419" xr:uid="{DCCFD6F3-F974-4432-8F04-11A748BAFC93}"/>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DF6B6143-D467-4219-BFF5-DAF2AD772ADB}"/>
    <cellStyle name="Normal 5 2 2 3 2 2 3 2 3" xfId="11977" xr:uid="{EF6D1407-CAF6-448D-9835-CE4E8162E401}"/>
    <cellStyle name="Normal 5 2 2 3 2 2 3 3" xfId="5621" xr:uid="{00000000-0005-0000-0000-00009F170000}"/>
    <cellStyle name="Normal 5 2 2 3 2 2 3 3 2" xfId="14050" xr:uid="{6C9A428B-275F-47B3-BCAF-2BBA99BB2056}"/>
    <cellStyle name="Normal 5 2 2 3 2 2 3 4" xfId="9832" xr:uid="{F1161611-5CFB-4FB8-90C2-64237C5035E6}"/>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351AAD88-CA87-491C-93E5-205B47EBA19D}"/>
    <cellStyle name="Normal 5 2 2 3 2 2 4 2 3" xfId="12390" xr:uid="{BEA2B40F-1A21-413F-8671-931A9CBDECAF}"/>
    <cellStyle name="Normal 5 2 2 3 2 2 4 3" xfId="6034" xr:uid="{00000000-0005-0000-0000-0000A3170000}"/>
    <cellStyle name="Normal 5 2 2 3 2 2 4 3 2" xfId="14463" xr:uid="{CEAAE66C-EF10-41F8-A2B8-589E006C9013}"/>
    <cellStyle name="Normal 5 2 2 3 2 2 4 4" xfId="10245" xr:uid="{18A41122-AB7D-44C9-B138-C0D2DA052EE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1083C240-CFC2-47E7-9B58-D7029078C31B}"/>
    <cellStyle name="Normal 5 2 2 3 2 2 5 2 3" xfId="12803" xr:uid="{3B2F56C3-DD5F-4FF0-A855-E83DBB567CF3}"/>
    <cellStyle name="Normal 5 2 2 3 2 2 5 3" xfId="6447" xr:uid="{00000000-0005-0000-0000-0000A7170000}"/>
    <cellStyle name="Normal 5 2 2 3 2 2 5 3 2" xfId="14876" xr:uid="{F8DF424F-77AA-499E-A3F7-9C3E785137E9}"/>
    <cellStyle name="Normal 5 2 2 3 2 2 5 4" xfId="10658" xr:uid="{DD5C89C7-D633-4AE4-B071-957EFA478BC5}"/>
    <cellStyle name="Normal 5 2 2 3 2 2 6" xfId="2575" xr:uid="{00000000-0005-0000-0000-0000A8170000}"/>
    <cellStyle name="Normal 5 2 2 3 2 2 6 2" xfId="6860" xr:uid="{00000000-0005-0000-0000-0000A9170000}"/>
    <cellStyle name="Normal 5 2 2 3 2 2 6 2 2" xfId="15289" xr:uid="{9B6F0617-5516-4383-A7CD-28CB0FDF7657}"/>
    <cellStyle name="Normal 5 2 2 3 2 2 6 3" xfId="11071" xr:uid="{49396D4E-A88F-405E-8F44-E17FBE8CFE9A}"/>
    <cellStyle name="Normal 5 2 2 3 2 2 7" xfId="4795" xr:uid="{00000000-0005-0000-0000-0000AA170000}"/>
    <cellStyle name="Normal 5 2 2 3 2 2 7 2" xfId="13224" xr:uid="{151CF1E9-7CD1-47F2-A973-7B6538EAE266}"/>
    <cellStyle name="Normal 5 2 2 3 2 2 8" xfId="9006" xr:uid="{C980D317-9D0E-4A0F-949F-39AF10E94B2F}"/>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6ED40D89-9060-429B-AAEB-5822C863BCFA}"/>
    <cellStyle name="Normal 5 2 2 3 2 3 2 3" xfId="11563" xr:uid="{B46635A4-1966-4F73-BFD7-82FC26CE89D5}"/>
    <cellStyle name="Normal 5 2 2 3 2 3 3" xfId="5207" xr:uid="{00000000-0005-0000-0000-0000AE170000}"/>
    <cellStyle name="Normal 5 2 2 3 2 3 3 2" xfId="13636" xr:uid="{C30F7AF4-4A26-4BAF-A085-7F9DE5E8544F}"/>
    <cellStyle name="Normal 5 2 2 3 2 3 4" xfId="9418" xr:uid="{7CE03171-D768-461F-A341-7EBDE065AB1C}"/>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0D7C2137-7BCE-4CB1-81FD-61008A211E17}"/>
    <cellStyle name="Normal 5 2 2 3 2 4 2 3" xfId="11976" xr:uid="{7C826395-D9C3-41AF-921D-477531C9443C}"/>
    <cellStyle name="Normal 5 2 2 3 2 4 3" xfId="5620" xr:uid="{00000000-0005-0000-0000-0000B2170000}"/>
    <cellStyle name="Normal 5 2 2 3 2 4 3 2" xfId="14049" xr:uid="{DE4A1B6B-045C-4395-A7D3-12E34C314871}"/>
    <cellStyle name="Normal 5 2 2 3 2 4 4" xfId="9831" xr:uid="{ECC7568F-0A1E-40FF-8497-79A2E5711D19}"/>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D203B4CC-316D-4FF3-BD21-1FB285DE7401}"/>
    <cellStyle name="Normal 5 2 2 3 2 5 2 3" xfId="12389" xr:uid="{0F70728A-31A1-4121-ACC7-3C42BCF5D383}"/>
    <cellStyle name="Normal 5 2 2 3 2 5 3" xfId="6033" xr:uid="{00000000-0005-0000-0000-0000B6170000}"/>
    <cellStyle name="Normal 5 2 2 3 2 5 3 2" xfId="14462" xr:uid="{96DDC642-BB91-400B-BBE5-D48F40937139}"/>
    <cellStyle name="Normal 5 2 2 3 2 5 4" xfId="10244" xr:uid="{D5181B1B-20DB-4125-9B2E-E6EE8978EC7C}"/>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5A51549C-F9D3-4868-AA0A-BA6F1364F0F6}"/>
    <cellStyle name="Normal 5 2 2 3 2 6 2 3" xfId="12802" xr:uid="{A6A168C2-0CFD-4394-B369-BDD9934C0DD5}"/>
    <cellStyle name="Normal 5 2 2 3 2 6 3" xfId="6446" xr:uid="{00000000-0005-0000-0000-0000BA170000}"/>
    <cellStyle name="Normal 5 2 2 3 2 6 3 2" xfId="14875" xr:uid="{0487AAAD-57FB-4D58-9456-4916B5904009}"/>
    <cellStyle name="Normal 5 2 2 3 2 6 4" xfId="10657" xr:uid="{E8189341-D902-4C01-B9AB-0F3822A6F27E}"/>
    <cellStyle name="Normal 5 2 2 3 2 7" xfId="2574" xr:uid="{00000000-0005-0000-0000-0000BB170000}"/>
    <cellStyle name="Normal 5 2 2 3 2 7 2" xfId="6859" xr:uid="{00000000-0005-0000-0000-0000BC170000}"/>
    <cellStyle name="Normal 5 2 2 3 2 7 2 2" xfId="15288" xr:uid="{28CC22E5-7979-49D2-9CCB-3450A092CA8A}"/>
    <cellStyle name="Normal 5 2 2 3 2 7 3" xfId="11070" xr:uid="{4D34755A-777D-4F19-B194-14BF10256063}"/>
    <cellStyle name="Normal 5 2 2 3 2 8" xfId="4794" xr:uid="{00000000-0005-0000-0000-0000BD170000}"/>
    <cellStyle name="Normal 5 2 2 3 2 8 2" xfId="13223" xr:uid="{D68D87C8-410D-4776-BF73-3B85883B4345}"/>
    <cellStyle name="Normal 5 2 2 3 2 9" xfId="9005" xr:uid="{BED9B305-B873-47F2-9245-C791646D0718}"/>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AD42BADD-F89A-486B-9AD6-7FC9B5708C82}"/>
    <cellStyle name="Normal 5 2 2 3 3 2 2 3" xfId="11565" xr:uid="{59929F3B-B3AD-4FEC-9DC3-FC8E478E94FE}"/>
    <cellStyle name="Normal 5 2 2 3 3 2 3" xfId="5209" xr:uid="{00000000-0005-0000-0000-0000C2170000}"/>
    <cellStyle name="Normal 5 2 2 3 3 2 3 2" xfId="13638" xr:uid="{03529697-EDCB-42C8-8D98-911B15741B7F}"/>
    <cellStyle name="Normal 5 2 2 3 3 2 4" xfId="9420" xr:uid="{5E00CB7A-79AB-456F-8B5C-761F75EC21EF}"/>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5AD9B1A7-B20B-4C57-81A2-2A8FBF33F9EB}"/>
    <cellStyle name="Normal 5 2 2 3 3 3 2 3" xfId="11978" xr:uid="{2394028E-D0EC-4BDF-8C4D-6A438CF1D9C3}"/>
    <cellStyle name="Normal 5 2 2 3 3 3 3" xfId="5622" xr:uid="{00000000-0005-0000-0000-0000C6170000}"/>
    <cellStyle name="Normal 5 2 2 3 3 3 3 2" xfId="14051" xr:uid="{F4D64354-6A05-4559-A49C-B63E5474B6B6}"/>
    <cellStyle name="Normal 5 2 2 3 3 3 4" xfId="9833" xr:uid="{68AF845E-8DC2-4A71-B857-FDD432D8445C}"/>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A21D084C-54C0-43F8-A384-C4AB36B1CCBD}"/>
    <cellStyle name="Normal 5 2 2 3 3 4 2 3" xfId="12391" xr:uid="{80430CC5-3883-42E0-8D65-38A741DBC38D}"/>
    <cellStyle name="Normal 5 2 2 3 3 4 3" xfId="6035" xr:uid="{00000000-0005-0000-0000-0000CA170000}"/>
    <cellStyle name="Normal 5 2 2 3 3 4 3 2" xfId="14464" xr:uid="{A3F384E9-ED16-4582-A3AA-F1FB8ED57F86}"/>
    <cellStyle name="Normal 5 2 2 3 3 4 4" xfId="10246" xr:uid="{FDAEF47B-05B9-4334-9386-827A3516E384}"/>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34375F50-556A-4DE2-B28E-F63401E7AE78}"/>
    <cellStyle name="Normal 5 2 2 3 3 5 2 3" xfId="12804" xr:uid="{0F33A6C2-67E3-4F44-9E54-CFDCCFB4B410}"/>
    <cellStyle name="Normal 5 2 2 3 3 5 3" xfId="6448" xr:uid="{00000000-0005-0000-0000-0000CE170000}"/>
    <cellStyle name="Normal 5 2 2 3 3 5 3 2" xfId="14877" xr:uid="{DFA82A36-7349-4F94-B9B5-153284A47B0D}"/>
    <cellStyle name="Normal 5 2 2 3 3 5 4" xfId="10659" xr:uid="{76FE0165-75BA-4F58-B1CF-991888EFD84A}"/>
    <cellStyle name="Normal 5 2 2 3 3 6" xfId="2576" xr:uid="{00000000-0005-0000-0000-0000CF170000}"/>
    <cellStyle name="Normal 5 2 2 3 3 6 2" xfId="6861" xr:uid="{00000000-0005-0000-0000-0000D0170000}"/>
    <cellStyle name="Normal 5 2 2 3 3 6 2 2" xfId="15290" xr:uid="{AF93DD08-2695-43B4-8B7D-39696DFBC0F7}"/>
    <cellStyle name="Normal 5 2 2 3 3 6 3" xfId="11072" xr:uid="{8FBD4281-9CBC-43C6-ADFC-BF0D07A4FB63}"/>
    <cellStyle name="Normal 5 2 2 3 3 7" xfId="4796" xr:uid="{00000000-0005-0000-0000-0000D1170000}"/>
    <cellStyle name="Normal 5 2 2 3 3 7 2" xfId="13225" xr:uid="{38A4F272-0171-4713-AA22-CE3DEFF19F52}"/>
    <cellStyle name="Normal 5 2 2 3 3 8" xfId="9007" xr:uid="{CFBCED9C-FF03-4A34-A4F9-02B495B3A9E2}"/>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CE31293E-202A-4207-ACAD-EF37CE7075E1}"/>
    <cellStyle name="Normal 5 2 2 3 4 2 3" xfId="11562" xr:uid="{8CEA52CD-A48D-4A89-BBEC-9DED7FD3E248}"/>
    <cellStyle name="Normal 5 2 2 3 4 3" xfId="5206" xr:uid="{00000000-0005-0000-0000-0000D5170000}"/>
    <cellStyle name="Normal 5 2 2 3 4 3 2" xfId="13635" xr:uid="{0249C476-BA0E-4A4A-85A3-FC3382E70B33}"/>
    <cellStyle name="Normal 5 2 2 3 4 4" xfId="9417" xr:uid="{DD339D65-DD2E-4979-9219-6A615CCDAD05}"/>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85DEF35A-67E2-4804-AC43-30EBB4C2FB5B}"/>
    <cellStyle name="Normal 5 2 2 3 5 2 3" xfId="11975" xr:uid="{04582DB7-D51C-45E3-92B0-E1E727538F7B}"/>
    <cellStyle name="Normal 5 2 2 3 5 3" xfId="5619" xr:uid="{00000000-0005-0000-0000-0000D9170000}"/>
    <cellStyle name="Normal 5 2 2 3 5 3 2" xfId="14048" xr:uid="{9E8CAA46-1510-4102-B807-A8EF5667439A}"/>
    <cellStyle name="Normal 5 2 2 3 5 4" xfId="9830" xr:uid="{61D233A5-16CD-457B-872D-9143ED355217}"/>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B0ACBCD5-E89F-4E1A-82F0-97BCC519E6DC}"/>
    <cellStyle name="Normal 5 2 2 3 6 2 3" xfId="12388" xr:uid="{42AC6D25-C538-41D7-B244-53D292F63B16}"/>
    <cellStyle name="Normal 5 2 2 3 6 3" xfId="6032" xr:uid="{00000000-0005-0000-0000-0000DD170000}"/>
    <cellStyle name="Normal 5 2 2 3 6 3 2" xfId="14461" xr:uid="{D50BD320-B946-4E84-B9ED-D122216DEA90}"/>
    <cellStyle name="Normal 5 2 2 3 6 4" xfId="10243" xr:uid="{24DCD112-9246-4E3B-A757-EA3B2D373A58}"/>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0FCEA2DC-FAC4-4447-AC99-8AF59FC2B110}"/>
    <cellStyle name="Normal 5 2 2 3 7 2 3" xfId="12801" xr:uid="{ED4F5663-CE89-4711-AF79-5C2CC966C320}"/>
    <cellStyle name="Normal 5 2 2 3 7 3" xfId="6445" xr:uid="{00000000-0005-0000-0000-0000E1170000}"/>
    <cellStyle name="Normal 5 2 2 3 7 3 2" xfId="14874" xr:uid="{82ABF491-9BD7-4AA9-8212-B6F093EC9951}"/>
    <cellStyle name="Normal 5 2 2 3 7 4" xfId="10656" xr:uid="{D3D667F4-411E-4639-B9E8-B54D96FD9803}"/>
    <cellStyle name="Normal 5 2 2 3 8" xfId="2573" xr:uid="{00000000-0005-0000-0000-0000E2170000}"/>
    <cellStyle name="Normal 5 2 2 3 8 2" xfId="6858" xr:uid="{00000000-0005-0000-0000-0000E3170000}"/>
    <cellStyle name="Normal 5 2 2 3 8 2 2" xfId="15287" xr:uid="{E838792A-1DF1-4E2C-8ACD-5DA275E4B390}"/>
    <cellStyle name="Normal 5 2 2 3 8 3" xfId="11069" xr:uid="{75E3CC36-F137-4F24-8D30-1777F40A196F}"/>
    <cellStyle name="Normal 5 2 2 3 9" xfId="4793" xr:uid="{00000000-0005-0000-0000-0000E4170000}"/>
    <cellStyle name="Normal 5 2 2 3 9 2" xfId="13222" xr:uid="{D438E081-B848-4D7E-BC22-83E24913DB94}"/>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B00DEF7B-3887-4680-9F07-CB371B4443DB}"/>
    <cellStyle name="Normal 5 2 2 4 2 2 2 3" xfId="11567" xr:uid="{441DC8CF-A856-4CD0-AFC8-9A1466CC240B}"/>
    <cellStyle name="Normal 5 2 2 4 2 2 3" xfId="5211" xr:uid="{00000000-0005-0000-0000-0000EA170000}"/>
    <cellStyle name="Normal 5 2 2 4 2 2 3 2" xfId="13640" xr:uid="{0412F0AE-5321-4124-BCE6-BB2B65FAE1B9}"/>
    <cellStyle name="Normal 5 2 2 4 2 2 4" xfId="9422" xr:uid="{27111200-9893-46EC-8FB1-B16EC2B0E7E1}"/>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F90BAE14-083C-4F87-BBB8-5042F2924C84}"/>
    <cellStyle name="Normal 5 2 2 4 2 3 2 3" xfId="11980" xr:uid="{4CAE6FB2-6736-4975-B49B-E24983F8758A}"/>
    <cellStyle name="Normal 5 2 2 4 2 3 3" xfId="5624" xr:uid="{00000000-0005-0000-0000-0000EE170000}"/>
    <cellStyle name="Normal 5 2 2 4 2 3 3 2" xfId="14053" xr:uid="{371BA78C-8CA1-40D5-84CD-CB0CB8852BA6}"/>
    <cellStyle name="Normal 5 2 2 4 2 3 4" xfId="9835" xr:uid="{F893D16F-9886-4E8C-BF9F-B6E1F10F9389}"/>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4DA20C1A-9B04-402E-A920-6C575558AFE4}"/>
    <cellStyle name="Normal 5 2 2 4 2 4 2 3" xfId="12393" xr:uid="{F825B521-8B8C-4E33-A30E-CC46AE47CAD7}"/>
    <cellStyle name="Normal 5 2 2 4 2 4 3" xfId="6037" xr:uid="{00000000-0005-0000-0000-0000F2170000}"/>
    <cellStyle name="Normal 5 2 2 4 2 4 3 2" xfId="14466" xr:uid="{DCE5E341-06A3-4CDB-A4EE-8EB9CF24201C}"/>
    <cellStyle name="Normal 5 2 2 4 2 4 4" xfId="10248" xr:uid="{A2C9F86B-AFA3-450C-B0AD-10DBE91D93B8}"/>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5A36C2F6-641D-4D09-8E97-CE7C90DB594E}"/>
    <cellStyle name="Normal 5 2 2 4 2 5 2 3" xfId="12806" xr:uid="{C80474F7-C549-410B-84D3-E3BCEC15F96D}"/>
    <cellStyle name="Normal 5 2 2 4 2 5 3" xfId="6450" xr:uid="{00000000-0005-0000-0000-0000F6170000}"/>
    <cellStyle name="Normal 5 2 2 4 2 5 3 2" xfId="14879" xr:uid="{A43D3FCA-1172-4A8B-803B-A0F2BA2E4E25}"/>
    <cellStyle name="Normal 5 2 2 4 2 5 4" xfId="10661" xr:uid="{457E5D4B-B9C1-4BA8-A542-02DCC22C712E}"/>
    <cellStyle name="Normal 5 2 2 4 2 6" xfId="2578" xr:uid="{00000000-0005-0000-0000-0000F7170000}"/>
    <cellStyle name="Normal 5 2 2 4 2 6 2" xfId="6863" xr:uid="{00000000-0005-0000-0000-0000F8170000}"/>
    <cellStyle name="Normal 5 2 2 4 2 6 2 2" xfId="15292" xr:uid="{67B74649-FEAC-4C9F-9D19-E11F2F23B8DF}"/>
    <cellStyle name="Normal 5 2 2 4 2 6 3" xfId="11074" xr:uid="{1FBAB59C-FA01-4BD0-AC7D-59F95240A25D}"/>
    <cellStyle name="Normal 5 2 2 4 2 7" xfId="4798" xr:uid="{00000000-0005-0000-0000-0000F9170000}"/>
    <cellStyle name="Normal 5 2 2 4 2 7 2" xfId="13227" xr:uid="{3869E7D4-072F-4B7C-9CC4-09C8117C75A6}"/>
    <cellStyle name="Normal 5 2 2 4 2 8" xfId="9009" xr:uid="{97471BAE-1F3F-4F1A-A9EB-5A7E5133A69E}"/>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26CF3F1E-2B40-4538-9F1C-C266E6ED6C73}"/>
    <cellStyle name="Normal 5 2 2 4 3 2 3" xfId="11566" xr:uid="{03ECD417-2116-4DD8-9D35-5F18B5DC745E}"/>
    <cellStyle name="Normal 5 2 2 4 3 3" xfId="5210" xr:uid="{00000000-0005-0000-0000-0000FD170000}"/>
    <cellStyle name="Normal 5 2 2 4 3 3 2" xfId="13639" xr:uid="{F6C0DC8F-7C02-45DB-BC75-F45451DA5BBD}"/>
    <cellStyle name="Normal 5 2 2 4 3 4" xfId="9421" xr:uid="{1FC02A12-445B-4C81-BEFE-EE6898EBBCD8}"/>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E96BA217-C30B-4714-B631-E3FB68CD46E6}"/>
    <cellStyle name="Normal 5 2 2 4 4 2 3" xfId="11979" xr:uid="{2C089230-7F0F-40C4-9E81-F0BE8B7922B0}"/>
    <cellStyle name="Normal 5 2 2 4 4 3" xfId="5623" xr:uid="{00000000-0005-0000-0000-000001180000}"/>
    <cellStyle name="Normal 5 2 2 4 4 3 2" xfId="14052" xr:uid="{0E455815-A166-4F06-A283-73724D5F69FF}"/>
    <cellStyle name="Normal 5 2 2 4 4 4" xfId="9834" xr:uid="{0ED53A17-FACD-4FC5-B8B7-B04A2F483CA2}"/>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96DE18D4-CD5C-4000-A166-5A043C29C568}"/>
    <cellStyle name="Normal 5 2 2 4 5 2 3" xfId="12392" xr:uid="{CF40D997-156A-40E2-A399-B90E40381C03}"/>
    <cellStyle name="Normal 5 2 2 4 5 3" xfId="6036" xr:uid="{00000000-0005-0000-0000-000005180000}"/>
    <cellStyle name="Normal 5 2 2 4 5 3 2" xfId="14465" xr:uid="{55F805EF-BCD3-4FA7-9083-17E2F090C41F}"/>
    <cellStyle name="Normal 5 2 2 4 5 4" xfId="10247" xr:uid="{52B0BCA4-3911-4827-AD6E-65989D844842}"/>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4E15B6A7-BC1F-42F4-A248-AA6B38C2EDA3}"/>
    <cellStyle name="Normal 5 2 2 4 6 2 3" xfId="12805" xr:uid="{2D064FB9-EDB2-41A4-AA44-D56075E5FA7F}"/>
    <cellStyle name="Normal 5 2 2 4 6 3" xfId="6449" xr:uid="{00000000-0005-0000-0000-000009180000}"/>
    <cellStyle name="Normal 5 2 2 4 6 3 2" xfId="14878" xr:uid="{5EAB6A01-DF22-4CD6-AAF1-5337C7DD4BA4}"/>
    <cellStyle name="Normal 5 2 2 4 6 4" xfId="10660" xr:uid="{F3E2BA95-F34A-4B49-A712-0279FDEB34D1}"/>
    <cellStyle name="Normal 5 2 2 4 7" xfId="2577" xr:uid="{00000000-0005-0000-0000-00000A180000}"/>
    <cellStyle name="Normal 5 2 2 4 7 2" xfId="6862" xr:uid="{00000000-0005-0000-0000-00000B180000}"/>
    <cellStyle name="Normal 5 2 2 4 7 2 2" xfId="15291" xr:uid="{A82DABA5-3CD7-4AF3-8CC3-7E492D01E041}"/>
    <cellStyle name="Normal 5 2 2 4 7 3" xfId="11073" xr:uid="{559078B6-D918-4575-ABCD-33030BEB918F}"/>
    <cellStyle name="Normal 5 2 2 4 8" xfId="4797" xr:uid="{00000000-0005-0000-0000-00000C180000}"/>
    <cellStyle name="Normal 5 2 2 4 8 2" xfId="13226" xr:uid="{FDA1766A-18C4-440C-BBAC-61FFD7949B11}"/>
    <cellStyle name="Normal 5 2 2 4 9" xfId="9008" xr:uid="{BDFA5105-AFD6-4DF7-BC34-713B7C37E19B}"/>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377BE9DB-DDEA-46C4-96ED-B3425EF875D9}"/>
    <cellStyle name="Normal 5 2 2 5 2 2 3" xfId="11568" xr:uid="{9D9CF159-54AE-4A81-A9DC-1DABEDAA4618}"/>
    <cellStyle name="Normal 5 2 2 5 2 3" xfId="5212" xr:uid="{00000000-0005-0000-0000-000011180000}"/>
    <cellStyle name="Normal 5 2 2 5 2 3 2" xfId="13641" xr:uid="{6057F7B1-0E6C-4BA1-B890-DDC1F41AD26C}"/>
    <cellStyle name="Normal 5 2 2 5 2 4" xfId="9423" xr:uid="{2F426D60-58C8-4864-A5BA-6396613E3543}"/>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AD66A3D9-E03D-45C2-A664-2AC937806C9C}"/>
    <cellStyle name="Normal 5 2 2 5 3 2 3" xfId="11981" xr:uid="{31C6BF7D-77F2-468F-82CB-44893E391A53}"/>
    <cellStyle name="Normal 5 2 2 5 3 3" xfId="5625" xr:uid="{00000000-0005-0000-0000-000015180000}"/>
    <cellStyle name="Normal 5 2 2 5 3 3 2" xfId="14054" xr:uid="{4B23B539-0105-4FA7-A9A7-38D190A0F711}"/>
    <cellStyle name="Normal 5 2 2 5 3 4" xfId="9836" xr:uid="{848D9B64-E04A-4743-8AF9-B68B8A154BFB}"/>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90C4CF2A-B509-450B-8776-91B6E04A214C}"/>
    <cellStyle name="Normal 5 2 2 5 4 2 3" xfId="12394" xr:uid="{FE8EDBF3-49A8-4F9F-9097-C8DE88AFA190}"/>
    <cellStyle name="Normal 5 2 2 5 4 3" xfId="6038" xr:uid="{00000000-0005-0000-0000-000019180000}"/>
    <cellStyle name="Normal 5 2 2 5 4 3 2" xfId="14467" xr:uid="{618AF291-00A4-4E93-98F6-0A3A48B24857}"/>
    <cellStyle name="Normal 5 2 2 5 4 4" xfId="10249" xr:uid="{07413E75-C588-4C4D-96A2-C69628B31031}"/>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7DDB0EBC-015B-4565-8A50-A6CACD8BD5F5}"/>
    <cellStyle name="Normal 5 2 2 5 5 2 3" xfId="12807" xr:uid="{F801ED81-4B78-42B6-8B72-5AEF3A67FA76}"/>
    <cellStyle name="Normal 5 2 2 5 5 3" xfId="6451" xr:uid="{00000000-0005-0000-0000-00001D180000}"/>
    <cellStyle name="Normal 5 2 2 5 5 3 2" xfId="14880" xr:uid="{57FFCC59-7744-4DEC-887C-03CD40372C7E}"/>
    <cellStyle name="Normal 5 2 2 5 5 4" xfId="10662" xr:uid="{87B8DA6C-CB05-4294-8006-47F398923402}"/>
    <cellStyle name="Normal 5 2 2 5 6" xfId="2579" xr:uid="{00000000-0005-0000-0000-00001E180000}"/>
    <cellStyle name="Normal 5 2 2 5 6 2" xfId="6864" xr:uid="{00000000-0005-0000-0000-00001F180000}"/>
    <cellStyle name="Normal 5 2 2 5 6 2 2" xfId="15293" xr:uid="{3146812A-FD7A-4D06-A754-193435EB779D}"/>
    <cellStyle name="Normal 5 2 2 5 6 3" xfId="11075" xr:uid="{88719029-DA70-4CB6-940C-000053F62E60}"/>
    <cellStyle name="Normal 5 2 2 5 7" xfId="4799" xr:uid="{00000000-0005-0000-0000-000020180000}"/>
    <cellStyle name="Normal 5 2 2 5 7 2" xfId="13228" xr:uid="{3C1E02F8-D821-4984-8124-4FE5A898855F}"/>
    <cellStyle name="Normal 5 2 2 5 8" xfId="9010" xr:uid="{B96C545B-A43E-4B0B-B03A-FFC55B068C2D}"/>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164A4F7A-461C-4A5A-A693-C17EF9B6FAD4}"/>
    <cellStyle name="Normal 5 2 2 6 2 3" xfId="11553" xr:uid="{6DDA7AD0-C230-46D5-B63A-EC33B97D375C}"/>
    <cellStyle name="Normal 5 2 2 6 3" xfId="5197" xr:uid="{00000000-0005-0000-0000-000024180000}"/>
    <cellStyle name="Normal 5 2 2 6 3 2" xfId="13626" xr:uid="{933AF136-85A9-4AA0-AEB3-D9BB76768F3D}"/>
    <cellStyle name="Normal 5 2 2 6 4" xfId="9408" xr:uid="{8DA4AA64-A432-4CBE-8A71-27220DBE781A}"/>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E61CC77F-D205-4E5F-9BFF-FAC8FB456021}"/>
    <cellStyle name="Normal 5 2 2 7 2 3" xfId="11966" xr:uid="{12BE480D-E22B-4013-BF8D-19303FF93881}"/>
    <cellStyle name="Normal 5 2 2 7 3" xfId="5610" xr:uid="{00000000-0005-0000-0000-000028180000}"/>
    <cellStyle name="Normal 5 2 2 7 3 2" xfId="14039" xr:uid="{CCE6BABC-F2E4-4DEC-83B0-7FF747155024}"/>
    <cellStyle name="Normal 5 2 2 7 4" xfId="9821" xr:uid="{1AE04119-3A88-466C-808B-651C53DC33BF}"/>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9F32BF56-66CC-4BDD-9B73-05D9C0E0B5AE}"/>
    <cellStyle name="Normal 5 2 2 8 2 3" xfId="12379" xr:uid="{1E7E705D-FB32-47DE-ACE6-B6E5D748D106}"/>
    <cellStyle name="Normal 5 2 2 8 3" xfId="6023" xr:uid="{00000000-0005-0000-0000-00002C180000}"/>
    <cellStyle name="Normal 5 2 2 8 3 2" xfId="14452" xr:uid="{4A0D78FA-B0D3-4E30-9591-1D339E042B88}"/>
    <cellStyle name="Normal 5 2 2 8 4" xfId="10234" xr:uid="{F389BE1F-3E7A-4520-98DF-1661401556B4}"/>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55601AAC-C0B3-4676-80AA-F8DB6648A850}"/>
    <cellStyle name="Normal 5 2 2 9 2 3" xfId="12792" xr:uid="{EC23D36A-3F19-40F9-B509-F01490749CC5}"/>
    <cellStyle name="Normal 5 2 2 9 3" xfId="6436" xr:uid="{00000000-0005-0000-0000-000030180000}"/>
    <cellStyle name="Normal 5 2 2 9 3 2" xfId="14865" xr:uid="{0E059EFD-9E10-40C7-96C8-E9A3C8A4D9D4}"/>
    <cellStyle name="Normal 5 2 2 9 4" xfId="10647" xr:uid="{A0932C19-37E8-49B1-AE71-2C9ADEF954F1}"/>
    <cellStyle name="Normal 5 2 3" xfId="424" xr:uid="{00000000-0005-0000-0000-000031180000}"/>
    <cellStyle name="Normal 5 2 3 10" xfId="4800" xr:uid="{00000000-0005-0000-0000-000032180000}"/>
    <cellStyle name="Normal 5 2 3 10 2" xfId="13229" xr:uid="{7166DEE7-7680-43D7-A812-25A5211F8239}"/>
    <cellStyle name="Normal 5 2 3 11" xfId="9011" xr:uid="{B5752F43-6F8B-4241-B3CB-47E7F8861074}"/>
    <cellStyle name="Normal 5 2 3 2" xfId="425" xr:uid="{00000000-0005-0000-0000-000033180000}"/>
    <cellStyle name="Normal 5 2 3 2 10" xfId="9012" xr:uid="{4FC8A9B2-52B9-428A-AEF5-2826C2DB5527}"/>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F00B9D5B-AAA4-483B-9C53-43F4488BBD50}"/>
    <cellStyle name="Normal 5 2 3 2 2 2 2 2 3" xfId="11572" xr:uid="{7EE4F70D-5FA0-4D8D-9121-01358CF2609A}"/>
    <cellStyle name="Normal 5 2 3 2 2 2 2 3" xfId="5216" xr:uid="{00000000-0005-0000-0000-000039180000}"/>
    <cellStyle name="Normal 5 2 3 2 2 2 2 3 2" xfId="13645" xr:uid="{F65EB79B-4EE5-4D58-85D4-2FA8FFB89C47}"/>
    <cellStyle name="Normal 5 2 3 2 2 2 2 4" xfId="9427" xr:uid="{6AF69362-E0E6-4C47-B475-845E319609ED}"/>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2C836950-656D-4DF0-8B54-0073E284FA90}"/>
    <cellStyle name="Normal 5 2 3 2 2 2 3 2 3" xfId="11985" xr:uid="{96A053CC-EAD1-4DA9-9681-25C5D4DFBC15}"/>
    <cellStyle name="Normal 5 2 3 2 2 2 3 3" xfId="5629" xr:uid="{00000000-0005-0000-0000-00003D180000}"/>
    <cellStyle name="Normal 5 2 3 2 2 2 3 3 2" xfId="14058" xr:uid="{A65E9D1B-BAF7-4552-82C9-AB803C165506}"/>
    <cellStyle name="Normal 5 2 3 2 2 2 3 4" xfId="9840" xr:uid="{EF5AC4DF-3B8D-4A36-A9D3-31836C8036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C0967F0D-4814-403B-8236-2A56865E1F25}"/>
    <cellStyle name="Normal 5 2 3 2 2 2 4 2 3" xfId="12398" xr:uid="{F406398B-5019-4364-92A3-0B682568A755}"/>
    <cellStyle name="Normal 5 2 3 2 2 2 4 3" xfId="6042" xr:uid="{00000000-0005-0000-0000-000041180000}"/>
    <cellStyle name="Normal 5 2 3 2 2 2 4 3 2" xfId="14471" xr:uid="{20AC7348-B601-4AC2-B688-D40F0E089650}"/>
    <cellStyle name="Normal 5 2 3 2 2 2 4 4" xfId="10253" xr:uid="{6B4C970B-6336-4EA0-A7E7-7FF747EEC70E}"/>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E4C21AC2-78D6-487B-ACBD-10DE0F474759}"/>
    <cellStyle name="Normal 5 2 3 2 2 2 5 2 3" xfId="12811" xr:uid="{354AEF46-BF1E-484A-945E-0AEC9AF3D389}"/>
    <cellStyle name="Normal 5 2 3 2 2 2 5 3" xfId="6455" xr:uid="{00000000-0005-0000-0000-000045180000}"/>
    <cellStyle name="Normal 5 2 3 2 2 2 5 3 2" xfId="14884" xr:uid="{76130CE9-D304-4E26-9F68-E22A4F9A07F0}"/>
    <cellStyle name="Normal 5 2 3 2 2 2 5 4" xfId="10666" xr:uid="{0639CF7A-A3D6-4451-9581-30E0D4CDC3E5}"/>
    <cellStyle name="Normal 5 2 3 2 2 2 6" xfId="2583" xr:uid="{00000000-0005-0000-0000-000046180000}"/>
    <cellStyle name="Normal 5 2 3 2 2 2 6 2" xfId="6868" xr:uid="{00000000-0005-0000-0000-000047180000}"/>
    <cellStyle name="Normal 5 2 3 2 2 2 6 2 2" xfId="15297" xr:uid="{14AC71C7-FAFC-445D-A080-3FDCCE2AB30E}"/>
    <cellStyle name="Normal 5 2 3 2 2 2 6 3" xfId="11079" xr:uid="{3C78F07B-5359-45FD-B331-E6C5E34AE265}"/>
    <cellStyle name="Normal 5 2 3 2 2 2 7" xfId="4803" xr:uid="{00000000-0005-0000-0000-000048180000}"/>
    <cellStyle name="Normal 5 2 3 2 2 2 7 2" xfId="13232" xr:uid="{EF42547E-F2B8-49C6-ADB1-D3B2218CF1AC}"/>
    <cellStyle name="Normal 5 2 3 2 2 2 8" xfId="9014" xr:uid="{0D90F4E8-E5CF-4B8E-80B1-F6275F6AEBBB}"/>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ED8874C9-ECDF-45E4-A624-6E9A18431EB5}"/>
    <cellStyle name="Normal 5 2 3 2 2 3 2 3" xfId="11571" xr:uid="{B83B0DBE-CD81-4068-B072-5A79DEC2E723}"/>
    <cellStyle name="Normal 5 2 3 2 2 3 3" xfId="5215" xr:uid="{00000000-0005-0000-0000-00004C180000}"/>
    <cellStyle name="Normal 5 2 3 2 2 3 3 2" xfId="13644" xr:uid="{B4FE641A-E941-4D18-9F2A-C9E2B92BCA12}"/>
    <cellStyle name="Normal 5 2 3 2 2 3 4" xfId="9426" xr:uid="{863514F4-F1C0-4428-9BCD-58C37AE751E8}"/>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B092EE98-0475-43F7-A583-1FD64D0C98D7}"/>
    <cellStyle name="Normal 5 2 3 2 2 4 2 3" xfId="11984" xr:uid="{3D3EA182-74B1-4BB1-A022-559F03B8038E}"/>
    <cellStyle name="Normal 5 2 3 2 2 4 3" xfId="5628" xr:uid="{00000000-0005-0000-0000-000050180000}"/>
    <cellStyle name="Normal 5 2 3 2 2 4 3 2" xfId="14057" xr:uid="{8FD6B1AC-1D3F-4111-B475-B4282AEE0656}"/>
    <cellStyle name="Normal 5 2 3 2 2 4 4" xfId="9839" xr:uid="{F7CC415C-C250-448B-9E59-79E9A07DE222}"/>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D1BCCAE5-5DB5-4748-8982-876B3960DF94}"/>
    <cellStyle name="Normal 5 2 3 2 2 5 2 3" xfId="12397" xr:uid="{9B981EAD-D18E-462D-B9CC-8DADA666E389}"/>
    <cellStyle name="Normal 5 2 3 2 2 5 3" xfId="6041" xr:uid="{00000000-0005-0000-0000-000054180000}"/>
    <cellStyle name="Normal 5 2 3 2 2 5 3 2" xfId="14470" xr:uid="{52E0136F-A38B-40C8-884E-9DD23607B773}"/>
    <cellStyle name="Normal 5 2 3 2 2 5 4" xfId="10252" xr:uid="{364AB6BD-A609-4F81-B4D1-78147DF0DE3B}"/>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96E5BC56-BED5-4863-9ADB-3999836EF923}"/>
    <cellStyle name="Normal 5 2 3 2 2 6 2 3" xfId="12810" xr:uid="{AC332045-3F13-4FF9-810D-D81B70083668}"/>
    <cellStyle name="Normal 5 2 3 2 2 6 3" xfId="6454" xr:uid="{00000000-0005-0000-0000-000058180000}"/>
    <cellStyle name="Normal 5 2 3 2 2 6 3 2" xfId="14883" xr:uid="{55F38C02-F623-46D8-BB84-1E01BA5E0122}"/>
    <cellStyle name="Normal 5 2 3 2 2 6 4" xfId="10665" xr:uid="{34C888D7-436F-4463-8F16-E7484F8FA163}"/>
    <cellStyle name="Normal 5 2 3 2 2 7" xfId="2582" xr:uid="{00000000-0005-0000-0000-000059180000}"/>
    <cellStyle name="Normal 5 2 3 2 2 7 2" xfId="6867" xr:uid="{00000000-0005-0000-0000-00005A180000}"/>
    <cellStyle name="Normal 5 2 3 2 2 7 2 2" xfId="15296" xr:uid="{DE17A54C-76AF-421E-A78C-FF5975F51E50}"/>
    <cellStyle name="Normal 5 2 3 2 2 7 3" xfId="11078" xr:uid="{B48C6FD0-CD32-43E9-92E8-1CB5F250CFFB}"/>
    <cellStyle name="Normal 5 2 3 2 2 8" xfId="4802" xr:uid="{00000000-0005-0000-0000-00005B180000}"/>
    <cellStyle name="Normal 5 2 3 2 2 8 2" xfId="13231" xr:uid="{9E882FA4-BC50-41C1-8E94-26B1ADD14F62}"/>
    <cellStyle name="Normal 5 2 3 2 2 9" xfId="9013" xr:uid="{1F0B72D8-A598-4C16-A5F1-C65C2CEB6F31}"/>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818DFD46-AFFE-43D1-B2F6-796492F6A994}"/>
    <cellStyle name="Normal 5 2 3 2 3 2 2 3" xfId="11573" xr:uid="{D69485C4-8D71-42E2-81A2-DE40B26529C6}"/>
    <cellStyle name="Normal 5 2 3 2 3 2 3" xfId="5217" xr:uid="{00000000-0005-0000-0000-000060180000}"/>
    <cellStyle name="Normal 5 2 3 2 3 2 3 2" xfId="13646" xr:uid="{923AD3E9-5D85-434A-8F93-69CCA059CF68}"/>
    <cellStyle name="Normal 5 2 3 2 3 2 4" xfId="9428" xr:uid="{1675A243-9517-4301-B937-17CEC68AB58A}"/>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643CFB4F-4D03-40B0-83E5-0EE87B760E81}"/>
    <cellStyle name="Normal 5 2 3 2 3 3 2 3" xfId="11986" xr:uid="{E24D325C-CD92-4A64-B30C-98535BD54743}"/>
    <cellStyle name="Normal 5 2 3 2 3 3 3" xfId="5630" xr:uid="{00000000-0005-0000-0000-000064180000}"/>
    <cellStyle name="Normal 5 2 3 2 3 3 3 2" xfId="14059" xr:uid="{282A1462-FCC1-4F64-92F2-7BBE0F26F8C9}"/>
    <cellStyle name="Normal 5 2 3 2 3 3 4" xfId="9841" xr:uid="{6BA4B472-B0BD-4E74-A393-A95F094DE077}"/>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31A4E898-5E5C-4CB8-AF2A-6EA627491868}"/>
    <cellStyle name="Normal 5 2 3 2 3 4 2 3" xfId="12399" xr:uid="{752D3DAC-4477-42E0-B524-9D3BC5AC202F}"/>
    <cellStyle name="Normal 5 2 3 2 3 4 3" xfId="6043" xr:uid="{00000000-0005-0000-0000-000068180000}"/>
    <cellStyle name="Normal 5 2 3 2 3 4 3 2" xfId="14472" xr:uid="{F7A7BE1D-94BE-4889-BF52-4E5051C7732F}"/>
    <cellStyle name="Normal 5 2 3 2 3 4 4" xfId="10254" xr:uid="{724A1413-623B-4C18-A61A-038B59A70FDE}"/>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DC64A74B-246C-4DEF-B210-EFF0F9C2EB8A}"/>
    <cellStyle name="Normal 5 2 3 2 3 5 2 3" xfId="12812" xr:uid="{943BA984-F324-498B-86E6-EA4850B5F334}"/>
    <cellStyle name="Normal 5 2 3 2 3 5 3" xfId="6456" xr:uid="{00000000-0005-0000-0000-00006C180000}"/>
    <cellStyle name="Normal 5 2 3 2 3 5 3 2" xfId="14885" xr:uid="{6762756C-4593-4A17-84A2-9691BDB2925D}"/>
    <cellStyle name="Normal 5 2 3 2 3 5 4" xfId="10667" xr:uid="{D292A990-AD8A-410E-BF66-E8A5A497BBA6}"/>
    <cellStyle name="Normal 5 2 3 2 3 6" xfId="2584" xr:uid="{00000000-0005-0000-0000-00006D180000}"/>
    <cellStyle name="Normal 5 2 3 2 3 6 2" xfId="6869" xr:uid="{00000000-0005-0000-0000-00006E180000}"/>
    <cellStyle name="Normal 5 2 3 2 3 6 2 2" xfId="15298" xr:uid="{3C084283-2066-4C39-837C-4DAC4E62B2CB}"/>
    <cellStyle name="Normal 5 2 3 2 3 6 3" xfId="11080" xr:uid="{DE27534E-51F1-448C-B3C4-F1FB4C6A8C5C}"/>
    <cellStyle name="Normal 5 2 3 2 3 7" xfId="4804" xr:uid="{00000000-0005-0000-0000-00006F180000}"/>
    <cellStyle name="Normal 5 2 3 2 3 7 2" xfId="13233" xr:uid="{297E3CD7-EA72-4F31-8C02-44FCA55F02A6}"/>
    <cellStyle name="Normal 5 2 3 2 3 8" xfId="9015" xr:uid="{BE686553-A979-43F7-9ED4-386702E5AB8F}"/>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53B4E680-24EB-48C5-8D42-9A0500BA6B71}"/>
    <cellStyle name="Normal 5 2 3 2 4 2 3" xfId="11570" xr:uid="{D24F00D0-AAA4-49F7-9F7B-228BD1C0FBE7}"/>
    <cellStyle name="Normal 5 2 3 2 4 3" xfId="5214" xr:uid="{00000000-0005-0000-0000-000073180000}"/>
    <cellStyle name="Normal 5 2 3 2 4 3 2" xfId="13643" xr:uid="{98E09743-F847-4950-95AB-E345160ABC01}"/>
    <cellStyle name="Normal 5 2 3 2 4 4" xfId="9425" xr:uid="{E7ACC1EE-DF65-4893-883D-7407BD9AB2E8}"/>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8693C325-4C9F-402B-85F6-37511A2EE666}"/>
    <cellStyle name="Normal 5 2 3 2 5 2 3" xfId="11983" xr:uid="{C3B20C73-EE49-4B57-8E63-EA0B5B0C5CEF}"/>
    <cellStyle name="Normal 5 2 3 2 5 3" xfId="5627" xr:uid="{00000000-0005-0000-0000-000077180000}"/>
    <cellStyle name="Normal 5 2 3 2 5 3 2" xfId="14056" xr:uid="{FA53460D-728B-44AF-8C0E-C4BFBDBFAC4A}"/>
    <cellStyle name="Normal 5 2 3 2 5 4" xfId="9838" xr:uid="{251FD799-3159-4A88-8920-21E3AE3641E2}"/>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F42C2CA8-22D9-4A50-9903-A016101DF602}"/>
    <cellStyle name="Normal 5 2 3 2 6 2 3" xfId="12396" xr:uid="{08347388-5891-401A-91B0-CBECE2180A53}"/>
    <cellStyle name="Normal 5 2 3 2 6 3" xfId="6040" xr:uid="{00000000-0005-0000-0000-00007B180000}"/>
    <cellStyle name="Normal 5 2 3 2 6 3 2" xfId="14469" xr:uid="{39CD99D8-AA6E-4D97-9115-EDD3DA1E914E}"/>
    <cellStyle name="Normal 5 2 3 2 6 4" xfId="10251" xr:uid="{51951A5E-CB51-41D3-9DAD-379C67C6ED2C}"/>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FFCB3074-C260-4BBF-81CB-4D63BA5425EB}"/>
    <cellStyle name="Normal 5 2 3 2 7 2 3" xfId="12809" xr:uid="{46B63FB6-5F16-48EE-ADF4-0597F1E8F08D}"/>
    <cellStyle name="Normal 5 2 3 2 7 3" xfId="6453" xr:uid="{00000000-0005-0000-0000-00007F180000}"/>
    <cellStyle name="Normal 5 2 3 2 7 3 2" xfId="14882" xr:uid="{8A7BCBB6-74DA-403D-AC14-A89379789A7F}"/>
    <cellStyle name="Normal 5 2 3 2 7 4" xfId="10664" xr:uid="{A35EB01B-2E9F-43C5-B93F-EF047888142C}"/>
    <cellStyle name="Normal 5 2 3 2 8" xfId="2581" xr:uid="{00000000-0005-0000-0000-000080180000}"/>
    <cellStyle name="Normal 5 2 3 2 8 2" xfId="6866" xr:uid="{00000000-0005-0000-0000-000081180000}"/>
    <cellStyle name="Normal 5 2 3 2 8 2 2" xfId="15295" xr:uid="{0D246C3E-1949-4E89-A7A3-C4117B7E11B9}"/>
    <cellStyle name="Normal 5 2 3 2 8 3" xfId="11077" xr:uid="{4C108CD8-C6DC-4FB4-91B0-67D7EC070B04}"/>
    <cellStyle name="Normal 5 2 3 2 9" xfId="4801" xr:uid="{00000000-0005-0000-0000-000082180000}"/>
    <cellStyle name="Normal 5 2 3 2 9 2" xfId="13230" xr:uid="{341444DA-E10A-422A-AA67-7075F174CD84}"/>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88C33B30-9948-41A4-8C9E-6D985EB197EC}"/>
    <cellStyle name="Normal 5 2 3 3 2 2 2 3" xfId="11575" xr:uid="{1E5B23FE-32F2-422C-980F-305583D870FB}"/>
    <cellStyle name="Normal 5 2 3 3 2 2 3" xfId="5219" xr:uid="{00000000-0005-0000-0000-000088180000}"/>
    <cellStyle name="Normal 5 2 3 3 2 2 3 2" xfId="13648" xr:uid="{BA9657D1-BE5A-406E-8B02-8ADDA2F9EFB5}"/>
    <cellStyle name="Normal 5 2 3 3 2 2 4" xfId="9430" xr:uid="{3C33442A-12AF-43F7-A87E-3957349266BD}"/>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9A10E059-820A-4E12-A45C-F3D56E78B33B}"/>
    <cellStyle name="Normal 5 2 3 3 2 3 2 3" xfId="11988" xr:uid="{C7A359E9-92E8-4373-80FF-4C410787DC42}"/>
    <cellStyle name="Normal 5 2 3 3 2 3 3" xfId="5632" xr:uid="{00000000-0005-0000-0000-00008C180000}"/>
    <cellStyle name="Normal 5 2 3 3 2 3 3 2" xfId="14061" xr:uid="{3203ACB1-4427-47F7-B272-721CCF713428}"/>
    <cellStyle name="Normal 5 2 3 3 2 3 4" xfId="9843" xr:uid="{5F298866-0D01-4FAD-9A6E-FD5648963FA9}"/>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7B77D232-4F38-4744-AA98-BF4E80517B44}"/>
    <cellStyle name="Normal 5 2 3 3 2 4 2 3" xfId="12401" xr:uid="{8D95EABD-38AE-43B0-9ECF-B7FD4C4FB049}"/>
    <cellStyle name="Normal 5 2 3 3 2 4 3" xfId="6045" xr:uid="{00000000-0005-0000-0000-000090180000}"/>
    <cellStyle name="Normal 5 2 3 3 2 4 3 2" xfId="14474" xr:uid="{11A03B8E-1622-4416-A853-3A648EA8027E}"/>
    <cellStyle name="Normal 5 2 3 3 2 4 4" xfId="10256" xr:uid="{740826D6-CCE6-4B1B-BAD7-E6791A424C99}"/>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544AFD2D-EEBE-48B5-99FF-C6AA84849425}"/>
    <cellStyle name="Normal 5 2 3 3 2 5 2 3" xfId="12814" xr:uid="{18013991-5A57-4B8B-A0D0-B460ACC2724B}"/>
    <cellStyle name="Normal 5 2 3 3 2 5 3" xfId="6458" xr:uid="{00000000-0005-0000-0000-000094180000}"/>
    <cellStyle name="Normal 5 2 3 3 2 5 3 2" xfId="14887" xr:uid="{EBCEC89E-99E3-4EBF-8D08-729340635ADB}"/>
    <cellStyle name="Normal 5 2 3 3 2 5 4" xfId="10669" xr:uid="{7004B0A8-B6D1-4A2E-95F4-F405C8AF9E96}"/>
    <cellStyle name="Normal 5 2 3 3 2 6" xfId="2586" xr:uid="{00000000-0005-0000-0000-000095180000}"/>
    <cellStyle name="Normal 5 2 3 3 2 6 2" xfId="6871" xr:uid="{00000000-0005-0000-0000-000096180000}"/>
    <cellStyle name="Normal 5 2 3 3 2 6 2 2" xfId="15300" xr:uid="{DC959CE2-3B58-4222-B449-EF6EEDB1E22E}"/>
    <cellStyle name="Normal 5 2 3 3 2 6 3" xfId="11082" xr:uid="{E6700375-CD2A-4A8B-97C8-26A3BFD1896F}"/>
    <cellStyle name="Normal 5 2 3 3 2 7" xfId="4806" xr:uid="{00000000-0005-0000-0000-000097180000}"/>
    <cellStyle name="Normal 5 2 3 3 2 7 2" xfId="13235" xr:uid="{CC34AA59-82ED-4B85-AC91-A8E37C531381}"/>
    <cellStyle name="Normal 5 2 3 3 2 8" xfId="9017" xr:uid="{70F4503F-8A80-474E-814C-EAE4087F370A}"/>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29019A75-CABA-4799-9A6B-58D208F5969E}"/>
    <cellStyle name="Normal 5 2 3 3 3 2 3" xfId="11574" xr:uid="{78064AB5-4E15-4287-A783-77C9C7204519}"/>
    <cellStyle name="Normal 5 2 3 3 3 3" xfId="5218" xr:uid="{00000000-0005-0000-0000-00009B180000}"/>
    <cellStyle name="Normal 5 2 3 3 3 3 2" xfId="13647" xr:uid="{A063DCB7-26EA-46A6-80E4-B9DCEE66DE11}"/>
    <cellStyle name="Normal 5 2 3 3 3 4" xfId="9429" xr:uid="{2CF35019-3676-4B61-99D7-053EF4ED519D}"/>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B25B0CDF-34AF-428D-A425-E13C52534C54}"/>
    <cellStyle name="Normal 5 2 3 3 4 2 3" xfId="11987" xr:uid="{B68EF5FE-5C5B-4E8C-9A60-450D5DECB3BF}"/>
    <cellStyle name="Normal 5 2 3 3 4 3" xfId="5631" xr:uid="{00000000-0005-0000-0000-00009F180000}"/>
    <cellStyle name="Normal 5 2 3 3 4 3 2" xfId="14060" xr:uid="{81ABA029-7BD0-4B5F-B917-F43E621BB176}"/>
    <cellStyle name="Normal 5 2 3 3 4 4" xfId="9842" xr:uid="{913C8B77-8361-4528-8740-E9F14D9016F1}"/>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E1B1AAD5-750C-4777-AD6F-E4CCF02F2959}"/>
    <cellStyle name="Normal 5 2 3 3 5 2 3" xfId="12400" xr:uid="{A5AE07D9-4AC7-474D-B157-FCA2C89A0B9F}"/>
    <cellStyle name="Normal 5 2 3 3 5 3" xfId="6044" xr:uid="{00000000-0005-0000-0000-0000A3180000}"/>
    <cellStyle name="Normal 5 2 3 3 5 3 2" xfId="14473" xr:uid="{2AEAFEAD-E5BF-4462-8799-9E393C4BAB26}"/>
    <cellStyle name="Normal 5 2 3 3 5 4" xfId="10255" xr:uid="{1357E338-65AF-4E23-BEE2-CC676E313ED6}"/>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141527FF-D971-4CED-9EFC-04EF9C694AA2}"/>
    <cellStyle name="Normal 5 2 3 3 6 2 3" xfId="12813" xr:uid="{EBA702A1-2096-4A5C-A8E1-8AF46A18C753}"/>
    <cellStyle name="Normal 5 2 3 3 6 3" xfId="6457" xr:uid="{00000000-0005-0000-0000-0000A7180000}"/>
    <cellStyle name="Normal 5 2 3 3 6 3 2" xfId="14886" xr:uid="{834A65F3-F167-436D-BBBC-915DE5C90E53}"/>
    <cellStyle name="Normal 5 2 3 3 6 4" xfId="10668" xr:uid="{7DA7FA08-1B7D-4784-B7EB-00C4A3914467}"/>
    <cellStyle name="Normal 5 2 3 3 7" xfId="2585" xr:uid="{00000000-0005-0000-0000-0000A8180000}"/>
    <cellStyle name="Normal 5 2 3 3 7 2" xfId="6870" xr:uid="{00000000-0005-0000-0000-0000A9180000}"/>
    <cellStyle name="Normal 5 2 3 3 7 2 2" xfId="15299" xr:uid="{F8CA5C2A-9248-41F8-BC99-EC0AC2B79CBE}"/>
    <cellStyle name="Normal 5 2 3 3 7 3" xfId="11081" xr:uid="{0BFD7346-F5CE-4C5E-82A1-BCA36F723B1C}"/>
    <cellStyle name="Normal 5 2 3 3 8" xfId="4805" xr:uid="{00000000-0005-0000-0000-0000AA180000}"/>
    <cellStyle name="Normal 5 2 3 3 8 2" xfId="13234" xr:uid="{C2B55F51-1C34-4808-A1EA-F22CCC2D2D1C}"/>
    <cellStyle name="Normal 5 2 3 3 9" xfId="9016" xr:uid="{217264AF-6594-4BBA-AB03-FA85DB780571}"/>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8196239E-8900-4F09-903B-05553B2B7A6E}"/>
    <cellStyle name="Normal 5 2 3 4 2 2 3" xfId="11576" xr:uid="{79CE0476-06E8-4325-A380-E9210E1EFE85}"/>
    <cellStyle name="Normal 5 2 3 4 2 3" xfId="5220" xr:uid="{00000000-0005-0000-0000-0000AF180000}"/>
    <cellStyle name="Normal 5 2 3 4 2 3 2" xfId="13649" xr:uid="{0B9C6B56-9863-4EED-9DDC-F17FDB25C026}"/>
    <cellStyle name="Normal 5 2 3 4 2 4" xfId="9431" xr:uid="{B67D0689-B3C1-4D9D-8024-3F41B856127E}"/>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E77B9A1A-5149-4328-A793-C4DA20BD618B}"/>
    <cellStyle name="Normal 5 2 3 4 3 2 3" xfId="11989" xr:uid="{E929ED8D-FC2B-40FB-A897-0DCE03C35626}"/>
    <cellStyle name="Normal 5 2 3 4 3 3" xfId="5633" xr:uid="{00000000-0005-0000-0000-0000B3180000}"/>
    <cellStyle name="Normal 5 2 3 4 3 3 2" xfId="14062" xr:uid="{3125DDCA-66A7-4D4B-9E71-B43BE2A77A8B}"/>
    <cellStyle name="Normal 5 2 3 4 3 4" xfId="9844" xr:uid="{8F64ABD8-4570-40B6-A50F-F93D65B98C3E}"/>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997958F1-68D4-4CDA-9700-CA7D779F3C26}"/>
    <cellStyle name="Normal 5 2 3 4 4 2 3" xfId="12402" xr:uid="{61B2300B-72BA-4F08-8D52-3B780D782850}"/>
    <cellStyle name="Normal 5 2 3 4 4 3" xfId="6046" xr:uid="{00000000-0005-0000-0000-0000B7180000}"/>
    <cellStyle name="Normal 5 2 3 4 4 3 2" xfId="14475" xr:uid="{052BEECD-1C73-458C-8FB8-89FA5BE2E993}"/>
    <cellStyle name="Normal 5 2 3 4 4 4" xfId="10257" xr:uid="{87B95793-6A65-4EB7-87FF-82D0AAC2648F}"/>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1FBBFA5E-D9D1-4BF2-8C29-617A5FF2A318}"/>
    <cellStyle name="Normal 5 2 3 4 5 2 3" xfId="12815" xr:uid="{E8CE181D-4D8F-4B85-B6F9-310019676800}"/>
    <cellStyle name="Normal 5 2 3 4 5 3" xfId="6459" xr:uid="{00000000-0005-0000-0000-0000BB180000}"/>
    <cellStyle name="Normal 5 2 3 4 5 3 2" xfId="14888" xr:uid="{691CE527-DDA0-4443-BF70-EFE2C0A91CC0}"/>
    <cellStyle name="Normal 5 2 3 4 5 4" xfId="10670" xr:uid="{16C6A928-5FA0-404E-879C-4D1320D1AFA1}"/>
    <cellStyle name="Normal 5 2 3 4 6" xfId="2587" xr:uid="{00000000-0005-0000-0000-0000BC180000}"/>
    <cellStyle name="Normal 5 2 3 4 6 2" xfId="6872" xr:uid="{00000000-0005-0000-0000-0000BD180000}"/>
    <cellStyle name="Normal 5 2 3 4 6 2 2" xfId="15301" xr:uid="{7536DB96-121B-482B-A021-D8A669B50381}"/>
    <cellStyle name="Normal 5 2 3 4 6 3" xfId="11083" xr:uid="{D13D6E64-66FB-4C44-A7B8-50705550A654}"/>
    <cellStyle name="Normal 5 2 3 4 7" xfId="4807" xr:uid="{00000000-0005-0000-0000-0000BE180000}"/>
    <cellStyle name="Normal 5 2 3 4 7 2" xfId="13236" xr:uid="{43F510E2-2D4D-4E7B-A58B-207C7BA346AE}"/>
    <cellStyle name="Normal 5 2 3 4 8" xfId="9018" xr:uid="{F304BF34-A8C6-42F3-AC45-BFCE499E033F}"/>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6915B80-0030-4CCA-AE6C-213826B4DA8A}"/>
    <cellStyle name="Normal 5 2 3 5 2 3" xfId="11569" xr:uid="{1DACAB05-830D-422F-95F4-99AEE623F597}"/>
    <cellStyle name="Normal 5 2 3 5 3" xfId="5213" xr:uid="{00000000-0005-0000-0000-0000C2180000}"/>
    <cellStyle name="Normal 5 2 3 5 3 2" xfId="13642" xr:uid="{E890AC43-3542-4F43-AAEB-9D6126ED6C51}"/>
    <cellStyle name="Normal 5 2 3 5 4" xfId="9424" xr:uid="{AAE53B73-8838-4F2F-BF40-685EC6E0F85B}"/>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A705D563-F38C-4B5B-9D02-192BB553F20F}"/>
    <cellStyle name="Normal 5 2 3 6 2 3" xfId="11982" xr:uid="{DB0B980E-6A92-4766-9F22-D7F919828B32}"/>
    <cellStyle name="Normal 5 2 3 6 3" xfId="5626" xr:uid="{00000000-0005-0000-0000-0000C6180000}"/>
    <cellStyle name="Normal 5 2 3 6 3 2" xfId="14055" xr:uid="{E128C1C7-FA6D-42E8-BACA-8EAE72BDE212}"/>
    <cellStyle name="Normal 5 2 3 6 4" xfId="9837" xr:uid="{0B6875B7-1394-4CFA-8E76-291019F6B861}"/>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63AC984F-2694-4EF2-A43D-09766A375A74}"/>
    <cellStyle name="Normal 5 2 3 7 2 3" xfId="12395" xr:uid="{E26CDB15-8092-4844-955B-82B9041EF392}"/>
    <cellStyle name="Normal 5 2 3 7 3" xfId="6039" xr:uid="{00000000-0005-0000-0000-0000CA180000}"/>
    <cellStyle name="Normal 5 2 3 7 3 2" xfId="14468" xr:uid="{06CE065C-79D5-4981-BFCF-8B2149F79FF0}"/>
    <cellStyle name="Normal 5 2 3 7 4" xfId="10250" xr:uid="{6535CEE5-53CC-4647-B07A-8C12F5BEF964}"/>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7103534A-2A0D-405E-A59E-9F3D47B5D4C1}"/>
    <cellStyle name="Normal 5 2 3 8 2 3" xfId="12808" xr:uid="{A9E68CA9-CA94-4F6A-80F0-A9A93E67BBB7}"/>
    <cellStyle name="Normal 5 2 3 8 3" xfId="6452" xr:uid="{00000000-0005-0000-0000-0000CE180000}"/>
    <cellStyle name="Normal 5 2 3 8 3 2" xfId="14881" xr:uid="{2060679A-A4DF-46E7-B053-0BB4CF1128BD}"/>
    <cellStyle name="Normal 5 2 3 8 4" xfId="10663" xr:uid="{9EFB830D-C7F2-4C75-9CEC-BC20CACD54B2}"/>
    <cellStyle name="Normal 5 2 3 9" xfId="2580" xr:uid="{00000000-0005-0000-0000-0000CF180000}"/>
    <cellStyle name="Normal 5 2 3 9 2" xfId="6865" xr:uid="{00000000-0005-0000-0000-0000D0180000}"/>
    <cellStyle name="Normal 5 2 3 9 2 2" xfId="15294" xr:uid="{55CFFD4C-1D44-4B80-AE46-B5FDA7B80390}"/>
    <cellStyle name="Normal 5 2 3 9 3" xfId="11076" xr:uid="{6E604110-DF28-4014-8EAA-DE044458E4F2}"/>
    <cellStyle name="Normal 5 2 4" xfId="432" xr:uid="{00000000-0005-0000-0000-0000D1180000}"/>
    <cellStyle name="Normal 5 2 4 10" xfId="9019" xr:uid="{92DE4A15-77FC-446E-B670-0BFF028D6BE4}"/>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C8D03A0B-9F25-4CDA-A904-FA9C258A204E}"/>
    <cellStyle name="Normal 5 2 4 2 2 2 2 3" xfId="11579" xr:uid="{73EBF7CF-56AB-49EE-A3B0-0936A1202EAE}"/>
    <cellStyle name="Normal 5 2 4 2 2 2 3" xfId="5223" xr:uid="{00000000-0005-0000-0000-0000D7180000}"/>
    <cellStyle name="Normal 5 2 4 2 2 2 3 2" xfId="13652" xr:uid="{64654789-D7C7-4769-908A-73BF12266E3C}"/>
    <cellStyle name="Normal 5 2 4 2 2 2 4" xfId="9434" xr:uid="{F29C8393-2454-46D2-8AB1-62D9BC2C21BB}"/>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BAF0B5FC-4A58-4AB5-B4EB-E499272AF032}"/>
    <cellStyle name="Normal 5 2 4 2 2 3 2 3" xfId="11992" xr:uid="{BCDAFE07-8F12-4908-9662-B0332595034B}"/>
    <cellStyle name="Normal 5 2 4 2 2 3 3" xfId="5636" xr:uid="{00000000-0005-0000-0000-0000DB180000}"/>
    <cellStyle name="Normal 5 2 4 2 2 3 3 2" xfId="14065" xr:uid="{024322C5-C91A-4006-BC35-29DA8822E4B9}"/>
    <cellStyle name="Normal 5 2 4 2 2 3 4" xfId="9847" xr:uid="{B97DA2F6-02DF-45B6-A5B4-249ACA25E94F}"/>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B7FA8D99-F2F3-41EC-B19E-BC12DB3064FC}"/>
    <cellStyle name="Normal 5 2 4 2 2 4 2 3" xfId="12405" xr:uid="{477630A8-43AA-4B1D-8B3E-CF466A82229F}"/>
    <cellStyle name="Normal 5 2 4 2 2 4 3" xfId="6049" xr:uid="{00000000-0005-0000-0000-0000DF180000}"/>
    <cellStyle name="Normal 5 2 4 2 2 4 3 2" xfId="14478" xr:uid="{83ACE245-6238-4F77-BAB2-60F44E3444C9}"/>
    <cellStyle name="Normal 5 2 4 2 2 4 4" xfId="10260" xr:uid="{BE252FF1-F088-458C-ACBE-8547A9A8672A}"/>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4C88E7A3-CD8F-495F-9DCE-ADFA27DA89A4}"/>
    <cellStyle name="Normal 5 2 4 2 2 5 2 3" xfId="12818" xr:uid="{66C4CE6F-EE95-42C3-A420-989B5B4550B7}"/>
    <cellStyle name="Normal 5 2 4 2 2 5 3" xfId="6462" xr:uid="{00000000-0005-0000-0000-0000E3180000}"/>
    <cellStyle name="Normal 5 2 4 2 2 5 3 2" xfId="14891" xr:uid="{1EE2D792-6A2F-4D4D-9A8B-E699799E8A19}"/>
    <cellStyle name="Normal 5 2 4 2 2 5 4" xfId="10673" xr:uid="{C45462DB-251A-4E88-B56C-45D323B88DCF}"/>
    <cellStyle name="Normal 5 2 4 2 2 6" xfId="2590" xr:uid="{00000000-0005-0000-0000-0000E4180000}"/>
    <cellStyle name="Normal 5 2 4 2 2 6 2" xfId="6875" xr:uid="{00000000-0005-0000-0000-0000E5180000}"/>
    <cellStyle name="Normal 5 2 4 2 2 6 2 2" xfId="15304" xr:uid="{23589B8E-D548-41CA-BD46-835DB94CCE60}"/>
    <cellStyle name="Normal 5 2 4 2 2 6 3" xfId="11086" xr:uid="{2741FA47-C2AB-4EAD-9D2A-1278A2BAB2E7}"/>
    <cellStyle name="Normal 5 2 4 2 2 7" xfId="4810" xr:uid="{00000000-0005-0000-0000-0000E6180000}"/>
    <cellStyle name="Normal 5 2 4 2 2 7 2" xfId="13239" xr:uid="{427F156B-23CC-4A3B-A17F-80673F39B4E9}"/>
    <cellStyle name="Normal 5 2 4 2 2 8" xfId="9021" xr:uid="{7F1C5CBA-182D-46E7-8E65-93EB37FF4D37}"/>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070F0F67-9645-4B89-B1C9-16540A161C4B}"/>
    <cellStyle name="Normal 5 2 4 2 3 2 3" xfId="11578" xr:uid="{7E3D6E16-CA24-41F4-A544-A4E8DAD43160}"/>
    <cellStyle name="Normal 5 2 4 2 3 3" xfId="5222" xr:uid="{00000000-0005-0000-0000-0000EA180000}"/>
    <cellStyle name="Normal 5 2 4 2 3 3 2" xfId="13651" xr:uid="{1E7FC63B-B971-4AF6-B1BE-C58FBC94F338}"/>
    <cellStyle name="Normal 5 2 4 2 3 4" xfId="9433" xr:uid="{5B8A4862-F19B-4C19-AE16-661F8796B8B3}"/>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CBC7BC7C-6967-4E62-8C18-52D4178B2AA3}"/>
    <cellStyle name="Normal 5 2 4 2 4 2 3" xfId="11991" xr:uid="{F656F4DC-CC08-419D-BF92-C8E284160104}"/>
    <cellStyle name="Normal 5 2 4 2 4 3" xfId="5635" xr:uid="{00000000-0005-0000-0000-0000EE180000}"/>
    <cellStyle name="Normal 5 2 4 2 4 3 2" xfId="14064" xr:uid="{60E1414B-F042-44CC-940E-1F230DECF608}"/>
    <cellStyle name="Normal 5 2 4 2 4 4" xfId="9846" xr:uid="{6F12B5D5-8DE4-4376-BEF0-FD75A988C998}"/>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BDE53E1C-B9DA-4A40-8E66-AC43A961F182}"/>
    <cellStyle name="Normal 5 2 4 2 5 2 3" xfId="12404" xr:uid="{D43CD22F-B1FD-4CAB-A5B1-8BEA5601D720}"/>
    <cellStyle name="Normal 5 2 4 2 5 3" xfId="6048" xr:uid="{00000000-0005-0000-0000-0000F2180000}"/>
    <cellStyle name="Normal 5 2 4 2 5 3 2" xfId="14477" xr:uid="{6017696F-54D6-4DA9-932E-E4D3C40309FC}"/>
    <cellStyle name="Normal 5 2 4 2 5 4" xfId="10259" xr:uid="{42D48E22-FB9E-4A00-BB8C-1D4BD2B6A325}"/>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E9321F7D-F4C2-4BF6-9479-8A81EFE86E01}"/>
    <cellStyle name="Normal 5 2 4 2 6 2 3" xfId="12817" xr:uid="{C0E13035-8D0D-4E66-AB8B-2557AC264738}"/>
    <cellStyle name="Normal 5 2 4 2 6 3" xfId="6461" xr:uid="{00000000-0005-0000-0000-0000F6180000}"/>
    <cellStyle name="Normal 5 2 4 2 6 3 2" xfId="14890" xr:uid="{CBEA9260-DC1F-451D-AC69-88D3A33BB5FB}"/>
    <cellStyle name="Normal 5 2 4 2 6 4" xfId="10672" xr:uid="{8A697B5F-7F10-455E-A9DB-DD45A1290F44}"/>
    <cellStyle name="Normal 5 2 4 2 7" xfId="2589" xr:uid="{00000000-0005-0000-0000-0000F7180000}"/>
    <cellStyle name="Normal 5 2 4 2 7 2" xfId="6874" xr:uid="{00000000-0005-0000-0000-0000F8180000}"/>
    <cellStyle name="Normal 5 2 4 2 7 2 2" xfId="15303" xr:uid="{4EAD1C64-96EB-419C-A75A-71B27743BB7D}"/>
    <cellStyle name="Normal 5 2 4 2 7 3" xfId="11085" xr:uid="{DCE976CA-D283-428D-BEFF-EF0C603DD60F}"/>
    <cellStyle name="Normal 5 2 4 2 8" xfId="4809" xr:uid="{00000000-0005-0000-0000-0000F9180000}"/>
    <cellStyle name="Normal 5 2 4 2 8 2" xfId="13238" xr:uid="{2A39FAC5-C647-487B-874D-EFAB2D4DB022}"/>
    <cellStyle name="Normal 5 2 4 2 9" xfId="9020" xr:uid="{DF8FA651-68F9-4185-8B67-7EB966310ED9}"/>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6C0FA43E-9FEB-43F5-9564-51CE58D87AA2}"/>
    <cellStyle name="Normal 5 2 4 3 2 2 3" xfId="11580" xr:uid="{2412BE02-370A-48DB-B434-593F857C9165}"/>
    <cellStyle name="Normal 5 2 4 3 2 3" xfId="5224" xr:uid="{00000000-0005-0000-0000-0000FE180000}"/>
    <cellStyle name="Normal 5 2 4 3 2 3 2" xfId="13653" xr:uid="{74DA6230-92D4-414B-B516-8EFC7D89A92D}"/>
    <cellStyle name="Normal 5 2 4 3 2 4" xfId="9435" xr:uid="{B425D639-C793-49C6-B570-68C523A93481}"/>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A8C3136F-7794-43B1-971C-A4720C9A1903}"/>
    <cellStyle name="Normal 5 2 4 3 3 2 3" xfId="11993" xr:uid="{186C3CED-35FA-4A5C-A0FD-1CF3ACF7C39B}"/>
    <cellStyle name="Normal 5 2 4 3 3 3" xfId="5637" xr:uid="{00000000-0005-0000-0000-000002190000}"/>
    <cellStyle name="Normal 5 2 4 3 3 3 2" xfId="14066" xr:uid="{6E6884E7-1C4B-49B4-9677-E918B15AA3EC}"/>
    <cellStyle name="Normal 5 2 4 3 3 4" xfId="9848" xr:uid="{B5A71C18-01C2-4F28-BE72-80EFB2D98764}"/>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8E2A20FB-EC1A-48BE-835B-116C0FC5012F}"/>
    <cellStyle name="Normal 5 2 4 3 4 2 3" xfId="12406" xr:uid="{845DAEDB-7E23-4F8E-A1EE-441D1B71D0DC}"/>
    <cellStyle name="Normal 5 2 4 3 4 3" xfId="6050" xr:uid="{00000000-0005-0000-0000-000006190000}"/>
    <cellStyle name="Normal 5 2 4 3 4 3 2" xfId="14479" xr:uid="{9B8F70EA-CF11-44FC-8DE7-E0730F4485A3}"/>
    <cellStyle name="Normal 5 2 4 3 4 4" xfId="10261" xr:uid="{18215FFA-4C0D-4901-9014-762EBCA2C988}"/>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82745622-D6D4-43D2-AFC9-58949688331E}"/>
    <cellStyle name="Normal 5 2 4 3 5 2 3" xfId="12819" xr:uid="{5A904159-39F7-4ED6-B38C-C172036C8233}"/>
    <cellStyle name="Normal 5 2 4 3 5 3" xfId="6463" xr:uid="{00000000-0005-0000-0000-00000A190000}"/>
    <cellStyle name="Normal 5 2 4 3 5 3 2" xfId="14892" xr:uid="{F202A0D2-D818-4F68-82DC-388CB3879444}"/>
    <cellStyle name="Normal 5 2 4 3 5 4" xfId="10674" xr:uid="{6FA65259-A97D-4733-8795-5BE681CCD058}"/>
    <cellStyle name="Normal 5 2 4 3 6" xfId="2591" xr:uid="{00000000-0005-0000-0000-00000B190000}"/>
    <cellStyle name="Normal 5 2 4 3 6 2" xfId="6876" xr:uid="{00000000-0005-0000-0000-00000C190000}"/>
    <cellStyle name="Normal 5 2 4 3 6 2 2" xfId="15305" xr:uid="{3C3A6B85-A3D2-444F-9302-AD490601F0BA}"/>
    <cellStyle name="Normal 5 2 4 3 6 3" xfId="11087" xr:uid="{28EC1073-28FA-427C-8BBA-1FF675D9ABA3}"/>
    <cellStyle name="Normal 5 2 4 3 7" xfId="4811" xr:uid="{00000000-0005-0000-0000-00000D190000}"/>
    <cellStyle name="Normal 5 2 4 3 7 2" xfId="13240" xr:uid="{90030DC3-62E3-4D97-9760-476FF3EE55BA}"/>
    <cellStyle name="Normal 5 2 4 3 8" xfId="9022" xr:uid="{FE4CBBA1-85BC-4599-9186-B7E0DBA9393F}"/>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77666C22-11FD-4433-8976-AAF311984627}"/>
    <cellStyle name="Normal 5 2 4 4 2 3" xfId="11577" xr:uid="{E416C2FC-F47A-4267-B421-4DEC045AF723}"/>
    <cellStyle name="Normal 5 2 4 4 3" xfId="5221" xr:uid="{00000000-0005-0000-0000-000011190000}"/>
    <cellStyle name="Normal 5 2 4 4 3 2" xfId="13650" xr:uid="{3E6F6E9F-6CFC-4E83-AE1F-019CF6B331B4}"/>
    <cellStyle name="Normal 5 2 4 4 4" xfId="9432" xr:uid="{E96D8790-3863-4A39-BCE2-634969FD9465}"/>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50F324D6-516D-46B8-B27A-9F92C1C06786}"/>
    <cellStyle name="Normal 5 2 4 5 2 3" xfId="11990" xr:uid="{FCDC68B7-729D-4BB8-B950-62AFE0F14CC7}"/>
    <cellStyle name="Normal 5 2 4 5 3" xfId="5634" xr:uid="{00000000-0005-0000-0000-000015190000}"/>
    <cellStyle name="Normal 5 2 4 5 3 2" xfId="14063" xr:uid="{F7424FEE-5392-474E-A03A-E6D922AB3985}"/>
    <cellStyle name="Normal 5 2 4 5 4" xfId="9845" xr:uid="{BCAF89EA-8014-431E-95D5-B35692E8373B}"/>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17280AC5-68D0-40C6-8DC1-9E3468B351AA}"/>
    <cellStyle name="Normal 5 2 4 6 2 3" xfId="12403" xr:uid="{05B925FC-920C-4ED8-AFD4-611D4AEB441E}"/>
    <cellStyle name="Normal 5 2 4 6 3" xfId="6047" xr:uid="{00000000-0005-0000-0000-000019190000}"/>
    <cellStyle name="Normal 5 2 4 6 3 2" xfId="14476" xr:uid="{ACE3AB62-C44B-408C-BB48-892496C1FA9E}"/>
    <cellStyle name="Normal 5 2 4 6 4" xfId="10258" xr:uid="{770A626F-77F9-447E-9AF2-FEAF8E93761F}"/>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2E066261-19C9-4B9C-8A0C-0D91B94F1574}"/>
    <cellStyle name="Normal 5 2 4 7 2 3" xfId="12816" xr:uid="{FE745CA9-86E4-49D3-BF0E-3938BDAF1188}"/>
    <cellStyle name="Normal 5 2 4 7 3" xfId="6460" xr:uid="{00000000-0005-0000-0000-00001D190000}"/>
    <cellStyle name="Normal 5 2 4 7 3 2" xfId="14889" xr:uid="{32290300-0B94-44E0-BF99-CE122AA2F0A6}"/>
    <cellStyle name="Normal 5 2 4 7 4" xfId="10671" xr:uid="{E8B8AB2F-C234-4569-9F5A-6C6293A7EEDC}"/>
    <cellStyle name="Normal 5 2 4 8" xfId="2588" xr:uid="{00000000-0005-0000-0000-00001E190000}"/>
    <cellStyle name="Normal 5 2 4 8 2" xfId="6873" xr:uid="{00000000-0005-0000-0000-00001F190000}"/>
    <cellStyle name="Normal 5 2 4 8 2 2" xfId="15302" xr:uid="{B5F5A62D-9203-441D-B44F-EC915AE0A97A}"/>
    <cellStyle name="Normal 5 2 4 8 3" xfId="11084" xr:uid="{743789F7-1704-485F-97C3-904AB84097A9}"/>
    <cellStyle name="Normal 5 2 4 9" xfId="4808" xr:uid="{00000000-0005-0000-0000-000020190000}"/>
    <cellStyle name="Normal 5 2 4 9 2" xfId="13237" xr:uid="{DC1A8749-B014-4776-9F51-C685C75658B2}"/>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F1B23A00-70EE-41E6-9F1A-8247C4A33A14}"/>
    <cellStyle name="Normal 5 2 5 2 2 2 3" xfId="11582" xr:uid="{36AE41FB-1C40-4829-918E-23278EDA4FE7}"/>
    <cellStyle name="Normal 5 2 5 2 2 3" xfId="5226" xr:uid="{00000000-0005-0000-0000-000026190000}"/>
    <cellStyle name="Normal 5 2 5 2 2 3 2" xfId="13655" xr:uid="{476631E7-C9BB-474D-A03B-45A960B17F80}"/>
    <cellStyle name="Normal 5 2 5 2 2 4" xfId="9437" xr:uid="{0B774E34-AB07-4A9F-9C5E-BC06C09F05A1}"/>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BFC9AD71-DE5E-4CD3-B584-1D6A55010EA0}"/>
    <cellStyle name="Normal 5 2 5 2 3 2 3" xfId="11995" xr:uid="{5410898C-1FC3-4D7D-97E5-527DA4D865E3}"/>
    <cellStyle name="Normal 5 2 5 2 3 3" xfId="5639" xr:uid="{00000000-0005-0000-0000-00002A190000}"/>
    <cellStyle name="Normal 5 2 5 2 3 3 2" xfId="14068" xr:uid="{C4490B85-EF88-445E-9598-48A590107EA5}"/>
    <cellStyle name="Normal 5 2 5 2 3 4" xfId="9850" xr:uid="{9406294A-0EDC-45AE-A2F4-BF26645F2120}"/>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159CF823-EB8E-47D9-BABF-9D440F0A8DA8}"/>
    <cellStyle name="Normal 5 2 5 2 4 2 3" xfId="12408" xr:uid="{6C6ECD75-3B64-49CC-8F51-8C7D84C14314}"/>
    <cellStyle name="Normal 5 2 5 2 4 3" xfId="6052" xr:uid="{00000000-0005-0000-0000-00002E190000}"/>
    <cellStyle name="Normal 5 2 5 2 4 3 2" xfId="14481" xr:uid="{6EE492A8-E573-433B-90C8-ACF84D82BB8A}"/>
    <cellStyle name="Normal 5 2 5 2 4 4" xfId="10263" xr:uid="{34506CC4-1C24-496C-B219-721BC2559221}"/>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561629EE-90ED-4836-BBAC-8F16857F2F89}"/>
    <cellStyle name="Normal 5 2 5 2 5 2 3" xfId="12821" xr:uid="{7D08CDF7-59A0-43BF-952B-51BC8384C998}"/>
    <cellStyle name="Normal 5 2 5 2 5 3" xfId="6465" xr:uid="{00000000-0005-0000-0000-000032190000}"/>
    <cellStyle name="Normal 5 2 5 2 5 3 2" xfId="14894" xr:uid="{0E61B67F-FB4D-4467-962E-7DE31652E6DC}"/>
    <cellStyle name="Normal 5 2 5 2 5 4" xfId="10676" xr:uid="{3EBF62AD-E2E0-4CAC-A206-E67F24B398EE}"/>
    <cellStyle name="Normal 5 2 5 2 6" xfId="2593" xr:uid="{00000000-0005-0000-0000-000033190000}"/>
    <cellStyle name="Normal 5 2 5 2 6 2" xfId="6878" xr:uid="{00000000-0005-0000-0000-000034190000}"/>
    <cellStyle name="Normal 5 2 5 2 6 2 2" xfId="15307" xr:uid="{9C02888B-AF8A-4ACB-9213-52945F21CEFC}"/>
    <cellStyle name="Normal 5 2 5 2 6 3" xfId="11089" xr:uid="{4BE7CA61-5C87-4D1A-90F9-AADAA5AC4632}"/>
    <cellStyle name="Normal 5 2 5 2 7" xfId="4813" xr:uid="{00000000-0005-0000-0000-000035190000}"/>
    <cellStyle name="Normal 5 2 5 2 7 2" xfId="13242" xr:uid="{454419D5-A824-4698-8F80-1C7EF0324196}"/>
    <cellStyle name="Normal 5 2 5 2 8" xfId="9024" xr:uid="{C8FF26B6-C223-4A13-8C60-E9B4AC568F49}"/>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4D857293-28DD-4C58-9F92-79CA5D0F3678}"/>
    <cellStyle name="Normal 5 2 5 3 2 3" xfId="11581" xr:uid="{42B57D7B-2B30-4603-B125-2FE4CAFBAA32}"/>
    <cellStyle name="Normal 5 2 5 3 3" xfId="5225" xr:uid="{00000000-0005-0000-0000-000039190000}"/>
    <cellStyle name="Normal 5 2 5 3 3 2" xfId="13654" xr:uid="{9307192A-1ABF-4E27-B31C-4C1721FD06A9}"/>
    <cellStyle name="Normal 5 2 5 3 4" xfId="9436" xr:uid="{B61A915E-7DB1-4BAC-ADB1-DD1E3D44B877}"/>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6BE5F302-94C7-4C2A-BCA3-F752F4A75197}"/>
    <cellStyle name="Normal 5 2 5 4 2 3" xfId="11994" xr:uid="{58890695-6F8D-4127-AFAD-28C756788D0B}"/>
    <cellStyle name="Normal 5 2 5 4 3" xfId="5638" xr:uid="{00000000-0005-0000-0000-00003D190000}"/>
    <cellStyle name="Normal 5 2 5 4 3 2" xfId="14067" xr:uid="{A971B1E2-3ACF-4FC2-B1E3-27D1B22FEFA0}"/>
    <cellStyle name="Normal 5 2 5 4 4" xfId="9849" xr:uid="{2063B5BE-4BAF-4DB7-8288-560DDC4FD123}"/>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8ECC972C-30C7-4DEC-96A1-D3DDC6751645}"/>
    <cellStyle name="Normal 5 2 5 5 2 3" xfId="12407" xr:uid="{0E2497DD-DBF5-40A3-9724-5CDE853E64E1}"/>
    <cellStyle name="Normal 5 2 5 5 3" xfId="6051" xr:uid="{00000000-0005-0000-0000-000041190000}"/>
    <cellStyle name="Normal 5 2 5 5 3 2" xfId="14480" xr:uid="{B22863EB-C475-4F66-8E82-D832C806F645}"/>
    <cellStyle name="Normal 5 2 5 5 4" xfId="10262" xr:uid="{6760F690-30A7-4003-A5A5-C39521BD63F4}"/>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E4ADE9F6-A62F-4101-88EF-8808A79B6701}"/>
    <cellStyle name="Normal 5 2 5 6 2 3" xfId="12820" xr:uid="{251FC4D0-0554-43EE-8C09-8C4739441896}"/>
    <cellStyle name="Normal 5 2 5 6 3" xfId="6464" xr:uid="{00000000-0005-0000-0000-000045190000}"/>
    <cellStyle name="Normal 5 2 5 6 3 2" xfId="14893" xr:uid="{0DBE5D76-4475-477A-9FAC-9AE8E5835FC3}"/>
    <cellStyle name="Normal 5 2 5 6 4" xfId="10675" xr:uid="{F9BE9404-22E2-4623-A73E-D7712F2BD579}"/>
    <cellStyle name="Normal 5 2 5 7" xfId="2592" xr:uid="{00000000-0005-0000-0000-000046190000}"/>
    <cellStyle name="Normal 5 2 5 7 2" xfId="6877" xr:uid="{00000000-0005-0000-0000-000047190000}"/>
    <cellStyle name="Normal 5 2 5 7 2 2" xfId="15306" xr:uid="{B81C36A5-ED59-4A71-A024-9187C0FC7255}"/>
    <cellStyle name="Normal 5 2 5 7 3" xfId="11088" xr:uid="{2C61B5C4-B0CE-4E53-98E5-9D6CBB26844B}"/>
    <cellStyle name="Normal 5 2 5 8" xfId="4812" xr:uid="{00000000-0005-0000-0000-000048190000}"/>
    <cellStyle name="Normal 5 2 5 8 2" xfId="13241" xr:uid="{C01FACFB-69FE-4DFF-B7AF-A9980168CA22}"/>
    <cellStyle name="Normal 5 2 5 9" xfId="9023" xr:uid="{8EDB1700-96A2-4A71-91A6-E8B742FD9DED}"/>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78E907F4-0FC3-483A-8737-DEF6C212EBEF}"/>
    <cellStyle name="Normal 5 2 6 2 2 3" xfId="11583" xr:uid="{829E954C-692B-45F0-8907-72CF480D823F}"/>
    <cellStyle name="Normal 5 2 6 2 3" xfId="5227" xr:uid="{00000000-0005-0000-0000-00004D190000}"/>
    <cellStyle name="Normal 5 2 6 2 3 2" xfId="13656" xr:uid="{C8845C83-FCED-4215-B5FE-D061B6AC7733}"/>
    <cellStyle name="Normal 5 2 6 2 4" xfId="9438" xr:uid="{0C53157B-B59F-42F7-AA25-563D31F1B94E}"/>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7081B8FF-BAEE-4BFA-96D3-0D96BF25EB41}"/>
    <cellStyle name="Normal 5 2 6 3 2 3" xfId="11996" xr:uid="{59E83461-C1B6-4233-8A7E-901BFA8909F3}"/>
    <cellStyle name="Normal 5 2 6 3 3" xfId="5640" xr:uid="{00000000-0005-0000-0000-000051190000}"/>
    <cellStyle name="Normal 5 2 6 3 3 2" xfId="14069" xr:uid="{829C26EF-BDB9-40DB-BAD3-91B6140243A5}"/>
    <cellStyle name="Normal 5 2 6 3 4" xfId="9851" xr:uid="{0FE6D458-1C97-4D82-890C-9501FE360EE6}"/>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DE00CCA7-08FF-42AD-B14D-C5A59F25E006}"/>
    <cellStyle name="Normal 5 2 6 4 2 3" xfId="12409" xr:uid="{EB53898A-DE4E-47C4-8133-308BB74BE987}"/>
    <cellStyle name="Normal 5 2 6 4 3" xfId="6053" xr:uid="{00000000-0005-0000-0000-000055190000}"/>
    <cellStyle name="Normal 5 2 6 4 3 2" xfId="14482" xr:uid="{34A78EDC-1B56-4899-913A-AF6E72A10033}"/>
    <cellStyle name="Normal 5 2 6 4 4" xfId="10264" xr:uid="{3DB4E013-A844-4CBD-98E8-C8D18F0741C8}"/>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31183872-116E-4F9D-9C33-A5BB4DF66DDC}"/>
    <cellStyle name="Normal 5 2 6 5 2 3" xfId="12822" xr:uid="{EE432B76-1087-4D06-BC98-A7BECFE96B3F}"/>
    <cellStyle name="Normal 5 2 6 5 3" xfId="6466" xr:uid="{00000000-0005-0000-0000-000059190000}"/>
    <cellStyle name="Normal 5 2 6 5 3 2" xfId="14895" xr:uid="{FB296D56-2F33-413F-B615-2A070E11F4AB}"/>
    <cellStyle name="Normal 5 2 6 5 4" xfId="10677" xr:uid="{7B7E05C0-F41E-4508-AAF8-E8D7B6458973}"/>
    <cellStyle name="Normal 5 2 6 6" xfId="2594" xr:uid="{00000000-0005-0000-0000-00005A190000}"/>
    <cellStyle name="Normal 5 2 6 6 2" xfId="6879" xr:uid="{00000000-0005-0000-0000-00005B190000}"/>
    <cellStyle name="Normal 5 2 6 6 2 2" xfId="15308" xr:uid="{208B7273-BA1C-4E1E-84AF-5EFD305C33B1}"/>
    <cellStyle name="Normal 5 2 6 6 3" xfId="11090" xr:uid="{F8E84F12-6E5A-4D28-AF27-1A255D4822F6}"/>
    <cellStyle name="Normal 5 2 6 7" xfId="4814" xr:uid="{00000000-0005-0000-0000-00005C190000}"/>
    <cellStyle name="Normal 5 2 6 7 2" xfId="13243" xr:uid="{FE413830-20EE-40F6-BFF8-1E35AE197996}"/>
    <cellStyle name="Normal 5 2 6 8" xfId="9025" xr:uid="{54B45A1A-4F4E-4411-AB5F-2E97D89A8266}"/>
    <cellStyle name="Normal 5 2 7" xfId="882" xr:uid="{00000000-0005-0000-0000-00005D190000}"/>
    <cellStyle name="Normal 5 2 7 2" xfId="3117" xr:uid="{00000000-0005-0000-0000-00005E190000}"/>
    <cellStyle name="Normal 5 2 7 2 2" xfId="7341" xr:uid="{00000000-0005-0000-0000-00005F190000}"/>
    <cellStyle name="Normal 5 2 7 2 2 2" xfId="15770" xr:uid="{271E37F1-5D2B-4FDB-BD77-127F6EE4C6A9}"/>
    <cellStyle name="Normal 5 2 7 2 3" xfId="11552" xr:uid="{9AB660ED-5F55-4A9F-B47B-AEFB5A49765D}"/>
    <cellStyle name="Normal 5 2 7 3" xfId="5196" xr:uid="{00000000-0005-0000-0000-000060190000}"/>
    <cellStyle name="Normal 5 2 7 3 2" xfId="13625" xr:uid="{D06C8E5B-4754-47D9-959D-2EE8199C4427}"/>
    <cellStyle name="Normal 5 2 7 4" xfId="9407" xr:uid="{9CAF76D7-1E96-42A6-863A-F9B10D4E892C}"/>
    <cellStyle name="Normal 5 2 8" xfId="1300" xr:uid="{00000000-0005-0000-0000-000061190000}"/>
    <cellStyle name="Normal 5 2 8 2" xfId="3530" xr:uid="{00000000-0005-0000-0000-000062190000}"/>
    <cellStyle name="Normal 5 2 8 2 2" xfId="7754" xr:uid="{00000000-0005-0000-0000-000063190000}"/>
    <cellStyle name="Normal 5 2 8 2 2 2" xfId="16183" xr:uid="{E619E787-671B-4AEB-A9AF-E6D20281F1DA}"/>
    <cellStyle name="Normal 5 2 8 2 3" xfId="11965" xr:uid="{3D944F26-DE11-4C8B-9021-6B67F10556BB}"/>
    <cellStyle name="Normal 5 2 8 3" xfId="5609" xr:uid="{00000000-0005-0000-0000-000064190000}"/>
    <cellStyle name="Normal 5 2 8 3 2" xfId="14038" xr:uid="{C662D9E2-6E40-48D3-9D7D-330383DCDE49}"/>
    <cellStyle name="Normal 5 2 8 4" xfId="9820" xr:uid="{E44FEA11-8146-4CAC-BC2A-4F4E4705D9F2}"/>
    <cellStyle name="Normal 5 2 9" xfId="1713" xr:uid="{00000000-0005-0000-0000-000065190000}"/>
    <cellStyle name="Normal 5 2 9 2" xfId="3943" xr:uid="{00000000-0005-0000-0000-000066190000}"/>
    <cellStyle name="Normal 5 2 9 2 2" xfId="8167" xr:uid="{00000000-0005-0000-0000-000067190000}"/>
    <cellStyle name="Normal 5 2 9 2 2 2" xfId="16596" xr:uid="{5848DFC8-D4D9-485F-B55F-D948B591954C}"/>
    <cellStyle name="Normal 5 2 9 2 3" xfId="12378" xr:uid="{C24CE917-0E59-4658-9573-59A95588E805}"/>
    <cellStyle name="Normal 5 2 9 3" xfId="6022" xr:uid="{00000000-0005-0000-0000-000068190000}"/>
    <cellStyle name="Normal 5 2 9 3 2" xfId="14451" xr:uid="{6054D9A9-0F1B-4C4A-99A6-1F5911B58809}"/>
    <cellStyle name="Normal 5 2 9 4" xfId="10233" xr:uid="{C94DC4FF-6A18-4D13-A1E9-54762DDBBAB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A55786C7-A406-4747-A77E-7B6AA291DF54}"/>
    <cellStyle name="Normal 5 3 10 2 3" xfId="12823" xr:uid="{EF246AC1-ABC3-49CA-9B35-4A38C5C628D8}"/>
    <cellStyle name="Normal 5 3 10 3" xfId="6467" xr:uid="{00000000-0005-0000-0000-00006D190000}"/>
    <cellStyle name="Normal 5 3 10 3 2" xfId="14896" xr:uid="{EC10BADB-162A-4243-BE56-60E3B7730705}"/>
    <cellStyle name="Normal 5 3 10 4" xfId="10678" xr:uid="{DC49DA92-567C-4AD6-909E-9845976F0EFB}"/>
    <cellStyle name="Normal 5 3 11" xfId="2595" xr:uid="{00000000-0005-0000-0000-00006E190000}"/>
    <cellStyle name="Normal 5 3 11 2" xfId="6880" xr:uid="{00000000-0005-0000-0000-00006F190000}"/>
    <cellStyle name="Normal 5 3 11 2 2" xfId="15309" xr:uid="{0922ED29-DC30-4535-BC90-BABBF5FB3A71}"/>
    <cellStyle name="Normal 5 3 11 3" xfId="11091" xr:uid="{2ADD33D9-4381-4CF6-AAB9-384E58A84ED5}"/>
    <cellStyle name="Normal 5 3 12" xfId="4815" xr:uid="{00000000-0005-0000-0000-000070190000}"/>
    <cellStyle name="Normal 5 3 12 2" xfId="13244" xr:uid="{A5ADDF65-4BCC-4D1B-8C8A-54EF82A30D9D}"/>
    <cellStyle name="Normal 5 3 13" xfId="9026" xr:uid="{2556ED7C-F627-4B3F-AC62-32949DC58FA6}"/>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88E7FD4C-642A-4403-B6EB-BA209A27C45D}"/>
    <cellStyle name="Normal 5 3 3 11" xfId="9027" xr:uid="{D7CC647B-1CAA-470C-843D-918894BC825D}"/>
    <cellStyle name="Normal 5 3 3 2" xfId="442" xr:uid="{00000000-0005-0000-0000-000075190000}"/>
    <cellStyle name="Normal 5 3 3 2 10" xfId="9028" xr:uid="{6D1BF197-C053-40AC-AC57-909208644FE9}"/>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9C18AB46-9723-4585-B69E-F947B59D8CEA}"/>
    <cellStyle name="Normal 5 3 3 2 2 2 2 2 3" xfId="11588" xr:uid="{4A87974A-232F-4AA7-93D6-655B78032D85}"/>
    <cellStyle name="Normal 5 3 3 2 2 2 2 3" xfId="5232" xr:uid="{00000000-0005-0000-0000-00007B190000}"/>
    <cellStyle name="Normal 5 3 3 2 2 2 2 3 2" xfId="13661" xr:uid="{CD9C3A91-5FD8-4EB7-ADE4-4F664DB29B5E}"/>
    <cellStyle name="Normal 5 3 3 2 2 2 2 4" xfId="9443" xr:uid="{3D8747C0-EEE8-4F32-A4A4-EBE640B44734}"/>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0E1980D4-4A7C-4F6A-98F9-B31D71721A29}"/>
    <cellStyle name="Normal 5 3 3 2 2 2 3 2 3" xfId="12001" xr:uid="{EA595127-3571-4A9B-8CA2-C6427FAE5280}"/>
    <cellStyle name="Normal 5 3 3 2 2 2 3 3" xfId="5645" xr:uid="{00000000-0005-0000-0000-00007F190000}"/>
    <cellStyle name="Normal 5 3 3 2 2 2 3 3 2" xfId="14074" xr:uid="{5AFF7F9C-711E-4F90-B8D6-AA93ABB70D95}"/>
    <cellStyle name="Normal 5 3 3 2 2 2 3 4" xfId="9856" xr:uid="{33D9331A-89BF-4DC5-87B9-2ABDEF8B7BD8}"/>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F7A7BEFE-4C05-4C84-98AE-8FC8F7DDCD91}"/>
    <cellStyle name="Normal 5 3 3 2 2 2 4 2 3" xfId="12414" xr:uid="{8968DEF6-F8E5-4439-9FC7-47E1B3C3D6A7}"/>
    <cellStyle name="Normal 5 3 3 2 2 2 4 3" xfId="6058" xr:uid="{00000000-0005-0000-0000-000083190000}"/>
    <cellStyle name="Normal 5 3 3 2 2 2 4 3 2" xfId="14487" xr:uid="{3EB7D9AE-FE5C-426F-9AA4-46847F990973}"/>
    <cellStyle name="Normal 5 3 3 2 2 2 4 4" xfId="10269" xr:uid="{26578E44-E61E-4F49-9044-0AE8C9195268}"/>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88BAB441-29EC-472A-8D88-3FB267ED08CD}"/>
    <cellStyle name="Normal 5 3 3 2 2 2 5 2 3" xfId="12827" xr:uid="{5F90AB75-CF26-4856-9258-58FC2A41E9B5}"/>
    <cellStyle name="Normal 5 3 3 2 2 2 5 3" xfId="6471" xr:uid="{00000000-0005-0000-0000-000087190000}"/>
    <cellStyle name="Normal 5 3 3 2 2 2 5 3 2" xfId="14900" xr:uid="{A4E51A58-99AD-4205-9A56-6F3CB0E27FB0}"/>
    <cellStyle name="Normal 5 3 3 2 2 2 5 4" xfId="10682" xr:uid="{DB6CD0ED-D858-4D67-A1EB-4B897F703945}"/>
    <cellStyle name="Normal 5 3 3 2 2 2 6" xfId="2599" xr:uid="{00000000-0005-0000-0000-000088190000}"/>
    <cellStyle name="Normal 5 3 3 2 2 2 6 2" xfId="6884" xr:uid="{00000000-0005-0000-0000-000089190000}"/>
    <cellStyle name="Normal 5 3 3 2 2 2 6 2 2" xfId="15313" xr:uid="{BE2F2005-FFAE-4B94-B39C-4E1C4B63AF41}"/>
    <cellStyle name="Normal 5 3 3 2 2 2 6 3" xfId="11095" xr:uid="{68247F6E-9013-4E7A-985B-2E767575ED6A}"/>
    <cellStyle name="Normal 5 3 3 2 2 2 7" xfId="4819" xr:uid="{00000000-0005-0000-0000-00008A190000}"/>
    <cellStyle name="Normal 5 3 3 2 2 2 7 2" xfId="13248" xr:uid="{B121EFA9-C12D-4719-A1C2-CBED6B5CB8CF}"/>
    <cellStyle name="Normal 5 3 3 2 2 2 8" xfId="9030" xr:uid="{EE06EC78-C3C4-442D-BDF9-F50A1DA3460F}"/>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8B6C2F96-9D56-4689-8265-5A0BDF46D63A}"/>
    <cellStyle name="Normal 5 3 3 2 2 3 2 3" xfId="11587" xr:uid="{1167C12A-E330-4FE8-83FD-F800060D9640}"/>
    <cellStyle name="Normal 5 3 3 2 2 3 3" xfId="5231" xr:uid="{00000000-0005-0000-0000-00008E190000}"/>
    <cellStyle name="Normal 5 3 3 2 2 3 3 2" xfId="13660" xr:uid="{64BB5C2E-0A0E-49A2-8FA2-F31CC06BD7D2}"/>
    <cellStyle name="Normal 5 3 3 2 2 3 4" xfId="9442" xr:uid="{29E7F58C-FF6E-4756-ABFC-681642C33977}"/>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15E40A4C-94F6-49A8-AB39-3D81C5C352A5}"/>
    <cellStyle name="Normal 5 3 3 2 2 4 2 3" xfId="12000" xr:uid="{154BD9ED-5353-4113-83F3-79155AAAFD0D}"/>
    <cellStyle name="Normal 5 3 3 2 2 4 3" xfId="5644" xr:uid="{00000000-0005-0000-0000-000092190000}"/>
    <cellStyle name="Normal 5 3 3 2 2 4 3 2" xfId="14073" xr:uid="{05D8070B-067A-466D-BC6F-7EE0277F35C7}"/>
    <cellStyle name="Normal 5 3 3 2 2 4 4" xfId="9855" xr:uid="{60EB53C4-9CCD-403F-9217-DAD1D188B26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BEFCA062-D16E-4A2C-A005-58BECCB9A6A9}"/>
    <cellStyle name="Normal 5 3 3 2 2 5 2 3" xfId="12413" xr:uid="{03F3D914-BD28-4B94-A190-8678DD2B81A1}"/>
    <cellStyle name="Normal 5 3 3 2 2 5 3" xfId="6057" xr:uid="{00000000-0005-0000-0000-000096190000}"/>
    <cellStyle name="Normal 5 3 3 2 2 5 3 2" xfId="14486" xr:uid="{03C1A137-CF43-4ADE-8FA5-BE4C58A2BF84}"/>
    <cellStyle name="Normal 5 3 3 2 2 5 4" xfId="10268" xr:uid="{B25BD826-DD29-4C12-A97C-C063569D95BA}"/>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6C40D8E8-A9B3-4F43-A8DE-179CA235801C}"/>
    <cellStyle name="Normal 5 3 3 2 2 6 2 3" xfId="12826" xr:uid="{00B93156-EA11-4726-8D7A-7FD618E6EA8F}"/>
    <cellStyle name="Normal 5 3 3 2 2 6 3" xfId="6470" xr:uid="{00000000-0005-0000-0000-00009A190000}"/>
    <cellStyle name="Normal 5 3 3 2 2 6 3 2" xfId="14899" xr:uid="{DEBD65B8-A938-4F67-B7B6-D0A505178EA3}"/>
    <cellStyle name="Normal 5 3 3 2 2 6 4" xfId="10681" xr:uid="{0BE3FDBF-1900-42BC-831A-72B10CA404A5}"/>
    <cellStyle name="Normal 5 3 3 2 2 7" xfId="2598" xr:uid="{00000000-0005-0000-0000-00009B190000}"/>
    <cellStyle name="Normal 5 3 3 2 2 7 2" xfId="6883" xr:uid="{00000000-0005-0000-0000-00009C190000}"/>
    <cellStyle name="Normal 5 3 3 2 2 7 2 2" xfId="15312" xr:uid="{11D557C5-0009-4CC5-A467-C9FF9A8D8E3F}"/>
    <cellStyle name="Normal 5 3 3 2 2 7 3" xfId="11094" xr:uid="{653FA389-7E42-4642-AA5B-E6A37721DFE7}"/>
    <cellStyle name="Normal 5 3 3 2 2 8" xfId="4818" xr:uid="{00000000-0005-0000-0000-00009D190000}"/>
    <cellStyle name="Normal 5 3 3 2 2 8 2" xfId="13247" xr:uid="{EBDA3D31-60DE-41C8-858F-0DA46F43295D}"/>
    <cellStyle name="Normal 5 3 3 2 2 9" xfId="9029" xr:uid="{7545B910-08C6-4AB3-8FB1-073EFCD6B61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17A48325-165B-424C-9DD8-E81406E49FE4}"/>
    <cellStyle name="Normal 5 3 3 2 3 2 2 3" xfId="11589" xr:uid="{00A36BBD-F201-4741-8662-648AC5BBEC81}"/>
    <cellStyle name="Normal 5 3 3 2 3 2 3" xfId="5233" xr:uid="{00000000-0005-0000-0000-0000A2190000}"/>
    <cellStyle name="Normal 5 3 3 2 3 2 3 2" xfId="13662" xr:uid="{27ECE923-B2B4-46D7-B12E-5E8EF9F3DBC0}"/>
    <cellStyle name="Normal 5 3 3 2 3 2 4" xfId="9444" xr:uid="{D8A311B3-2609-4B23-A6C4-DC3AC97412A8}"/>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C4376CAD-7923-4D6D-BF0C-E1A7D5321B9D}"/>
    <cellStyle name="Normal 5 3 3 2 3 3 2 3" xfId="12002" xr:uid="{15D1474A-991B-42A8-8F1F-061D5D79C82C}"/>
    <cellStyle name="Normal 5 3 3 2 3 3 3" xfId="5646" xr:uid="{00000000-0005-0000-0000-0000A6190000}"/>
    <cellStyle name="Normal 5 3 3 2 3 3 3 2" xfId="14075" xr:uid="{C3696D14-0899-4C46-AA0B-071B599A76B2}"/>
    <cellStyle name="Normal 5 3 3 2 3 3 4" xfId="9857" xr:uid="{CFB691B7-8159-4D57-B5B4-451535F2D8B3}"/>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CA166B7C-8B16-431D-9E3D-AA28320E6D7B}"/>
    <cellStyle name="Normal 5 3 3 2 3 4 2 3" xfId="12415" xr:uid="{BE790BB6-E3B1-479B-91C6-EFF505024B71}"/>
    <cellStyle name="Normal 5 3 3 2 3 4 3" xfId="6059" xr:uid="{00000000-0005-0000-0000-0000AA190000}"/>
    <cellStyle name="Normal 5 3 3 2 3 4 3 2" xfId="14488" xr:uid="{C37103DF-3E56-42E0-AECD-3489C021583C}"/>
    <cellStyle name="Normal 5 3 3 2 3 4 4" xfId="10270" xr:uid="{DEF3976D-8437-4D15-88D7-193B5AFFE2BC}"/>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D5F850DD-B80C-47EE-BB7B-FB94171E14AB}"/>
    <cellStyle name="Normal 5 3 3 2 3 5 2 3" xfId="12828" xr:uid="{32CE8206-54B3-4CF6-A3B1-254CB26BE4F2}"/>
    <cellStyle name="Normal 5 3 3 2 3 5 3" xfId="6472" xr:uid="{00000000-0005-0000-0000-0000AE190000}"/>
    <cellStyle name="Normal 5 3 3 2 3 5 3 2" xfId="14901" xr:uid="{0C25418C-BA90-45D7-9054-A69623D84280}"/>
    <cellStyle name="Normal 5 3 3 2 3 5 4" xfId="10683" xr:uid="{3C17833A-A03D-4F3B-B519-C473A9AA2CC0}"/>
    <cellStyle name="Normal 5 3 3 2 3 6" xfId="2600" xr:uid="{00000000-0005-0000-0000-0000AF190000}"/>
    <cellStyle name="Normal 5 3 3 2 3 6 2" xfId="6885" xr:uid="{00000000-0005-0000-0000-0000B0190000}"/>
    <cellStyle name="Normal 5 3 3 2 3 6 2 2" xfId="15314" xr:uid="{E44F768D-C36E-44B5-BF4E-FBB495A9AE9B}"/>
    <cellStyle name="Normal 5 3 3 2 3 6 3" xfId="11096" xr:uid="{BB260BB3-9B50-4071-81B7-F2B2FF302BB0}"/>
    <cellStyle name="Normal 5 3 3 2 3 7" xfId="4820" xr:uid="{00000000-0005-0000-0000-0000B1190000}"/>
    <cellStyle name="Normal 5 3 3 2 3 7 2" xfId="13249" xr:uid="{9E3F3419-2143-45FB-A28B-4F47629DF8DF}"/>
    <cellStyle name="Normal 5 3 3 2 3 8" xfId="9031" xr:uid="{DC2912F0-BA1E-4EC2-A30C-A176D7A4D81F}"/>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E99A9F63-4DB3-4C9C-AECF-9E35FBD28A04}"/>
    <cellStyle name="Normal 5 3 3 2 4 2 3" xfId="11586" xr:uid="{D65B7F42-9C6B-400E-B2AE-17E546D3A2D8}"/>
    <cellStyle name="Normal 5 3 3 2 4 3" xfId="5230" xr:uid="{00000000-0005-0000-0000-0000B5190000}"/>
    <cellStyle name="Normal 5 3 3 2 4 3 2" xfId="13659" xr:uid="{B926DED4-D1F0-4077-B93B-0E3240CCA23E}"/>
    <cellStyle name="Normal 5 3 3 2 4 4" xfId="9441" xr:uid="{CCC4D2B9-EF4A-4947-9BFB-091DADEC4910}"/>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0A510CD0-3D40-4EB7-8515-12C2F95066DB}"/>
    <cellStyle name="Normal 5 3 3 2 5 2 3" xfId="11999" xr:uid="{C10439C8-75BA-45C4-A2C0-0FD9108BD314}"/>
    <cellStyle name="Normal 5 3 3 2 5 3" xfId="5643" xr:uid="{00000000-0005-0000-0000-0000B9190000}"/>
    <cellStyle name="Normal 5 3 3 2 5 3 2" xfId="14072" xr:uid="{6B5DE34A-45B8-48CB-B397-AA127D410849}"/>
    <cellStyle name="Normal 5 3 3 2 5 4" xfId="9854" xr:uid="{4BEBD24A-913C-4572-9D2E-C9056323982E}"/>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A5A33BAB-BB3A-4278-8470-BB62FE129D43}"/>
    <cellStyle name="Normal 5 3 3 2 6 2 3" xfId="12412" xr:uid="{3A822A6D-CCA7-413F-9CC5-8664F2AA00C8}"/>
    <cellStyle name="Normal 5 3 3 2 6 3" xfId="6056" xr:uid="{00000000-0005-0000-0000-0000BD190000}"/>
    <cellStyle name="Normal 5 3 3 2 6 3 2" xfId="14485" xr:uid="{F01D8BCF-025A-4A34-BADB-2ABE8CE8B774}"/>
    <cellStyle name="Normal 5 3 3 2 6 4" xfId="10267" xr:uid="{937268E8-32F5-4EF2-818E-000359B0F8FC}"/>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83E5D482-35ED-410A-AAE9-5E479DFB412F}"/>
    <cellStyle name="Normal 5 3 3 2 7 2 3" xfId="12825" xr:uid="{0B8C4D54-76F1-4199-A394-C88AD2806C45}"/>
    <cellStyle name="Normal 5 3 3 2 7 3" xfId="6469" xr:uid="{00000000-0005-0000-0000-0000C1190000}"/>
    <cellStyle name="Normal 5 3 3 2 7 3 2" xfId="14898" xr:uid="{A2BFAFA9-AEFB-4398-A043-52F45864923A}"/>
    <cellStyle name="Normal 5 3 3 2 7 4" xfId="10680" xr:uid="{EB3D6164-97E5-448E-A05D-960BB3AC41AB}"/>
    <cellStyle name="Normal 5 3 3 2 8" xfId="2597" xr:uid="{00000000-0005-0000-0000-0000C2190000}"/>
    <cellStyle name="Normal 5 3 3 2 8 2" xfId="6882" xr:uid="{00000000-0005-0000-0000-0000C3190000}"/>
    <cellStyle name="Normal 5 3 3 2 8 2 2" xfId="15311" xr:uid="{C77AA64A-2506-42AF-86F2-E126FF422B9F}"/>
    <cellStyle name="Normal 5 3 3 2 8 3" xfId="11093" xr:uid="{9AC816BD-1B81-437D-A7C3-6876A6FF5862}"/>
    <cellStyle name="Normal 5 3 3 2 9" xfId="4817" xr:uid="{00000000-0005-0000-0000-0000C4190000}"/>
    <cellStyle name="Normal 5 3 3 2 9 2" xfId="13246" xr:uid="{E42010D2-1C4D-40D9-A7E7-39295FEA424B}"/>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C28CDE23-8DD6-4A9C-BA1E-26E34951D77C}"/>
    <cellStyle name="Normal 5 3 3 3 2 2 2 3" xfId="11591" xr:uid="{8BE38D49-D40A-4EE7-AAC1-5581A001F43E}"/>
    <cellStyle name="Normal 5 3 3 3 2 2 3" xfId="5235" xr:uid="{00000000-0005-0000-0000-0000CA190000}"/>
    <cellStyle name="Normal 5 3 3 3 2 2 3 2" xfId="13664" xr:uid="{01910708-BEFC-45D9-A2D0-42D786E8A3A6}"/>
    <cellStyle name="Normal 5 3 3 3 2 2 4" xfId="9446" xr:uid="{3F4BB2A8-B26A-46E4-B038-86D0F387132A}"/>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FEC58385-3D8D-45FA-9FD5-C2F336101B51}"/>
    <cellStyle name="Normal 5 3 3 3 2 3 2 3" xfId="12004" xr:uid="{1E5449BE-CF01-41A0-8996-69B2F83D1050}"/>
    <cellStyle name="Normal 5 3 3 3 2 3 3" xfId="5648" xr:uid="{00000000-0005-0000-0000-0000CE190000}"/>
    <cellStyle name="Normal 5 3 3 3 2 3 3 2" xfId="14077" xr:uid="{048487B9-E265-431A-A170-1689CA2EFB0A}"/>
    <cellStyle name="Normal 5 3 3 3 2 3 4" xfId="9859" xr:uid="{B1403F67-7030-4DC7-A011-C01F6F65A8D4}"/>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4C7CE521-E34C-4587-B30E-6B73D9DB2FEF}"/>
    <cellStyle name="Normal 5 3 3 3 2 4 2 3" xfId="12417" xr:uid="{14D9C8FF-C656-4891-93BF-D09A48BF02F0}"/>
    <cellStyle name="Normal 5 3 3 3 2 4 3" xfId="6061" xr:uid="{00000000-0005-0000-0000-0000D2190000}"/>
    <cellStyle name="Normal 5 3 3 3 2 4 3 2" xfId="14490" xr:uid="{2CA9D8B5-AAB8-4F8B-AF18-C5882950386C}"/>
    <cellStyle name="Normal 5 3 3 3 2 4 4" xfId="10272" xr:uid="{C425243B-45AF-4699-B620-BC92042AEE49}"/>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00A757A4-699B-442C-9F10-16127BA9122D}"/>
    <cellStyle name="Normal 5 3 3 3 2 5 2 3" xfId="12830" xr:uid="{552DA3EB-52DB-44EF-9C3E-975910189BCC}"/>
    <cellStyle name="Normal 5 3 3 3 2 5 3" xfId="6474" xr:uid="{00000000-0005-0000-0000-0000D6190000}"/>
    <cellStyle name="Normal 5 3 3 3 2 5 3 2" xfId="14903" xr:uid="{7270D16D-F289-4A64-AD47-D622AE5DD80D}"/>
    <cellStyle name="Normal 5 3 3 3 2 5 4" xfId="10685" xr:uid="{AF6DA1A5-9C0D-4905-94F5-1A12A9A3FDAA}"/>
    <cellStyle name="Normal 5 3 3 3 2 6" xfId="2602" xr:uid="{00000000-0005-0000-0000-0000D7190000}"/>
    <cellStyle name="Normal 5 3 3 3 2 6 2" xfId="6887" xr:uid="{00000000-0005-0000-0000-0000D8190000}"/>
    <cellStyle name="Normal 5 3 3 3 2 6 2 2" xfId="15316" xr:uid="{1006AA1A-8E4C-425E-9140-A08032F76D01}"/>
    <cellStyle name="Normal 5 3 3 3 2 6 3" xfId="11098" xr:uid="{289D9C18-7BF3-46BB-9A39-3F184F5440DB}"/>
    <cellStyle name="Normal 5 3 3 3 2 7" xfId="4822" xr:uid="{00000000-0005-0000-0000-0000D9190000}"/>
    <cellStyle name="Normal 5 3 3 3 2 7 2" xfId="13251" xr:uid="{7EF7A75F-2129-430A-B45C-D77E3BADBADC}"/>
    <cellStyle name="Normal 5 3 3 3 2 8" xfId="9033" xr:uid="{D87CB223-2AE5-4759-8FF8-D3301AF30C30}"/>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BEEB011B-949A-45F4-B830-6E8F4B6FC67B}"/>
    <cellStyle name="Normal 5 3 3 3 3 2 3" xfId="11590" xr:uid="{F7EF6D3E-E704-4E5A-A0CA-5F75CC044C05}"/>
    <cellStyle name="Normal 5 3 3 3 3 3" xfId="5234" xr:uid="{00000000-0005-0000-0000-0000DD190000}"/>
    <cellStyle name="Normal 5 3 3 3 3 3 2" xfId="13663" xr:uid="{70318B43-CB5C-4FC4-82A3-B4E86A16039E}"/>
    <cellStyle name="Normal 5 3 3 3 3 4" xfId="9445" xr:uid="{667DF56F-F4F9-4AA8-A231-30AEE9693157}"/>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240106B3-AA7A-48CE-8D6E-F166A3B7DA0B}"/>
    <cellStyle name="Normal 5 3 3 3 4 2 3" xfId="12003" xr:uid="{D26DCE80-A93D-40D8-A20A-1756320A7641}"/>
    <cellStyle name="Normal 5 3 3 3 4 3" xfId="5647" xr:uid="{00000000-0005-0000-0000-0000E1190000}"/>
    <cellStyle name="Normal 5 3 3 3 4 3 2" xfId="14076" xr:uid="{2D18B99A-BA52-4A5A-A312-1393DC848905}"/>
    <cellStyle name="Normal 5 3 3 3 4 4" xfId="9858" xr:uid="{06219566-5171-4B0B-A4C2-6362B8300926}"/>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5ECAA141-2ED3-4079-A4F2-ADC94643FDB4}"/>
    <cellStyle name="Normal 5 3 3 3 5 2 3" xfId="12416" xr:uid="{5E97ECE7-66EF-4B48-9F89-448DD3026E0F}"/>
    <cellStyle name="Normal 5 3 3 3 5 3" xfId="6060" xr:uid="{00000000-0005-0000-0000-0000E5190000}"/>
    <cellStyle name="Normal 5 3 3 3 5 3 2" xfId="14489" xr:uid="{5DBFD1A6-0062-49A0-927D-6AE38494E2D4}"/>
    <cellStyle name="Normal 5 3 3 3 5 4" xfId="10271" xr:uid="{899864E1-A2FC-43E2-8F67-036521277C7E}"/>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A6C01632-B00A-4884-9557-0A5F1BE2888B}"/>
    <cellStyle name="Normal 5 3 3 3 6 2 3" xfId="12829" xr:uid="{0F90A93D-F9A0-4367-BD62-97E48D055514}"/>
    <cellStyle name="Normal 5 3 3 3 6 3" xfId="6473" xr:uid="{00000000-0005-0000-0000-0000E9190000}"/>
    <cellStyle name="Normal 5 3 3 3 6 3 2" xfId="14902" xr:uid="{7C2D38F6-5325-4B00-8CD0-A9C06D1107AC}"/>
    <cellStyle name="Normal 5 3 3 3 6 4" xfId="10684" xr:uid="{926E18FE-2A54-4EF2-B69E-82C63A39B21D}"/>
    <cellStyle name="Normal 5 3 3 3 7" xfId="2601" xr:uid="{00000000-0005-0000-0000-0000EA190000}"/>
    <cellStyle name="Normal 5 3 3 3 7 2" xfId="6886" xr:uid="{00000000-0005-0000-0000-0000EB190000}"/>
    <cellStyle name="Normal 5 3 3 3 7 2 2" xfId="15315" xr:uid="{6F243F7B-CED6-42F6-80A9-B308FFA70ABA}"/>
    <cellStyle name="Normal 5 3 3 3 7 3" xfId="11097" xr:uid="{ACAFE823-8B87-49B8-B5FF-4A01D5610AD0}"/>
    <cellStyle name="Normal 5 3 3 3 8" xfId="4821" xr:uid="{00000000-0005-0000-0000-0000EC190000}"/>
    <cellStyle name="Normal 5 3 3 3 8 2" xfId="13250" xr:uid="{04F3374C-99CC-4C42-85B4-0AEA8C87E580}"/>
    <cellStyle name="Normal 5 3 3 3 9" xfId="9032" xr:uid="{204A152A-03E0-405E-A2F7-811BEA4975F5}"/>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C07E691A-5CB4-4452-9AA1-9A44DBD17A28}"/>
    <cellStyle name="Normal 5 3 3 4 2 2 3" xfId="11592" xr:uid="{83DD1791-2A21-419B-82BB-E9CEF0570DAC}"/>
    <cellStyle name="Normal 5 3 3 4 2 3" xfId="5236" xr:uid="{00000000-0005-0000-0000-0000F1190000}"/>
    <cellStyle name="Normal 5 3 3 4 2 3 2" xfId="13665" xr:uid="{4D1F5C9F-ECB8-4531-AA2A-B82CB788441F}"/>
    <cellStyle name="Normal 5 3 3 4 2 4" xfId="9447" xr:uid="{BFCCC5EC-CD12-4CFB-99F0-01FA677BE59E}"/>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B640409F-C895-4D13-9B5A-BAED2234F9C6}"/>
    <cellStyle name="Normal 5 3 3 4 3 2 3" xfId="12005" xr:uid="{7139ED0C-400A-455D-AB7F-F0DC36034667}"/>
    <cellStyle name="Normal 5 3 3 4 3 3" xfId="5649" xr:uid="{00000000-0005-0000-0000-0000F5190000}"/>
    <cellStyle name="Normal 5 3 3 4 3 3 2" xfId="14078" xr:uid="{4316C406-A9DD-4113-8573-3339717536EB}"/>
    <cellStyle name="Normal 5 3 3 4 3 4" xfId="9860" xr:uid="{2DCCAEEE-9CED-4D8C-ABD4-5EAA904EFBAF}"/>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E8C4A1FE-FF40-4784-BE43-E62A42970EB0}"/>
    <cellStyle name="Normal 5 3 3 4 4 2 3" xfId="12418" xr:uid="{D7C8CD0F-B38F-4FF2-BB1B-B6AE75A06C94}"/>
    <cellStyle name="Normal 5 3 3 4 4 3" xfId="6062" xr:uid="{00000000-0005-0000-0000-0000F9190000}"/>
    <cellStyle name="Normal 5 3 3 4 4 3 2" xfId="14491" xr:uid="{B5408AC3-72C4-4068-96B3-62334B2416E8}"/>
    <cellStyle name="Normal 5 3 3 4 4 4" xfId="10273" xr:uid="{652B3DC1-EA3D-417D-A52F-0002DC9DDAA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41A39DB5-CE6F-47B2-9C51-D7D1518D4453}"/>
    <cellStyle name="Normal 5 3 3 4 5 2 3" xfId="12831" xr:uid="{F0579483-0A8E-47D5-BF53-F48D5D7A5467}"/>
    <cellStyle name="Normal 5 3 3 4 5 3" xfId="6475" xr:uid="{00000000-0005-0000-0000-0000FD190000}"/>
    <cellStyle name="Normal 5 3 3 4 5 3 2" xfId="14904" xr:uid="{59999C80-4C84-44FA-AB5E-B5C76A8AAE81}"/>
    <cellStyle name="Normal 5 3 3 4 5 4" xfId="10686" xr:uid="{B61CC440-21A1-4547-ABDB-E6217456D1B6}"/>
    <cellStyle name="Normal 5 3 3 4 6" xfId="2603" xr:uid="{00000000-0005-0000-0000-0000FE190000}"/>
    <cellStyle name="Normal 5 3 3 4 6 2" xfId="6888" xr:uid="{00000000-0005-0000-0000-0000FF190000}"/>
    <cellStyle name="Normal 5 3 3 4 6 2 2" xfId="15317" xr:uid="{785027C3-C657-45DE-BCAC-81C67344E942}"/>
    <cellStyle name="Normal 5 3 3 4 6 3" xfId="11099" xr:uid="{FBFDFEAF-A9B2-47B5-BAD2-7096DE7FC3EF}"/>
    <cellStyle name="Normal 5 3 3 4 7" xfId="4823" xr:uid="{00000000-0005-0000-0000-0000001A0000}"/>
    <cellStyle name="Normal 5 3 3 4 7 2" xfId="13252" xr:uid="{0BC02A33-4C7F-4AC1-96AA-3E489AECE079}"/>
    <cellStyle name="Normal 5 3 3 4 8" xfId="9034" xr:uid="{48BB49FC-72A9-46D3-B7FD-CF50D5E9EDF5}"/>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3445A4E1-ABE8-44C0-8D23-BE19C8DB6D05}"/>
    <cellStyle name="Normal 5 3 3 5 2 3" xfId="11585" xr:uid="{D2D14C88-76B9-4492-A601-D6D89FF5F80A}"/>
    <cellStyle name="Normal 5 3 3 5 3" xfId="5229" xr:uid="{00000000-0005-0000-0000-0000041A0000}"/>
    <cellStyle name="Normal 5 3 3 5 3 2" xfId="13658" xr:uid="{76DAFA91-86CA-46BD-98B9-EBF50E0E98F9}"/>
    <cellStyle name="Normal 5 3 3 5 4" xfId="9440" xr:uid="{4BD5C7FC-1804-4252-A716-6509DE895D5A}"/>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8E525D2C-0BD7-40BB-B1FE-70071311DDF3}"/>
    <cellStyle name="Normal 5 3 3 6 2 3" xfId="11998" xr:uid="{02083E6B-6D1E-462D-A1D0-8FC7DDDEEEEA}"/>
    <cellStyle name="Normal 5 3 3 6 3" xfId="5642" xr:uid="{00000000-0005-0000-0000-0000081A0000}"/>
    <cellStyle name="Normal 5 3 3 6 3 2" xfId="14071" xr:uid="{5F394F95-FE00-41DD-B3AF-29CE7704BAED}"/>
    <cellStyle name="Normal 5 3 3 6 4" xfId="9853" xr:uid="{AF955176-7507-4D64-91C4-B1AF665CB1D1}"/>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ACFD81AA-4561-4D07-B1B2-8FE8D0DDC2C6}"/>
    <cellStyle name="Normal 5 3 3 7 2 3" xfId="12411" xr:uid="{9EB71EA4-09B2-4C3A-A7F2-2F7B8DB9202D}"/>
    <cellStyle name="Normal 5 3 3 7 3" xfId="6055" xr:uid="{00000000-0005-0000-0000-00000C1A0000}"/>
    <cellStyle name="Normal 5 3 3 7 3 2" xfId="14484" xr:uid="{7FF7BE8C-D226-4A81-9D14-129CA827A2B6}"/>
    <cellStyle name="Normal 5 3 3 7 4" xfId="10266" xr:uid="{07EDF2DE-B8B8-4507-B3FA-7C50C545DC92}"/>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D2B05315-657F-47B3-ADE5-DE001EF9EC7A}"/>
    <cellStyle name="Normal 5 3 3 8 2 3" xfId="12824" xr:uid="{BB16D22F-3C16-4B16-8FEE-D1274DFDA4C3}"/>
    <cellStyle name="Normal 5 3 3 8 3" xfId="6468" xr:uid="{00000000-0005-0000-0000-0000101A0000}"/>
    <cellStyle name="Normal 5 3 3 8 3 2" xfId="14897" xr:uid="{73284097-F2BD-461B-A3D0-20820FBDBFBD}"/>
    <cellStyle name="Normal 5 3 3 8 4" xfId="10679" xr:uid="{1B4FB120-285F-47FE-942B-DAD03E577062}"/>
    <cellStyle name="Normal 5 3 3 9" xfId="2596" xr:uid="{00000000-0005-0000-0000-0000111A0000}"/>
    <cellStyle name="Normal 5 3 3 9 2" xfId="6881" xr:uid="{00000000-0005-0000-0000-0000121A0000}"/>
    <cellStyle name="Normal 5 3 3 9 2 2" xfId="15310" xr:uid="{E1F57C8B-CA02-47CC-83D3-F609BA9B0DE3}"/>
    <cellStyle name="Normal 5 3 3 9 3" xfId="11092" xr:uid="{1FAF49F7-B346-4A53-8F95-84455D75A546}"/>
    <cellStyle name="Normal 5 3 4" xfId="449" xr:uid="{00000000-0005-0000-0000-0000131A0000}"/>
    <cellStyle name="Normal 5 3 4 10" xfId="9035" xr:uid="{55E6E46C-2AAC-4813-9E96-5E38890CB206}"/>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62342B9D-378B-4797-A226-178191C9EE24}"/>
    <cellStyle name="Normal 5 3 4 2 2 2 2 3" xfId="11595" xr:uid="{7237699B-1B28-4D7D-8AD9-E4E5A508AE9B}"/>
    <cellStyle name="Normal 5 3 4 2 2 2 3" xfId="5239" xr:uid="{00000000-0005-0000-0000-0000191A0000}"/>
    <cellStyle name="Normal 5 3 4 2 2 2 3 2" xfId="13668" xr:uid="{6B3AFD3E-66CD-4592-814F-419550F5C428}"/>
    <cellStyle name="Normal 5 3 4 2 2 2 4" xfId="9450" xr:uid="{04D50052-3425-4EE1-8725-C6297BC550DE}"/>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79211950-503B-4F6C-A86B-922568F1082F}"/>
    <cellStyle name="Normal 5 3 4 2 2 3 2 3" xfId="12008" xr:uid="{E1F2DC61-466F-4D78-8AD4-4F9F596AE772}"/>
    <cellStyle name="Normal 5 3 4 2 2 3 3" xfId="5652" xr:uid="{00000000-0005-0000-0000-00001D1A0000}"/>
    <cellStyle name="Normal 5 3 4 2 2 3 3 2" xfId="14081" xr:uid="{68C01ED4-4E6E-4718-9E29-8FD1A5AAF5E5}"/>
    <cellStyle name="Normal 5 3 4 2 2 3 4" xfId="9863" xr:uid="{74711449-015D-48AE-834F-7B7BB5886C48}"/>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7F655555-EA3F-4544-A0CA-B4A335EF279C}"/>
    <cellStyle name="Normal 5 3 4 2 2 4 2 3" xfId="12421" xr:uid="{0DCA19C3-E608-46F8-AA4C-5CD2A10E3805}"/>
    <cellStyle name="Normal 5 3 4 2 2 4 3" xfId="6065" xr:uid="{00000000-0005-0000-0000-0000211A0000}"/>
    <cellStyle name="Normal 5 3 4 2 2 4 3 2" xfId="14494" xr:uid="{FF87FA7F-4150-4356-97F0-0129806824E7}"/>
    <cellStyle name="Normal 5 3 4 2 2 4 4" xfId="10276" xr:uid="{B1B749D6-30F4-44EF-87E8-D908B438FCC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F2489795-374C-4C7C-B548-D27A913C6CC7}"/>
    <cellStyle name="Normal 5 3 4 2 2 5 2 3" xfId="12834" xr:uid="{424B634E-7B35-4C5C-8C1D-A625DD602B0F}"/>
    <cellStyle name="Normal 5 3 4 2 2 5 3" xfId="6478" xr:uid="{00000000-0005-0000-0000-0000251A0000}"/>
    <cellStyle name="Normal 5 3 4 2 2 5 3 2" xfId="14907" xr:uid="{00E99ABD-C228-41ED-AFED-63A7F7CE9CB7}"/>
    <cellStyle name="Normal 5 3 4 2 2 5 4" xfId="10689" xr:uid="{C5C16762-3263-46D4-AE88-762D0DE37086}"/>
    <cellStyle name="Normal 5 3 4 2 2 6" xfId="2606" xr:uid="{00000000-0005-0000-0000-0000261A0000}"/>
    <cellStyle name="Normal 5 3 4 2 2 6 2" xfId="6891" xr:uid="{00000000-0005-0000-0000-0000271A0000}"/>
    <cellStyle name="Normal 5 3 4 2 2 6 2 2" xfId="15320" xr:uid="{011E6F1E-B5E9-4E0C-A53D-F2F21FDAE403}"/>
    <cellStyle name="Normal 5 3 4 2 2 6 3" xfId="11102" xr:uid="{73BFD93F-1EBB-4A4C-B2A8-D5448F5ECC4D}"/>
    <cellStyle name="Normal 5 3 4 2 2 7" xfId="4826" xr:uid="{00000000-0005-0000-0000-0000281A0000}"/>
    <cellStyle name="Normal 5 3 4 2 2 7 2" xfId="13255" xr:uid="{8EAD02D0-3C85-4CCB-98D0-80C8FF56AD05}"/>
    <cellStyle name="Normal 5 3 4 2 2 8" xfId="9037" xr:uid="{ED93F031-E8C7-4235-8456-2669E7534BD9}"/>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0DCF2D1F-3FA4-4B05-A2DA-ADFAB5CA95F7}"/>
    <cellStyle name="Normal 5 3 4 2 3 2 3" xfId="11594" xr:uid="{55BB8FE6-8104-4A92-ACE5-303E2ABB774F}"/>
    <cellStyle name="Normal 5 3 4 2 3 3" xfId="5238" xr:uid="{00000000-0005-0000-0000-00002C1A0000}"/>
    <cellStyle name="Normal 5 3 4 2 3 3 2" xfId="13667" xr:uid="{FCDD5D70-7B64-4CAC-9332-E0B80617A4EC}"/>
    <cellStyle name="Normal 5 3 4 2 3 4" xfId="9449" xr:uid="{395D591D-7E59-48B3-90D1-92461DE6AF67}"/>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3B349058-8F93-4152-88FF-1C271BF9F960}"/>
    <cellStyle name="Normal 5 3 4 2 4 2 3" xfId="12007" xr:uid="{DB3C5832-473F-4169-BBD3-27760925EAC2}"/>
    <cellStyle name="Normal 5 3 4 2 4 3" xfId="5651" xr:uid="{00000000-0005-0000-0000-0000301A0000}"/>
    <cellStyle name="Normal 5 3 4 2 4 3 2" xfId="14080" xr:uid="{05B03FA9-54FD-44EC-98EC-87A94F2550EB}"/>
    <cellStyle name="Normal 5 3 4 2 4 4" xfId="9862" xr:uid="{54C9B9D1-381A-45B7-A5BC-4D9CAE4CD561}"/>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92036BFD-CEB0-48EB-A10E-1C1739D3A5F4}"/>
    <cellStyle name="Normal 5 3 4 2 5 2 3" xfId="12420" xr:uid="{F590874C-F510-4E69-A307-DA331D45BAA9}"/>
    <cellStyle name="Normal 5 3 4 2 5 3" xfId="6064" xr:uid="{00000000-0005-0000-0000-0000341A0000}"/>
    <cellStyle name="Normal 5 3 4 2 5 3 2" xfId="14493" xr:uid="{5E18C114-B398-4161-9FC0-91A6B8AA2E74}"/>
    <cellStyle name="Normal 5 3 4 2 5 4" xfId="10275" xr:uid="{C27C2274-698D-45C3-9100-25319BE08AF1}"/>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DBE06EB6-EDB8-447C-A322-FEBD58F73BAA}"/>
    <cellStyle name="Normal 5 3 4 2 6 2 3" xfId="12833" xr:uid="{B4127789-6F1E-443E-8909-2A300EB788B8}"/>
    <cellStyle name="Normal 5 3 4 2 6 3" xfId="6477" xr:uid="{00000000-0005-0000-0000-0000381A0000}"/>
    <cellStyle name="Normal 5 3 4 2 6 3 2" xfId="14906" xr:uid="{A6A576C0-24D4-43E8-A533-30DD55F5548B}"/>
    <cellStyle name="Normal 5 3 4 2 6 4" xfId="10688" xr:uid="{F7E64E56-7C21-4D5E-9674-150F21C973B2}"/>
    <cellStyle name="Normal 5 3 4 2 7" xfId="2605" xr:uid="{00000000-0005-0000-0000-0000391A0000}"/>
    <cellStyle name="Normal 5 3 4 2 7 2" xfId="6890" xr:uid="{00000000-0005-0000-0000-00003A1A0000}"/>
    <cellStyle name="Normal 5 3 4 2 7 2 2" xfId="15319" xr:uid="{A7263F08-86F6-44CE-B3F0-F9114AA3E925}"/>
    <cellStyle name="Normal 5 3 4 2 7 3" xfId="11101" xr:uid="{2726BDD1-1C9A-48E1-B4E3-699A52CA841C}"/>
    <cellStyle name="Normal 5 3 4 2 8" xfId="4825" xr:uid="{00000000-0005-0000-0000-00003B1A0000}"/>
    <cellStyle name="Normal 5 3 4 2 8 2" xfId="13254" xr:uid="{053CE5A5-D7F6-4D6D-8AEA-9051C93D6285}"/>
    <cellStyle name="Normal 5 3 4 2 9" xfId="9036" xr:uid="{1CE0C449-0213-42A4-8176-7D708158EA3C}"/>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4723E70D-6B80-4C21-9B9F-36209901922D}"/>
    <cellStyle name="Normal 5 3 4 3 2 2 3" xfId="11596" xr:uid="{DAAE3F9A-5919-492F-8C99-312E3B0D934B}"/>
    <cellStyle name="Normal 5 3 4 3 2 3" xfId="5240" xr:uid="{00000000-0005-0000-0000-0000401A0000}"/>
    <cellStyle name="Normal 5 3 4 3 2 3 2" xfId="13669" xr:uid="{9062FE26-D601-4126-95E7-2B5A91846E24}"/>
    <cellStyle name="Normal 5 3 4 3 2 4" xfId="9451" xr:uid="{A69FB3DB-8BF8-48F0-917C-21590997F0C6}"/>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511D0730-F4FC-4200-A3B9-AD9CE0FC4920}"/>
    <cellStyle name="Normal 5 3 4 3 3 2 3" xfId="12009" xr:uid="{818DD91D-56B0-4599-9C3F-3FC310E3C8CA}"/>
    <cellStyle name="Normal 5 3 4 3 3 3" xfId="5653" xr:uid="{00000000-0005-0000-0000-0000441A0000}"/>
    <cellStyle name="Normal 5 3 4 3 3 3 2" xfId="14082" xr:uid="{EBD75E45-697A-421F-8800-5429F435B8B2}"/>
    <cellStyle name="Normal 5 3 4 3 3 4" xfId="9864" xr:uid="{F58416CD-8FD9-47A7-8361-F3E203591813}"/>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F03487D9-D1A8-4B97-B34D-3446F49295E6}"/>
    <cellStyle name="Normal 5 3 4 3 4 2 3" xfId="12422" xr:uid="{8E317FE9-82C6-4B69-AA22-634A0661528F}"/>
    <cellStyle name="Normal 5 3 4 3 4 3" xfId="6066" xr:uid="{00000000-0005-0000-0000-0000481A0000}"/>
    <cellStyle name="Normal 5 3 4 3 4 3 2" xfId="14495" xr:uid="{B85465D3-C7D3-4DFA-9E43-9D2C68AA1517}"/>
    <cellStyle name="Normal 5 3 4 3 4 4" xfId="10277" xr:uid="{868ED227-7D38-4C07-972D-355A34788CD9}"/>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DC9778EC-07C8-4A55-ADC2-F3E801D648A5}"/>
    <cellStyle name="Normal 5 3 4 3 5 2 3" xfId="12835" xr:uid="{20CD6BD8-7246-4138-A807-AE8E8BD3080F}"/>
    <cellStyle name="Normal 5 3 4 3 5 3" xfId="6479" xr:uid="{00000000-0005-0000-0000-00004C1A0000}"/>
    <cellStyle name="Normal 5 3 4 3 5 3 2" xfId="14908" xr:uid="{203816C7-AE19-49E8-BAED-B47A8A9ECB7E}"/>
    <cellStyle name="Normal 5 3 4 3 5 4" xfId="10690" xr:uid="{945B2F80-573F-4CE4-8D20-44658B7223FB}"/>
    <cellStyle name="Normal 5 3 4 3 6" xfId="2607" xr:uid="{00000000-0005-0000-0000-00004D1A0000}"/>
    <cellStyle name="Normal 5 3 4 3 6 2" xfId="6892" xr:uid="{00000000-0005-0000-0000-00004E1A0000}"/>
    <cellStyle name="Normal 5 3 4 3 6 2 2" xfId="15321" xr:uid="{2879C41C-E4CD-4B5B-9290-B6A6E0AAE12A}"/>
    <cellStyle name="Normal 5 3 4 3 6 3" xfId="11103" xr:uid="{26B13E9B-C260-48B1-BFF4-1263ED7F3CAD}"/>
    <cellStyle name="Normal 5 3 4 3 7" xfId="4827" xr:uid="{00000000-0005-0000-0000-00004F1A0000}"/>
    <cellStyle name="Normal 5 3 4 3 7 2" xfId="13256" xr:uid="{8C90DF1C-4137-401C-8903-A9682541A87A}"/>
    <cellStyle name="Normal 5 3 4 3 8" xfId="9038" xr:uid="{C2F91D3C-576E-4873-8F55-79AFCF80DCC9}"/>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3CC3A508-9F58-4214-9D49-3544A5ED58BE}"/>
    <cellStyle name="Normal 5 3 4 4 2 3" xfId="11593" xr:uid="{D19E8575-29D4-4797-878B-66ABA63CBBB0}"/>
    <cellStyle name="Normal 5 3 4 4 3" xfId="5237" xr:uid="{00000000-0005-0000-0000-0000531A0000}"/>
    <cellStyle name="Normal 5 3 4 4 3 2" xfId="13666" xr:uid="{756B4049-0EEC-4C04-81D5-7567D6248786}"/>
    <cellStyle name="Normal 5 3 4 4 4" xfId="9448" xr:uid="{9A360E14-E4BD-4E19-86AE-3F8F7FC375D1}"/>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46D42830-3508-4ABF-89DD-75106C5AEF10}"/>
    <cellStyle name="Normal 5 3 4 5 2 3" xfId="12006" xr:uid="{028597F4-371B-48D8-A56B-B8E52933EFFA}"/>
    <cellStyle name="Normal 5 3 4 5 3" xfId="5650" xr:uid="{00000000-0005-0000-0000-0000571A0000}"/>
    <cellStyle name="Normal 5 3 4 5 3 2" xfId="14079" xr:uid="{B3624B7C-9CE3-4552-9730-3CC6981E7A3B}"/>
    <cellStyle name="Normal 5 3 4 5 4" xfId="9861" xr:uid="{1048E2CF-248A-4447-ABB7-7F9514CA9139}"/>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E16B427E-31AE-4C66-88CF-81539A1975BD}"/>
    <cellStyle name="Normal 5 3 4 6 2 3" xfId="12419" xr:uid="{3088B213-F2B8-4194-ABE2-4B1BB0F40DBB}"/>
    <cellStyle name="Normal 5 3 4 6 3" xfId="6063" xr:uid="{00000000-0005-0000-0000-00005B1A0000}"/>
    <cellStyle name="Normal 5 3 4 6 3 2" xfId="14492" xr:uid="{154B34E4-2132-4388-9EC1-102EF5E99AE2}"/>
    <cellStyle name="Normal 5 3 4 6 4" xfId="10274" xr:uid="{80F30948-09D2-4E91-B186-3FD5394EAEBE}"/>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CF5A9485-A409-4B42-A6B8-2767F05F694C}"/>
    <cellStyle name="Normal 5 3 4 7 2 3" xfId="12832" xr:uid="{37AD24C0-B3FD-4127-8580-158B1EA0F2F1}"/>
    <cellStyle name="Normal 5 3 4 7 3" xfId="6476" xr:uid="{00000000-0005-0000-0000-00005F1A0000}"/>
    <cellStyle name="Normal 5 3 4 7 3 2" xfId="14905" xr:uid="{05B48F4B-6FC7-4F2A-B20B-FD5471E849D4}"/>
    <cellStyle name="Normal 5 3 4 7 4" xfId="10687" xr:uid="{3651417C-A286-4DC3-B407-1361EEC5BB7F}"/>
    <cellStyle name="Normal 5 3 4 8" xfId="2604" xr:uid="{00000000-0005-0000-0000-0000601A0000}"/>
    <cellStyle name="Normal 5 3 4 8 2" xfId="6889" xr:uid="{00000000-0005-0000-0000-0000611A0000}"/>
    <cellStyle name="Normal 5 3 4 8 2 2" xfId="15318" xr:uid="{A88E63EC-F9A7-4B4C-AAF9-227E6D1F397B}"/>
    <cellStyle name="Normal 5 3 4 8 3" xfId="11100" xr:uid="{E24BA4FA-E36B-4B92-B7A6-61672E88D453}"/>
    <cellStyle name="Normal 5 3 4 9" xfId="4824" xr:uid="{00000000-0005-0000-0000-0000621A0000}"/>
    <cellStyle name="Normal 5 3 4 9 2" xfId="13253" xr:uid="{D6AD16AB-E826-489F-9AF7-247CB8BD645B}"/>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B520CFDB-D1A5-4C95-8FC4-1A0D4DA74494}"/>
    <cellStyle name="Normal 5 3 5 2 2 2 3" xfId="11598" xr:uid="{B2896BC5-FD3A-4A43-BC3D-7997713E0111}"/>
    <cellStyle name="Normal 5 3 5 2 2 3" xfId="5242" xr:uid="{00000000-0005-0000-0000-0000681A0000}"/>
    <cellStyle name="Normal 5 3 5 2 2 3 2" xfId="13671" xr:uid="{0627A565-480F-40B2-B65D-52F2630B2CA5}"/>
    <cellStyle name="Normal 5 3 5 2 2 4" xfId="9453" xr:uid="{9362E186-A306-4219-9FA0-CD27E2F26DDD}"/>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FCCD43EE-DC90-4F3E-95CD-AF5786E8736E}"/>
    <cellStyle name="Normal 5 3 5 2 3 2 3" xfId="12011" xr:uid="{A6A47264-EC19-42C6-8E76-36E698721C9F}"/>
    <cellStyle name="Normal 5 3 5 2 3 3" xfId="5655" xr:uid="{00000000-0005-0000-0000-00006C1A0000}"/>
    <cellStyle name="Normal 5 3 5 2 3 3 2" xfId="14084" xr:uid="{69849A87-BEAD-4EA3-8811-16B9CE612770}"/>
    <cellStyle name="Normal 5 3 5 2 3 4" xfId="9866" xr:uid="{D55060A6-C676-4DB1-A7ED-BDAE74380B90}"/>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33F8182-1EFB-4004-968A-0E1A8E3D82E1}"/>
    <cellStyle name="Normal 5 3 5 2 4 2 3" xfId="12424" xr:uid="{A98E5405-2D24-4E7D-AA3A-746474888D29}"/>
    <cellStyle name="Normal 5 3 5 2 4 3" xfId="6068" xr:uid="{00000000-0005-0000-0000-0000701A0000}"/>
    <cellStyle name="Normal 5 3 5 2 4 3 2" xfId="14497" xr:uid="{5B17B506-A082-483F-BB79-55D4FC081E37}"/>
    <cellStyle name="Normal 5 3 5 2 4 4" xfId="10279" xr:uid="{CE90FD90-216A-4E74-940B-8EE6C974AEED}"/>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C89F92B5-717C-4DA8-8D3C-FE6F7BDB725A}"/>
    <cellStyle name="Normal 5 3 5 2 5 2 3" xfId="12837" xr:uid="{DE5B7129-AA44-4C20-91EE-CBAA6E49478B}"/>
    <cellStyle name="Normal 5 3 5 2 5 3" xfId="6481" xr:uid="{00000000-0005-0000-0000-0000741A0000}"/>
    <cellStyle name="Normal 5 3 5 2 5 3 2" xfId="14910" xr:uid="{6B5B641B-C0C3-4C79-9C11-7D6D647C18C0}"/>
    <cellStyle name="Normal 5 3 5 2 5 4" xfId="10692" xr:uid="{E32FF5F7-D2E8-4C09-A17D-3763E615477C}"/>
    <cellStyle name="Normal 5 3 5 2 6" xfId="2609" xr:uid="{00000000-0005-0000-0000-0000751A0000}"/>
    <cellStyle name="Normal 5 3 5 2 6 2" xfId="6894" xr:uid="{00000000-0005-0000-0000-0000761A0000}"/>
    <cellStyle name="Normal 5 3 5 2 6 2 2" xfId="15323" xr:uid="{8481C57B-0E15-47CA-B9B6-2DDE79F7A643}"/>
    <cellStyle name="Normal 5 3 5 2 6 3" xfId="11105" xr:uid="{B8F1478F-B772-481D-A2BC-A1440E81638F}"/>
    <cellStyle name="Normal 5 3 5 2 7" xfId="4829" xr:uid="{00000000-0005-0000-0000-0000771A0000}"/>
    <cellStyle name="Normal 5 3 5 2 7 2" xfId="13258" xr:uid="{C7D50274-C2F5-4EA2-B690-3DC3C93FD2E2}"/>
    <cellStyle name="Normal 5 3 5 2 8" xfId="9040" xr:uid="{ACEA970F-77C4-489D-AE58-0FDE357D4C09}"/>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93342B4A-3569-4A3E-90AB-5D2F2D7128C8}"/>
    <cellStyle name="Normal 5 3 5 3 2 3" xfId="11597" xr:uid="{48120AB0-4CB9-483C-9D66-4AB7DA07C653}"/>
    <cellStyle name="Normal 5 3 5 3 3" xfId="5241" xr:uid="{00000000-0005-0000-0000-00007B1A0000}"/>
    <cellStyle name="Normal 5 3 5 3 3 2" xfId="13670" xr:uid="{E6A092D1-BF41-4DA2-95FE-3E0DF20A4C81}"/>
    <cellStyle name="Normal 5 3 5 3 4" xfId="9452" xr:uid="{D432C006-C22A-47F3-B951-0008767FF99F}"/>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C6E979F2-6921-4BB9-A7DE-F4204029CA9A}"/>
    <cellStyle name="Normal 5 3 5 4 2 3" xfId="12010" xr:uid="{E71F674E-0ED7-44B6-B930-6794A40856A5}"/>
    <cellStyle name="Normal 5 3 5 4 3" xfId="5654" xr:uid="{00000000-0005-0000-0000-00007F1A0000}"/>
    <cellStyle name="Normal 5 3 5 4 3 2" xfId="14083" xr:uid="{330C5441-46A9-4DDE-BE28-F2B757564671}"/>
    <cellStyle name="Normal 5 3 5 4 4" xfId="9865" xr:uid="{85642791-0A3D-48A7-89AB-F7D1474D2243}"/>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66602C19-5549-4683-BCC1-6A5DF612489A}"/>
    <cellStyle name="Normal 5 3 5 5 2 3" xfId="12423" xr:uid="{2381E54E-4927-40A5-9E0F-D111B758C7EF}"/>
    <cellStyle name="Normal 5 3 5 5 3" xfId="6067" xr:uid="{00000000-0005-0000-0000-0000831A0000}"/>
    <cellStyle name="Normal 5 3 5 5 3 2" xfId="14496" xr:uid="{7D44138C-E120-4D3E-B2D4-E82096348DA4}"/>
    <cellStyle name="Normal 5 3 5 5 4" xfId="10278" xr:uid="{646D7B0A-83E7-45FD-A275-F6F021C303E5}"/>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A8494917-9AE1-418C-AC70-92FA455415B9}"/>
    <cellStyle name="Normal 5 3 5 6 2 3" xfId="12836" xr:uid="{D7F2A78D-7883-496E-95F0-8DB49CFDD209}"/>
    <cellStyle name="Normal 5 3 5 6 3" xfId="6480" xr:uid="{00000000-0005-0000-0000-0000871A0000}"/>
    <cellStyle name="Normal 5 3 5 6 3 2" xfId="14909" xr:uid="{41AB0D71-DF6F-4FCC-8685-6624672815DE}"/>
    <cellStyle name="Normal 5 3 5 6 4" xfId="10691" xr:uid="{AA375D74-EA07-4F02-8DAB-ADC12E2ABBB9}"/>
    <cellStyle name="Normal 5 3 5 7" xfId="2608" xr:uid="{00000000-0005-0000-0000-0000881A0000}"/>
    <cellStyle name="Normal 5 3 5 7 2" xfId="6893" xr:uid="{00000000-0005-0000-0000-0000891A0000}"/>
    <cellStyle name="Normal 5 3 5 7 2 2" xfId="15322" xr:uid="{60B9E390-B241-4395-B054-7352BE3172D3}"/>
    <cellStyle name="Normal 5 3 5 7 3" xfId="11104" xr:uid="{69E08266-3FFC-421A-9882-1D63DD415818}"/>
    <cellStyle name="Normal 5 3 5 8" xfId="4828" xr:uid="{00000000-0005-0000-0000-00008A1A0000}"/>
    <cellStyle name="Normal 5 3 5 8 2" xfId="13257" xr:uid="{B7501FFB-51B1-4E77-A82C-F6B5DD8EA7DA}"/>
    <cellStyle name="Normal 5 3 5 9" xfId="9039" xr:uid="{57EAB140-514B-4246-B04B-5044D1BFA755}"/>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C394BAC7-F19D-4D3E-AC53-A3B08714EFA9}"/>
    <cellStyle name="Normal 5 3 6 2 2 3" xfId="11599" xr:uid="{A510855E-C009-421F-8CB6-DFE88DD1E63F}"/>
    <cellStyle name="Normal 5 3 6 2 3" xfId="5243" xr:uid="{00000000-0005-0000-0000-00008F1A0000}"/>
    <cellStyle name="Normal 5 3 6 2 3 2" xfId="13672" xr:uid="{7F4FA4B4-01A9-4508-A31B-BF4996E16E0F}"/>
    <cellStyle name="Normal 5 3 6 2 4" xfId="9454" xr:uid="{EB500A4D-DF6C-4D31-9C55-35FAB84D7407}"/>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B11BD9AB-AFC1-41AD-AC0B-67F8C7B43884}"/>
    <cellStyle name="Normal 5 3 6 3 2 3" xfId="12012" xr:uid="{E28CC25C-A375-43F3-B4C0-5A340CB88D17}"/>
    <cellStyle name="Normal 5 3 6 3 3" xfId="5656" xr:uid="{00000000-0005-0000-0000-0000931A0000}"/>
    <cellStyle name="Normal 5 3 6 3 3 2" xfId="14085" xr:uid="{3BB18BFA-23DA-4AE3-B73C-43EFA3775388}"/>
    <cellStyle name="Normal 5 3 6 3 4" xfId="9867" xr:uid="{7B86B79A-6ABF-474F-A99A-D31DD9BFFC15}"/>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5F2D5A88-1416-4EA0-B6FA-B3606FCFA2DD}"/>
    <cellStyle name="Normal 5 3 6 4 2 3" xfId="12425" xr:uid="{1816C821-7C28-4800-B927-82DF2102F419}"/>
    <cellStyle name="Normal 5 3 6 4 3" xfId="6069" xr:uid="{00000000-0005-0000-0000-0000971A0000}"/>
    <cellStyle name="Normal 5 3 6 4 3 2" xfId="14498" xr:uid="{03A1FEAD-1C2B-4EC0-8EC6-EBBBFD0EF120}"/>
    <cellStyle name="Normal 5 3 6 4 4" xfId="10280" xr:uid="{42FC3907-F923-4E33-B305-05151885E49D}"/>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46335EC5-0A47-44BD-9484-2A68FF250605}"/>
    <cellStyle name="Normal 5 3 6 5 2 3" xfId="12838" xr:uid="{CFABAE19-3F48-4222-A3A4-89FDAFD16E20}"/>
    <cellStyle name="Normal 5 3 6 5 3" xfId="6482" xr:uid="{00000000-0005-0000-0000-00009B1A0000}"/>
    <cellStyle name="Normal 5 3 6 5 3 2" xfId="14911" xr:uid="{791E2BBB-CE5A-4226-B38E-F85E65397CD4}"/>
    <cellStyle name="Normal 5 3 6 5 4" xfId="10693" xr:uid="{A78CCCEA-E40D-4DF7-BF17-F8C977DC6B25}"/>
    <cellStyle name="Normal 5 3 6 6" xfId="2610" xr:uid="{00000000-0005-0000-0000-00009C1A0000}"/>
    <cellStyle name="Normal 5 3 6 6 2" xfId="6895" xr:uid="{00000000-0005-0000-0000-00009D1A0000}"/>
    <cellStyle name="Normal 5 3 6 6 2 2" xfId="15324" xr:uid="{2A08646B-A7C3-445B-8DC9-C0ADA6628DCE}"/>
    <cellStyle name="Normal 5 3 6 6 3" xfId="11106" xr:uid="{F17BF050-D789-4AFF-B71C-F118253CE422}"/>
    <cellStyle name="Normal 5 3 6 7" xfId="4830" xr:uid="{00000000-0005-0000-0000-00009E1A0000}"/>
    <cellStyle name="Normal 5 3 6 7 2" xfId="13259" xr:uid="{2D2703E1-1EFD-4D01-8F30-2F8A79008BE4}"/>
    <cellStyle name="Normal 5 3 6 8" xfId="9041" xr:uid="{EE0942A5-808E-488C-BFBA-F9D5193387B1}"/>
    <cellStyle name="Normal 5 3 7" xfId="914" xr:uid="{00000000-0005-0000-0000-00009F1A0000}"/>
    <cellStyle name="Normal 5 3 7 2" xfId="3149" xr:uid="{00000000-0005-0000-0000-0000A01A0000}"/>
    <cellStyle name="Normal 5 3 7 2 2" xfId="7373" xr:uid="{00000000-0005-0000-0000-0000A11A0000}"/>
    <cellStyle name="Normal 5 3 7 2 2 2" xfId="15802" xr:uid="{991FE0AE-C623-42E8-BA2C-3730587E56C2}"/>
    <cellStyle name="Normal 5 3 7 2 3" xfId="11584" xr:uid="{4F693BE2-886F-4EA1-99E2-2FE7A4E94083}"/>
    <cellStyle name="Normal 5 3 7 3" xfId="5228" xr:uid="{00000000-0005-0000-0000-0000A21A0000}"/>
    <cellStyle name="Normal 5 3 7 3 2" xfId="13657" xr:uid="{D54CD193-7B5B-4F21-B554-F6131171D8A2}"/>
    <cellStyle name="Normal 5 3 7 4" xfId="9439" xr:uid="{D9243E91-1136-45A2-B980-58E2A8FCB6A4}"/>
    <cellStyle name="Normal 5 3 8" xfId="1332" xr:uid="{00000000-0005-0000-0000-0000A31A0000}"/>
    <cellStyle name="Normal 5 3 8 2" xfId="3562" xr:uid="{00000000-0005-0000-0000-0000A41A0000}"/>
    <cellStyle name="Normal 5 3 8 2 2" xfId="7786" xr:uid="{00000000-0005-0000-0000-0000A51A0000}"/>
    <cellStyle name="Normal 5 3 8 2 2 2" xfId="16215" xr:uid="{A1691CAC-498B-43FD-A6EA-B069746A8DC5}"/>
    <cellStyle name="Normal 5 3 8 2 3" xfId="11997" xr:uid="{48A726E3-BA0E-40C2-B31F-789CC942DAB0}"/>
    <cellStyle name="Normal 5 3 8 3" xfId="5641" xr:uid="{00000000-0005-0000-0000-0000A61A0000}"/>
    <cellStyle name="Normal 5 3 8 3 2" xfId="14070" xr:uid="{F2771A88-077F-4380-BDC4-2F7F3D115CE0}"/>
    <cellStyle name="Normal 5 3 8 4" xfId="9852" xr:uid="{A63CB04C-5C56-415D-8C77-610AE486B90C}"/>
    <cellStyle name="Normal 5 3 9" xfId="1745" xr:uid="{00000000-0005-0000-0000-0000A71A0000}"/>
    <cellStyle name="Normal 5 3 9 2" xfId="3975" xr:uid="{00000000-0005-0000-0000-0000A81A0000}"/>
    <cellStyle name="Normal 5 3 9 2 2" xfId="8199" xr:uid="{00000000-0005-0000-0000-0000A91A0000}"/>
    <cellStyle name="Normal 5 3 9 2 2 2" xfId="16628" xr:uid="{C1FE0657-6AF4-42C9-B48C-4ED254A70B91}"/>
    <cellStyle name="Normal 5 3 9 2 3" xfId="12410" xr:uid="{1A2D7224-8754-40A1-9FB3-C5F232B41678}"/>
    <cellStyle name="Normal 5 3 9 3" xfId="6054" xr:uid="{00000000-0005-0000-0000-0000AA1A0000}"/>
    <cellStyle name="Normal 5 3 9 3 2" xfId="14483" xr:uid="{AFE315E7-9CA3-4432-8211-EE0853FF375D}"/>
    <cellStyle name="Normal 5 3 9 4" xfId="10265" xr:uid="{16040983-EEFA-46E4-8F38-5D4FDD1F6084}"/>
    <cellStyle name="Normal 5 4" xfId="456" xr:uid="{00000000-0005-0000-0000-0000AB1A0000}"/>
    <cellStyle name="Normal 5 4 10" xfId="4831" xr:uid="{00000000-0005-0000-0000-0000AC1A0000}"/>
    <cellStyle name="Normal 5 4 10 2" xfId="13260" xr:uid="{DA80E4C1-ADF2-458E-B2E8-0D6B16047BC9}"/>
    <cellStyle name="Normal 5 4 11" xfId="9042" xr:uid="{48D81816-35EB-42F4-ABF6-B1C3618A1D5F}"/>
    <cellStyle name="Normal 5 4 2" xfId="457" xr:uid="{00000000-0005-0000-0000-0000AD1A0000}"/>
    <cellStyle name="Normal 5 4 2 10" xfId="9043" xr:uid="{22E130BC-C78D-45B0-9ACE-F43F8CACFF41}"/>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393B90A6-A2A1-4DB8-84F7-F932C683FEBF}"/>
    <cellStyle name="Normal 5 4 2 2 2 2 2 3" xfId="11603" xr:uid="{2843A1C2-FD4D-4FD2-ACBD-B24A4764D6C3}"/>
    <cellStyle name="Normal 5 4 2 2 2 2 3" xfId="5247" xr:uid="{00000000-0005-0000-0000-0000B31A0000}"/>
    <cellStyle name="Normal 5 4 2 2 2 2 3 2" xfId="13676" xr:uid="{5B7F1838-B6D5-4799-8239-1F0D07F4A231}"/>
    <cellStyle name="Normal 5 4 2 2 2 2 4" xfId="9458" xr:uid="{AD26F784-DBF6-4769-B06F-204C5411B3E9}"/>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080310BC-7BB3-440A-B4A5-9E9FC735A56B}"/>
    <cellStyle name="Normal 5 4 2 2 2 3 2 3" xfId="12016" xr:uid="{F3A5B90F-E2BA-4A67-9EAC-E8AE29820F4E}"/>
    <cellStyle name="Normal 5 4 2 2 2 3 3" xfId="5660" xr:uid="{00000000-0005-0000-0000-0000B71A0000}"/>
    <cellStyle name="Normal 5 4 2 2 2 3 3 2" xfId="14089" xr:uid="{70EB768B-B5B2-48D1-8511-6A0812C6D3F8}"/>
    <cellStyle name="Normal 5 4 2 2 2 3 4" xfId="9871" xr:uid="{16448190-E8F0-40A8-AD9F-F1BB882834A4}"/>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E7A5F350-C096-4542-A771-D0D568FBED1A}"/>
    <cellStyle name="Normal 5 4 2 2 2 4 2 3" xfId="12429" xr:uid="{6C4E30D7-7B37-46D8-8599-F6D5729AF393}"/>
    <cellStyle name="Normal 5 4 2 2 2 4 3" xfId="6073" xr:uid="{00000000-0005-0000-0000-0000BB1A0000}"/>
    <cellStyle name="Normal 5 4 2 2 2 4 3 2" xfId="14502" xr:uid="{8252A7D7-9383-4B4F-8F95-DE57A25A7727}"/>
    <cellStyle name="Normal 5 4 2 2 2 4 4" xfId="10284" xr:uid="{4C7E8861-7608-4AF7-824D-6D034CC4BC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9F35FFB2-21EE-4E18-80C4-E1CAA71B623B}"/>
    <cellStyle name="Normal 5 4 2 2 2 5 2 3" xfId="12842" xr:uid="{8484D9C5-1558-4560-B9EA-79D6833C6453}"/>
    <cellStyle name="Normal 5 4 2 2 2 5 3" xfId="6486" xr:uid="{00000000-0005-0000-0000-0000BF1A0000}"/>
    <cellStyle name="Normal 5 4 2 2 2 5 3 2" xfId="14915" xr:uid="{391A7212-B2F7-4D0C-B04D-FF9BA423757C}"/>
    <cellStyle name="Normal 5 4 2 2 2 5 4" xfId="10697" xr:uid="{F5F52FA2-B4E1-4F61-8E6E-794822D7D5FE}"/>
    <cellStyle name="Normal 5 4 2 2 2 6" xfId="2614" xr:uid="{00000000-0005-0000-0000-0000C01A0000}"/>
    <cellStyle name="Normal 5 4 2 2 2 6 2" xfId="6899" xr:uid="{00000000-0005-0000-0000-0000C11A0000}"/>
    <cellStyle name="Normal 5 4 2 2 2 6 2 2" xfId="15328" xr:uid="{30C89363-0676-4C51-9B36-C79D7E8152D8}"/>
    <cellStyle name="Normal 5 4 2 2 2 6 3" xfId="11110" xr:uid="{66BDB355-DEE1-4827-8320-57100E864893}"/>
    <cellStyle name="Normal 5 4 2 2 2 7" xfId="4834" xr:uid="{00000000-0005-0000-0000-0000C21A0000}"/>
    <cellStyle name="Normal 5 4 2 2 2 7 2" xfId="13263" xr:uid="{AE3A4993-10F6-4248-993B-489E8832C43B}"/>
    <cellStyle name="Normal 5 4 2 2 2 8" xfId="9045" xr:uid="{78AC53A6-7248-419D-8DC1-716089A8B4C4}"/>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1F01EE20-FAF0-4F34-9699-B2BD9A5C6B99}"/>
    <cellStyle name="Normal 5 4 2 2 3 2 3" xfId="11602" xr:uid="{4A24FED1-2726-44EE-A251-B1C23EC8A69A}"/>
    <cellStyle name="Normal 5 4 2 2 3 3" xfId="5246" xr:uid="{00000000-0005-0000-0000-0000C61A0000}"/>
    <cellStyle name="Normal 5 4 2 2 3 3 2" xfId="13675" xr:uid="{2356FFCA-62D9-48B4-BCEE-A539FAE9E562}"/>
    <cellStyle name="Normal 5 4 2 2 3 4" xfId="9457" xr:uid="{A75DB7AA-D79E-4107-B4E2-56B19124A993}"/>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774F2677-D089-49F2-BD59-26716C6F4E7F}"/>
    <cellStyle name="Normal 5 4 2 2 4 2 3" xfId="12015" xr:uid="{65CA35C5-15C4-4DB2-8423-57537B90562A}"/>
    <cellStyle name="Normal 5 4 2 2 4 3" xfId="5659" xr:uid="{00000000-0005-0000-0000-0000CA1A0000}"/>
    <cellStyle name="Normal 5 4 2 2 4 3 2" xfId="14088" xr:uid="{D344A45E-DDFD-416C-9B4E-F09EA595D140}"/>
    <cellStyle name="Normal 5 4 2 2 4 4" xfId="9870" xr:uid="{5971DD36-3851-4C81-AA6C-F009607CE2C6}"/>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A2DD38F3-7A0D-44F7-895C-C25A04D8430D}"/>
    <cellStyle name="Normal 5 4 2 2 5 2 3" xfId="12428" xr:uid="{C660287D-6B63-4C59-B09C-81E030C9BC09}"/>
    <cellStyle name="Normal 5 4 2 2 5 3" xfId="6072" xr:uid="{00000000-0005-0000-0000-0000CE1A0000}"/>
    <cellStyle name="Normal 5 4 2 2 5 3 2" xfId="14501" xr:uid="{D1FCE52D-EDD0-4F8F-B756-2FAF0FF58171}"/>
    <cellStyle name="Normal 5 4 2 2 5 4" xfId="10283" xr:uid="{03CDC120-08C0-44F7-9BB8-CDE93D29EA60}"/>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65DF41D6-7A0C-4F7B-BDBC-032341B90132}"/>
    <cellStyle name="Normal 5 4 2 2 6 2 3" xfId="12841" xr:uid="{28E06BAC-7977-4EE9-B8A2-6BB1B2B65BC3}"/>
    <cellStyle name="Normal 5 4 2 2 6 3" xfId="6485" xr:uid="{00000000-0005-0000-0000-0000D21A0000}"/>
    <cellStyle name="Normal 5 4 2 2 6 3 2" xfId="14914" xr:uid="{8857E72B-1FDB-41D0-8D16-B9D4C326D109}"/>
    <cellStyle name="Normal 5 4 2 2 6 4" xfId="10696" xr:uid="{B3CD2856-E4C7-41EA-BDA1-A3903C61190B}"/>
    <cellStyle name="Normal 5 4 2 2 7" xfId="2613" xr:uid="{00000000-0005-0000-0000-0000D31A0000}"/>
    <cellStyle name="Normal 5 4 2 2 7 2" xfId="6898" xr:uid="{00000000-0005-0000-0000-0000D41A0000}"/>
    <cellStyle name="Normal 5 4 2 2 7 2 2" xfId="15327" xr:uid="{69B1B148-0BCE-43D3-A4CC-34C7C137E334}"/>
    <cellStyle name="Normal 5 4 2 2 7 3" xfId="11109" xr:uid="{29221B4D-6CF0-4D0C-9941-A834A4552A45}"/>
    <cellStyle name="Normal 5 4 2 2 8" xfId="4833" xr:uid="{00000000-0005-0000-0000-0000D51A0000}"/>
    <cellStyle name="Normal 5 4 2 2 8 2" xfId="13262" xr:uid="{52A3CBA9-F343-443F-AF28-68D9CF2E1204}"/>
    <cellStyle name="Normal 5 4 2 2 9" xfId="9044" xr:uid="{A8393982-7FE0-4E0B-8C03-DC79AB02A4DE}"/>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CDFDCC25-4374-4AA9-A24E-BFD5D3225273}"/>
    <cellStyle name="Normal 5 4 2 3 2 2 3" xfId="11604" xr:uid="{ED28F56B-74C9-4AEF-A4E9-954AC34659E8}"/>
    <cellStyle name="Normal 5 4 2 3 2 3" xfId="5248" xr:uid="{00000000-0005-0000-0000-0000DA1A0000}"/>
    <cellStyle name="Normal 5 4 2 3 2 3 2" xfId="13677" xr:uid="{AF183FCE-3913-4AD9-8CE0-CB49AFC5C53C}"/>
    <cellStyle name="Normal 5 4 2 3 2 4" xfId="9459" xr:uid="{2C543E66-F6F0-479B-80FC-2849F2C40927}"/>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19BD49A2-3E52-4E20-9416-3F26B9539EB5}"/>
    <cellStyle name="Normal 5 4 2 3 3 2 3" xfId="12017" xr:uid="{09B67B38-57C8-41DA-97F0-B93E0B5A02CA}"/>
    <cellStyle name="Normal 5 4 2 3 3 3" xfId="5661" xr:uid="{00000000-0005-0000-0000-0000DE1A0000}"/>
    <cellStyle name="Normal 5 4 2 3 3 3 2" xfId="14090" xr:uid="{74E34027-EAE8-4FFE-B6D6-6081A4B9514E}"/>
    <cellStyle name="Normal 5 4 2 3 3 4" xfId="9872" xr:uid="{1CA54EAA-BFCA-42D0-8D8F-697AA4AA7414}"/>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C1D2FA7A-40A9-4554-8BA6-614EEE88DC72}"/>
    <cellStyle name="Normal 5 4 2 3 4 2 3" xfId="12430" xr:uid="{44028C60-3481-4D88-889E-88F1A0AA9C5D}"/>
    <cellStyle name="Normal 5 4 2 3 4 3" xfId="6074" xr:uid="{00000000-0005-0000-0000-0000E21A0000}"/>
    <cellStyle name="Normal 5 4 2 3 4 3 2" xfId="14503" xr:uid="{AD27B4A1-20C3-47D2-851B-26E33881ADEC}"/>
    <cellStyle name="Normal 5 4 2 3 4 4" xfId="10285" xr:uid="{7342962B-D47C-4767-A528-1FD6124CEEAE}"/>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C3FB2B3-043D-4F05-89A4-A18B19829951}"/>
    <cellStyle name="Normal 5 4 2 3 5 2 3" xfId="12843" xr:uid="{6147ADC3-58D7-465F-B182-09F2E2216170}"/>
    <cellStyle name="Normal 5 4 2 3 5 3" xfId="6487" xr:uid="{00000000-0005-0000-0000-0000E61A0000}"/>
    <cellStyle name="Normal 5 4 2 3 5 3 2" xfId="14916" xr:uid="{98D885BB-FBEE-4682-8B4C-4432EBE8D49D}"/>
    <cellStyle name="Normal 5 4 2 3 5 4" xfId="10698" xr:uid="{16A56865-145E-438F-A7D8-A6239B94B06C}"/>
    <cellStyle name="Normal 5 4 2 3 6" xfId="2615" xr:uid="{00000000-0005-0000-0000-0000E71A0000}"/>
    <cellStyle name="Normal 5 4 2 3 6 2" xfId="6900" xr:uid="{00000000-0005-0000-0000-0000E81A0000}"/>
    <cellStyle name="Normal 5 4 2 3 6 2 2" xfId="15329" xr:uid="{02EA8C61-EB41-4E7A-B2F3-D59F05131192}"/>
    <cellStyle name="Normal 5 4 2 3 6 3" xfId="11111" xr:uid="{E2412EFE-945C-4B42-B99E-E70CF55D5E78}"/>
    <cellStyle name="Normal 5 4 2 3 7" xfId="4835" xr:uid="{00000000-0005-0000-0000-0000E91A0000}"/>
    <cellStyle name="Normal 5 4 2 3 7 2" xfId="13264" xr:uid="{3C38A680-E1C5-4453-8081-203065F644C4}"/>
    <cellStyle name="Normal 5 4 2 3 8" xfId="9046" xr:uid="{F8050BED-7333-4FED-85E0-ECC2CFDE5672}"/>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6E06B5E9-910B-4E5B-9667-44072CA5AFD7}"/>
    <cellStyle name="Normal 5 4 2 4 2 3" xfId="11601" xr:uid="{D1F5FC42-CAF9-4809-AC61-61B87327F83C}"/>
    <cellStyle name="Normal 5 4 2 4 3" xfId="5245" xr:uid="{00000000-0005-0000-0000-0000ED1A0000}"/>
    <cellStyle name="Normal 5 4 2 4 3 2" xfId="13674" xr:uid="{FDA9AAE6-109F-4214-AFA9-27ED23637574}"/>
    <cellStyle name="Normal 5 4 2 4 4" xfId="9456" xr:uid="{C28E8530-B291-44D8-91C9-576A00BFFCCD}"/>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1DF2A9B5-64BC-4528-84F9-26119E4177DD}"/>
    <cellStyle name="Normal 5 4 2 5 2 3" xfId="12014" xr:uid="{95218FBF-2E43-447B-B5C8-3C2ED2F9FC91}"/>
    <cellStyle name="Normal 5 4 2 5 3" xfId="5658" xr:uid="{00000000-0005-0000-0000-0000F11A0000}"/>
    <cellStyle name="Normal 5 4 2 5 3 2" xfId="14087" xr:uid="{D279B51B-3FB4-4813-821D-DBDA173A31A1}"/>
    <cellStyle name="Normal 5 4 2 5 4" xfId="9869" xr:uid="{E6B5FABE-CC9E-4C97-934D-7E83A343A85B}"/>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E3411EDC-4893-41FD-AD5F-694260C582D1}"/>
    <cellStyle name="Normal 5 4 2 6 2 3" xfId="12427" xr:uid="{0D51114A-9E8C-4B7A-8415-E74FEC17022A}"/>
    <cellStyle name="Normal 5 4 2 6 3" xfId="6071" xr:uid="{00000000-0005-0000-0000-0000F51A0000}"/>
    <cellStyle name="Normal 5 4 2 6 3 2" xfId="14500" xr:uid="{5BD432FE-BED6-4779-A8E1-0BB1DA4202DC}"/>
    <cellStyle name="Normal 5 4 2 6 4" xfId="10282" xr:uid="{8B271618-EC63-4A44-89D4-E27AEE061652}"/>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F32C3A05-7A81-4DC8-BB04-934B08131CC5}"/>
    <cellStyle name="Normal 5 4 2 7 2 3" xfId="12840" xr:uid="{2243BB02-7D14-441D-869E-EE2BEDBCF01E}"/>
    <cellStyle name="Normal 5 4 2 7 3" xfId="6484" xr:uid="{00000000-0005-0000-0000-0000F91A0000}"/>
    <cellStyle name="Normal 5 4 2 7 3 2" xfId="14913" xr:uid="{B2673FD7-57DE-4C76-8D64-AAEAE4470FB9}"/>
    <cellStyle name="Normal 5 4 2 7 4" xfId="10695" xr:uid="{CEB1A1B0-760D-412E-994C-C30DC681101E}"/>
    <cellStyle name="Normal 5 4 2 8" xfId="2612" xr:uid="{00000000-0005-0000-0000-0000FA1A0000}"/>
    <cellStyle name="Normal 5 4 2 8 2" xfId="6897" xr:uid="{00000000-0005-0000-0000-0000FB1A0000}"/>
    <cellStyle name="Normal 5 4 2 8 2 2" xfId="15326" xr:uid="{3F23E2F4-A906-40FE-9777-D2F4C8F9C02E}"/>
    <cellStyle name="Normal 5 4 2 8 3" xfId="11108" xr:uid="{959B76D2-AFBA-4E59-B787-F6985AF95245}"/>
    <cellStyle name="Normal 5 4 2 9" xfId="4832" xr:uid="{00000000-0005-0000-0000-0000FC1A0000}"/>
    <cellStyle name="Normal 5 4 2 9 2" xfId="13261" xr:uid="{4717EC3D-B56D-469A-B255-6F39062D6861}"/>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46D62948-080B-4C37-8966-F435AE2681E8}"/>
    <cellStyle name="Normal 5 4 3 2 2 2 3" xfId="11606" xr:uid="{6C5D77BF-F02E-4B42-B532-D653392AE831}"/>
    <cellStyle name="Normal 5 4 3 2 2 3" xfId="5250" xr:uid="{00000000-0005-0000-0000-0000021B0000}"/>
    <cellStyle name="Normal 5 4 3 2 2 3 2" xfId="13679" xr:uid="{BDEA7245-B93E-4247-A453-B3473883DE4F}"/>
    <cellStyle name="Normal 5 4 3 2 2 4" xfId="9461" xr:uid="{AEE8B2B6-D540-4C30-9A0A-1F56AB08187B}"/>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32BD467D-BEDA-4DBE-B05C-3538AEAA4DF1}"/>
    <cellStyle name="Normal 5 4 3 2 3 2 3" xfId="12019" xr:uid="{350C561F-BE0E-4F2F-ABEB-F5C8B086CC54}"/>
    <cellStyle name="Normal 5 4 3 2 3 3" xfId="5663" xr:uid="{00000000-0005-0000-0000-0000061B0000}"/>
    <cellStyle name="Normal 5 4 3 2 3 3 2" xfId="14092" xr:uid="{2BF2FF12-5C5B-4E28-B5ED-D7E30FC30167}"/>
    <cellStyle name="Normal 5 4 3 2 3 4" xfId="9874" xr:uid="{BF9D28AE-2455-4ADB-B4A8-A15E45B8810C}"/>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38ABCFE8-9B9B-434A-A2FF-FE085092C679}"/>
    <cellStyle name="Normal 5 4 3 2 4 2 3" xfId="12432" xr:uid="{E1538A52-2C88-463C-91E6-E94E05B81D7D}"/>
    <cellStyle name="Normal 5 4 3 2 4 3" xfId="6076" xr:uid="{00000000-0005-0000-0000-00000A1B0000}"/>
    <cellStyle name="Normal 5 4 3 2 4 3 2" xfId="14505" xr:uid="{73320DE1-90D7-4715-AEF5-054E1A465230}"/>
    <cellStyle name="Normal 5 4 3 2 4 4" xfId="10287" xr:uid="{644E0685-C54D-40C3-A581-2B3D3D9EAF4C}"/>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73C143F2-28A4-411C-91BF-F70C0ACD8EE1}"/>
    <cellStyle name="Normal 5 4 3 2 5 2 3" xfId="12845" xr:uid="{82C5E20B-86EE-4C2E-82E3-B623CFD2B6DB}"/>
    <cellStyle name="Normal 5 4 3 2 5 3" xfId="6489" xr:uid="{00000000-0005-0000-0000-00000E1B0000}"/>
    <cellStyle name="Normal 5 4 3 2 5 3 2" xfId="14918" xr:uid="{F9C379D5-9D22-4103-AA44-7D7676C1001A}"/>
    <cellStyle name="Normal 5 4 3 2 5 4" xfId="10700" xr:uid="{0EC93E7F-FC6A-4F7D-8A85-FD0FBEEC66DE}"/>
    <cellStyle name="Normal 5 4 3 2 6" xfId="2617" xr:uid="{00000000-0005-0000-0000-00000F1B0000}"/>
    <cellStyle name="Normal 5 4 3 2 6 2" xfId="6902" xr:uid="{00000000-0005-0000-0000-0000101B0000}"/>
    <cellStyle name="Normal 5 4 3 2 6 2 2" xfId="15331" xr:uid="{816D50A7-20D5-4566-9A6D-D1C49D4D19D6}"/>
    <cellStyle name="Normal 5 4 3 2 6 3" xfId="11113" xr:uid="{1EA27F6B-8B69-4D10-B28B-1D503EBC2A41}"/>
    <cellStyle name="Normal 5 4 3 2 7" xfId="4837" xr:uid="{00000000-0005-0000-0000-0000111B0000}"/>
    <cellStyle name="Normal 5 4 3 2 7 2" xfId="13266" xr:uid="{CD0E9642-5F38-4148-AC28-E0B35BF7B8B2}"/>
    <cellStyle name="Normal 5 4 3 2 8" xfId="9048" xr:uid="{D696C31F-556B-42FE-9CCC-46E91CC3B29E}"/>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7EB4FF08-D5F3-46C7-B219-178EFAAA7EA9}"/>
    <cellStyle name="Normal 5 4 3 3 2 3" xfId="11605" xr:uid="{76D8323B-32DB-4AC4-9876-31A6351E140F}"/>
    <cellStyle name="Normal 5 4 3 3 3" xfId="5249" xr:uid="{00000000-0005-0000-0000-0000151B0000}"/>
    <cellStyle name="Normal 5 4 3 3 3 2" xfId="13678" xr:uid="{4393ED19-1EC4-4EC9-9729-FD73C1B87069}"/>
    <cellStyle name="Normal 5 4 3 3 4" xfId="9460" xr:uid="{9807E7F2-2617-40DD-AA69-1A44B71CCD1E}"/>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B8DE3362-1EA6-41A0-8886-2865E53F41A6}"/>
    <cellStyle name="Normal 5 4 3 4 2 3" xfId="12018" xr:uid="{B6B76C0D-8C59-4C17-B087-54C011AE6919}"/>
    <cellStyle name="Normal 5 4 3 4 3" xfId="5662" xr:uid="{00000000-0005-0000-0000-0000191B0000}"/>
    <cellStyle name="Normal 5 4 3 4 3 2" xfId="14091" xr:uid="{29955D25-465D-4FB6-9C45-9E0C40F834BD}"/>
    <cellStyle name="Normal 5 4 3 4 4" xfId="9873" xr:uid="{8125B920-3332-4AE0-A73D-FDAA92095F6E}"/>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CB3A6F30-C5F4-4FEA-A845-733F28789E43}"/>
    <cellStyle name="Normal 5 4 3 5 2 3" xfId="12431" xr:uid="{EE47D546-52A1-4CAB-815D-DFFBAFB76434}"/>
    <cellStyle name="Normal 5 4 3 5 3" xfId="6075" xr:uid="{00000000-0005-0000-0000-00001D1B0000}"/>
    <cellStyle name="Normal 5 4 3 5 3 2" xfId="14504" xr:uid="{00204878-D9B8-4F37-9C6D-AE0C85BADB3A}"/>
    <cellStyle name="Normal 5 4 3 5 4" xfId="10286" xr:uid="{2A053316-7D8C-4055-9404-C6EFA0D5CDAF}"/>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AB035E42-42B6-40A9-A512-8D5B722C6FD3}"/>
    <cellStyle name="Normal 5 4 3 6 2 3" xfId="12844" xr:uid="{AFF0BAC5-A411-49BC-9274-85C6F842BB75}"/>
    <cellStyle name="Normal 5 4 3 6 3" xfId="6488" xr:uid="{00000000-0005-0000-0000-0000211B0000}"/>
    <cellStyle name="Normal 5 4 3 6 3 2" xfId="14917" xr:uid="{56959C9D-E200-43D4-8D20-DDBF4E230EA3}"/>
    <cellStyle name="Normal 5 4 3 6 4" xfId="10699" xr:uid="{BFF8DF1B-1CF6-4AA7-B8EA-99A145EE4C9E}"/>
    <cellStyle name="Normal 5 4 3 7" xfId="2616" xr:uid="{00000000-0005-0000-0000-0000221B0000}"/>
    <cellStyle name="Normal 5 4 3 7 2" xfId="6901" xr:uid="{00000000-0005-0000-0000-0000231B0000}"/>
    <cellStyle name="Normal 5 4 3 7 2 2" xfId="15330" xr:uid="{29286BC8-D120-4223-BB0D-CF84B53279F9}"/>
    <cellStyle name="Normal 5 4 3 7 3" xfId="11112" xr:uid="{DAECE8EE-91EC-4992-9255-B02711CC6626}"/>
    <cellStyle name="Normal 5 4 3 8" xfId="4836" xr:uid="{00000000-0005-0000-0000-0000241B0000}"/>
    <cellStyle name="Normal 5 4 3 8 2" xfId="13265" xr:uid="{4245C178-C5FD-40EC-84D0-EA7DC6797576}"/>
    <cellStyle name="Normal 5 4 3 9" xfId="9047" xr:uid="{DB3FE3E5-6420-457D-AB67-1001CFAFC57A}"/>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40C0A7ED-2845-4C02-9FE6-EE755B4AA6CE}"/>
    <cellStyle name="Normal 5 4 4 2 2 3" xfId="11607" xr:uid="{383C072B-10CE-498F-9796-4296860371F3}"/>
    <cellStyle name="Normal 5 4 4 2 3" xfId="5251" xr:uid="{00000000-0005-0000-0000-0000291B0000}"/>
    <cellStyle name="Normal 5 4 4 2 3 2" xfId="13680" xr:uid="{7CA5F7D5-6164-49C8-9FB6-29E26AA693CC}"/>
    <cellStyle name="Normal 5 4 4 2 4" xfId="9462" xr:uid="{AEC7F573-DA13-4E32-88B8-AF4683D0C476}"/>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2F0B894C-3B01-403C-8A75-8DD334D1126D}"/>
    <cellStyle name="Normal 5 4 4 3 2 3" xfId="12020" xr:uid="{ACBE8DC2-C22B-4A8E-8C63-6596B6949713}"/>
    <cellStyle name="Normal 5 4 4 3 3" xfId="5664" xr:uid="{00000000-0005-0000-0000-00002D1B0000}"/>
    <cellStyle name="Normal 5 4 4 3 3 2" xfId="14093" xr:uid="{7AC11FDA-D3D9-4C04-8CB3-625CFC3686DB}"/>
    <cellStyle name="Normal 5 4 4 3 4" xfId="9875" xr:uid="{F79F2D56-601F-4C1F-9A0C-329821B4DDBE}"/>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8D9C68D1-3542-4EA5-AD53-27A3BEABB754}"/>
    <cellStyle name="Normal 5 4 4 4 2 3" xfId="12433" xr:uid="{D24BF11F-BEB7-4301-A855-0FD913C386AC}"/>
    <cellStyle name="Normal 5 4 4 4 3" xfId="6077" xr:uid="{00000000-0005-0000-0000-0000311B0000}"/>
    <cellStyle name="Normal 5 4 4 4 3 2" xfId="14506" xr:uid="{BDC5708C-21FE-4F2D-A53C-BC41CB2855F0}"/>
    <cellStyle name="Normal 5 4 4 4 4" xfId="10288" xr:uid="{AFB95EF2-5F42-4D82-AA6A-09EE1CEC6C90}"/>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C68D9D16-D184-4145-9514-82784426149B}"/>
    <cellStyle name="Normal 5 4 4 5 2 3" xfId="12846" xr:uid="{52BECD2E-E5EE-4F81-96F3-19BFA5077508}"/>
    <cellStyle name="Normal 5 4 4 5 3" xfId="6490" xr:uid="{00000000-0005-0000-0000-0000351B0000}"/>
    <cellStyle name="Normal 5 4 4 5 3 2" xfId="14919" xr:uid="{4B0F8D25-C5E2-46B6-B3A2-31669320464A}"/>
    <cellStyle name="Normal 5 4 4 5 4" xfId="10701" xr:uid="{23B3CCB2-4008-41B7-87C5-493862AC1E53}"/>
    <cellStyle name="Normal 5 4 4 6" xfId="2618" xr:uid="{00000000-0005-0000-0000-0000361B0000}"/>
    <cellStyle name="Normal 5 4 4 6 2" xfId="6903" xr:uid="{00000000-0005-0000-0000-0000371B0000}"/>
    <cellStyle name="Normal 5 4 4 6 2 2" xfId="15332" xr:uid="{78814543-C6E0-4225-BA4C-CF3C57911097}"/>
    <cellStyle name="Normal 5 4 4 6 3" xfId="11114" xr:uid="{C66FA393-B945-4EA3-AD4B-BC4C102D01CE}"/>
    <cellStyle name="Normal 5 4 4 7" xfId="4838" xr:uid="{00000000-0005-0000-0000-0000381B0000}"/>
    <cellStyle name="Normal 5 4 4 7 2" xfId="13267" xr:uid="{1416BA83-0353-4A66-A1A4-605C6F8CC7D3}"/>
    <cellStyle name="Normal 5 4 4 8" xfId="9049" xr:uid="{BB1FC7D5-9E3E-4C04-9A51-F84BFD8835C2}"/>
    <cellStyle name="Normal 5 4 5" xfId="931" xr:uid="{00000000-0005-0000-0000-0000391B0000}"/>
    <cellStyle name="Normal 5 4 5 2" xfId="3165" xr:uid="{00000000-0005-0000-0000-00003A1B0000}"/>
    <cellStyle name="Normal 5 4 5 2 2" xfId="7389" xr:uid="{00000000-0005-0000-0000-00003B1B0000}"/>
    <cellStyle name="Normal 5 4 5 2 2 2" xfId="15818" xr:uid="{1DC28FD7-7E56-46DE-9CBC-637290D6833A}"/>
    <cellStyle name="Normal 5 4 5 2 3" xfId="11600" xr:uid="{DD088295-9FB5-4D47-9575-A2D5CFD26261}"/>
    <cellStyle name="Normal 5 4 5 3" xfId="5244" xr:uid="{00000000-0005-0000-0000-00003C1B0000}"/>
    <cellStyle name="Normal 5 4 5 3 2" xfId="13673" xr:uid="{A7F3790C-9640-4D67-ABFF-9629813CC496}"/>
    <cellStyle name="Normal 5 4 5 4" xfId="9455" xr:uid="{6D7A5507-603A-446A-9CE9-D3C630F2D085}"/>
    <cellStyle name="Normal 5 4 6" xfId="1348" xr:uid="{00000000-0005-0000-0000-00003D1B0000}"/>
    <cellStyle name="Normal 5 4 6 2" xfId="3578" xr:uid="{00000000-0005-0000-0000-00003E1B0000}"/>
    <cellStyle name="Normal 5 4 6 2 2" xfId="7802" xr:uid="{00000000-0005-0000-0000-00003F1B0000}"/>
    <cellStyle name="Normal 5 4 6 2 2 2" xfId="16231" xr:uid="{118FAC82-0C6A-45EA-A129-323B01048452}"/>
    <cellStyle name="Normal 5 4 6 2 3" xfId="12013" xr:uid="{B491DD43-7905-4A04-8154-40AAE76D0AD8}"/>
    <cellStyle name="Normal 5 4 6 3" xfId="5657" xr:uid="{00000000-0005-0000-0000-0000401B0000}"/>
    <cellStyle name="Normal 5 4 6 3 2" xfId="14086" xr:uid="{6B371FA7-8CF9-47B3-98F3-C94E0688F043}"/>
    <cellStyle name="Normal 5 4 6 4" xfId="9868" xr:uid="{BB07617D-943B-4B4F-88E3-CB29A6E825E8}"/>
    <cellStyle name="Normal 5 4 7" xfId="1761" xr:uid="{00000000-0005-0000-0000-0000411B0000}"/>
    <cellStyle name="Normal 5 4 7 2" xfId="3991" xr:uid="{00000000-0005-0000-0000-0000421B0000}"/>
    <cellStyle name="Normal 5 4 7 2 2" xfId="8215" xr:uid="{00000000-0005-0000-0000-0000431B0000}"/>
    <cellStyle name="Normal 5 4 7 2 2 2" xfId="16644" xr:uid="{6644CC2B-D88D-4E70-BB0F-9FD8B3C15020}"/>
    <cellStyle name="Normal 5 4 7 2 3" xfId="12426" xr:uid="{1EF68C72-5D6A-4CB6-BA1C-047A8D5B51F7}"/>
    <cellStyle name="Normal 5 4 7 3" xfId="6070" xr:uid="{00000000-0005-0000-0000-0000441B0000}"/>
    <cellStyle name="Normal 5 4 7 3 2" xfId="14499" xr:uid="{2D0FD430-BD09-4031-AED4-C95E7C9E9343}"/>
    <cellStyle name="Normal 5 4 7 4" xfId="10281" xr:uid="{EB6624BA-875B-4FF2-AECA-8CD38AE36335}"/>
    <cellStyle name="Normal 5 4 8" xfId="2175" xr:uid="{00000000-0005-0000-0000-0000451B0000}"/>
    <cellStyle name="Normal 5 4 8 2" xfId="4404" xr:uid="{00000000-0005-0000-0000-0000461B0000}"/>
    <cellStyle name="Normal 5 4 8 2 2" xfId="8628" xr:uid="{00000000-0005-0000-0000-0000471B0000}"/>
    <cellStyle name="Normal 5 4 8 2 2 2" xfId="17057" xr:uid="{23308D32-F02E-44B9-9A13-4288B3F7DBB8}"/>
    <cellStyle name="Normal 5 4 8 2 3" xfId="12839" xr:uid="{23306F35-79DD-42A8-A34B-80C90F47FD21}"/>
    <cellStyle name="Normal 5 4 8 3" xfId="6483" xr:uid="{00000000-0005-0000-0000-0000481B0000}"/>
    <cellStyle name="Normal 5 4 8 3 2" xfId="14912" xr:uid="{39A06F2E-A054-4DFD-84FE-EFA7A3FED680}"/>
    <cellStyle name="Normal 5 4 8 4" xfId="10694" xr:uid="{CE623267-7767-4454-840F-6D8D9F72D8F3}"/>
    <cellStyle name="Normal 5 4 9" xfId="2611" xr:uid="{00000000-0005-0000-0000-0000491B0000}"/>
    <cellStyle name="Normal 5 4 9 2" xfId="6896" xr:uid="{00000000-0005-0000-0000-00004A1B0000}"/>
    <cellStyle name="Normal 5 4 9 2 2" xfId="15325" xr:uid="{25CD9272-7D74-4DB9-8F8A-25D44E197702}"/>
    <cellStyle name="Normal 5 4 9 3" xfId="11107" xr:uid="{3BEB8234-7212-4BB3-888E-52AADFF6D99B}"/>
    <cellStyle name="Normal 5 5" xfId="464" xr:uid="{00000000-0005-0000-0000-00004B1B0000}"/>
    <cellStyle name="Normal 5 5 10" xfId="9050" xr:uid="{D600032F-F54A-4196-96A1-D9039BC6F205}"/>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D4577942-EAF0-4B01-BA53-884FA5B32B39}"/>
    <cellStyle name="Normal 5 5 2 2 2 2 3" xfId="11610" xr:uid="{2A1DED83-1B6D-45FD-B66D-46217D315CC6}"/>
    <cellStyle name="Normal 5 5 2 2 2 3" xfId="5254" xr:uid="{00000000-0005-0000-0000-0000511B0000}"/>
    <cellStyle name="Normal 5 5 2 2 2 3 2" xfId="13683" xr:uid="{61A2F374-2229-4407-BF28-C821D40B6B77}"/>
    <cellStyle name="Normal 5 5 2 2 2 4" xfId="9465" xr:uid="{434BB0F4-E8FA-4C16-A504-7EDF870B0BCA}"/>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1167AD90-D8C3-4E24-A677-790285CA2EF8}"/>
    <cellStyle name="Normal 5 5 2 2 3 2 3" xfId="12023" xr:uid="{F7896C08-E24D-4791-8EE6-C8B9CC3F4E73}"/>
    <cellStyle name="Normal 5 5 2 2 3 3" xfId="5667" xr:uid="{00000000-0005-0000-0000-0000551B0000}"/>
    <cellStyle name="Normal 5 5 2 2 3 3 2" xfId="14096" xr:uid="{27A20E9A-DFAE-422B-8B0C-CBF5053D3958}"/>
    <cellStyle name="Normal 5 5 2 2 3 4" xfId="9878" xr:uid="{23703DC1-2E4B-4A1A-8AA2-53298B50FA7C}"/>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76DDC393-D9FB-4E30-A758-D52FB5991741}"/>
    <cellStyle name="Normal 5 5 2 2 4 2 3" xfId="12436" xr:uid="{36C282C8-5447-4C11-9511-C03378E31458}"/>
    <cellStyle name="Normal 5 5 2 2 4 3" xfId="6080" xr:uid="{00000000-0005-0000-0000-0000591B0000}"/>
    <cellStyle name="Normal 5 5 2 2 4 3 2" xfId="14509" xr:uid="{4055FC44-2A71-467E-9A6C-38FCD0471265}"/>
    <cellStyle name="Normal 5 5 2 2 4 4" xfId="10291" xr:uid="{0C542E94-BF56-418E-88DC-F087E03798F2}"/>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7C7A5DBB-4FC8-419E-B21C-87DE32601D93}"/>
    <cellStyle name="Normal 5 5 2 2 5 2 3" xfId="12849" xr:uid="{44E16C46-65CA-45A1-98C2-1C08ED9AE2CE}"/>
    <cellStyle name="Normal 5 5 2 2 5 3" xfId="6493" xr:uid="{00000000-0005-0000-0000-00005D1B0000}"/>
    <cellStyle name="Normal 5 5 2 2 5 3 2" xfId="14922" xr:uid="{5AB3F3D9-F71B-4FDD-9E45-280DFD5604A4}"/>
    <cellStyle name="Normal 5 5 2 2 5 4" xfId="10704" xr:uid="{53614BC2-5010-42A9-9BAD-316CB49217C6}"/>
    <cellStyle name="Normal 5 5 2 2 6" xfId="2621" xr:uid="{00000000-0005-0000-0000-00005E1B0000}"/>
    <cellStyle name="Normal 5 5 2 2 6 2" xfId="6906" xr:uid="{00000000-0005-0000-0000-00005F1B0000}"/>
    <cellStyle name="Normal 5 5 2 2 6 2 2" xfId="15335" xr:uid="{9F41B6A1-83E7-430A-9F25-CEA216F00F5A}"/>
    <cellStyle name="Normal 5 5 2 2 6 3" xfId="11117" xr:uid="{5C76E656-1768-4177-8395-1C53DCCC4280}"/>
    <cellStyle name="Normal 5 5 2 2 7" xfId="4841" xr:uid="{00000000-0005-0000-0000-0000601B0000}"/>
    <cellStyle name="Normal 5 5 2 2 7 2" xfId="13270" xr:uid="{7E91E5E3-0BFF-479F-8C9A-8DA4DCD64A70}"/>
    <cellStyle name="Normal 5 5 2 2 8" xfId="9052" xr:uid="{8A1B215F-3D9C-414E-860A-A6A1440B0063}"/>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830DF55F-0286-4033-A334-E1D13E794F8F}"/>
    <cellStyle name="Normal 5 5 2 3 2 3" xfId="11609" xr:uid="{9F90C494-1F6A-4C36-9F62-4B6BAFD87472}"/>
    <cellStyle name="Normal 5 5 2 3 3" xfId="5253" xr:uid="{00000000-0005-0000-0000-0000641B0000}"/>
    <cellStyle name="Normal 5 5 2 3 3 2" xfId="13682" xr:uid="{070A408E-DB0B-4FBA-9D50-ECD61B2DF72A}"/>
    <cellStyle name="Normal 5 5 2 3 4" xfId="9464" xr:uid="{22750DDD-6E4D-4DBD-96A3-7F227A10E3F1}"/>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FB25753C-17EF-41FA-90DE-3FE2C1963123}"/>
    <cellStyle name="Normal 5 5 2 4 2 3" xfId="12022" xr:uid="{B934E690-772E-46C3-983E-7C75A7EDDFAA}"/>
    <cellStyle name="Normal 5 5 2 4 3" xfId="5666" xr:uid="{00000000-0005-0000-0000-0000681B0000}"/>
    <cellStyle name="Normal 5 5 2 4 3 2" xfId="14095" xr:uid="{564A5ACC-4D0B-4930-A978-F447B8AE4F61}"/>
    <cellStyle name="Normal 5 5 2 4 4" xfId="9877" xr:uid="{95D6B127-D116-4D4F-A22A-D14AAE776BFA}"/>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0B423375-BD25-4336-8AB6-19A437896CC6}"/>
    <cellStyle name="Normal 5 5 2 5 2 3" xfId="12435" xr:uid="{5BFF7C06-1499-4F32-983D-07E00A79071F}"/>
    <cellStyle name="Normal 5 5 2 5 3" xfId="6079" xr:uid="{00000000-0005-0000-0000-00006C1B0000}"/>
    <cellStyle name="Normal 5 5 2 5 3 2" xfId="14508" xr:uid="{E781DA7A-4C61-4D16-B639-8ADE6A303D65}"/>
    <cellStyle name="Normal 5 5 2 5 4" xfId="10290" xr:uid="{2835455B-F29E-4CA8-8FAB-2ABA86DB8198}"/>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B5E1A186-51C3-47C1-9133-B2B2599FEE4C}"/>
    <cellStyle name="Normal 5 5 2 6 2 3" xfId="12848" xr:uid="{68E802B5-0BDB-4E93-AB08-845ECA9DCEC7}"/>
    <cellStyle name="Normal 5 5 2 6 3" xfId="6492" xr:uid="{00000000-0005-0000-0000-0000701B0000}"/>
    <cellStyle name="Normal 5 5 2 6 3 2" xfId="14921" xr:uid="{EE0AE861-B628-4164-91CC-C65BFA71C180}"/>
    <cellStyle name="Normal 5 5 2 6 4" xfId="10703" xr:uid="{6440210E-D0FD-4417-8DB9-B2492726EF41}"/>
    <cellStyle name="Normal 5 5 2 7" xfId="2620" xr:uid="{00000000-0005-0000-0000-0000711B0000}"/>
    <cellStyle name="Normal 5 5 2 7 2" xfId="6905" xr:uid="{00000000-0005-0000-0000-0000721B0000}"/>
    <cellStyle name="Normal 5 5 2 7 2 2" xfId="15334" xr:uid="{339781C4-5D3E-47FD-8B0F-FC800AEB0367}"/>
    <cellStyle name="Normal 5 5 2 7 3" xfId="11116" xr:uid="{53A8642C-1DF8-47B0-8BB6-ED53453338FD}"/>
    <cellStyle name="Normal 5 5 2 8" xfId="4840" xr:uid="{00000000-0005-0000-0000-0000731B0000}"/>
    <cellStyle name="Normal 5 5 2 8 2" xfId="13269" xr:uid="{3CA290A0-2A93-4CBB-BA99-B84A02FBEA49}"/>
    <cellStyle name="Normal 5 5 2 9" xfId="9051" xr:uid="{B8048E6D-D0F0-4F67-B356-67A7F84ECFFD}"/>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3F6BFE62-578E-4878-9EDA-37937FCF09F5}"/>
    <cellStyle name="Normal 5 5 3 2 2 3" xfId="11611" xr:uid="{BE27ECE7-60C3-4195-A59E-66188A7E816B}"/>
    <cellStyle name="Normal 5 5 3 2 3" xfId="5255" xr:uid="{00000000-0005-0000-0000-0000781B0000}"/>
    <cellStyle name="Normal 5 5 3 2 3 2" xfId="13684" xr:uid="{8BC0481E-3FD8-4CB6-9DAF-9E2679DA63CB}"/>
    <cellStyle name="Normal 5 5 3 2 4" xfId="9466" xr:uid="{8515C626-A90C-43A3-9AEC-D47526255EE9}"/>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A242054E-C22A-4CCF-B6D1-D04EEB6C0A0A}"/>
    <cellStyle name="Normal 5 5 3 3 2 3" xfId="12024" xr:uid="{4C0D10F0-095B-4E1B-9E01-D21A11F50425}"/>
    <cellStyle name="Normal 5 5 3 3 3" xfId="5668" xr:uid="{00000000-0005-0000-0000-00007C1B0000}"/>
    <cellStyle name="Normal 5 5 3 3 3 2" xfId="14097" xr:uid="{2EA90413-BC56-4441-BDAE-BBAFF7D18FBA}"/>
    <cellStyle name="Normal 5 5 3 3 4" xfId="9879" xr:uid="{BA9548A3-C5D0-445F-9D7E-7C8FF4213D0D}"/>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C2C16742-EE85-48E2-876B-E1CEA2098591}"/>
    <cellStyle name="Normal 5 5 3 4 2 3" xfId="12437" xr:uid="{FE36095A-0EA2-4D7D-B63E-8299FBD5B901}"/>
    <cellStyle name="Normal 5 5 3 4 3" xfId="6081" xr:uid="{00000000-0005-0000-0000-0000801B0000}"/>
    <cellStyle name="Normal 5 5 3 4 3 2" xfId="14510" xr:uid="{9AAD1F45-07CF-4655-9F5E-E1D18A426AFD}"/>
    <cellStyle name="Normal 5 5 3 4 4" xfId="10292" xr:uid="{6DF47758-1CE2-456C-8D16-BAF7D78C2661}"/>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C1485ADE-E09C-4CB0-B0E2-1ADEEA0D04EE}"/>
    <cellStyle name="Normal 5 5 3 5 2 3" xfId="12850" xr:uid="{E7732AF2-A6CF-4EB5-87FB-6818AB8FE3F3}"/>
    <cellStyle name="Normal 5 5 3 5 3" xfId="6494" xr:uid="{00000000-0005-0000-0000-0000841B0000}"/>
    <cellStyle name="Normal 5 5 3 5 3 2" xfId="14923" xr:uid="{905FD257-91AC-48F2-BE39-B65A28ED4180}"/>
    <cellStyle name="Normal 5 5 3 5 4" xfId="10705" xr:uid="{CAA6A667-B127-4AED-A2AD-1B37CD8093AF}"/>
    <cellStyle name="Normal 5 5 3 6" xfId="2622" xr:uid="{00000000-0005-0000-0000-0000851B0000}"/>
    <cellStyle name="Normal 5 5 3 6 2" xfId="6907" xr:uid="{00000000-0005-0000-0000-0000861B0000}"/>
    <cellStyle name="Normal 5 5 3 6 2 2" xfId="15336" xr:uid="{20418D81-12F1-4222-9BE4-E731FFF52848}"/>
    <cellStyle name="Normal 5 5 3 6 3" xfId="11118" xr:uid="{0F46947E-CD88-4C19-B21F-B742891D2786}"/>
    <cellStyle name="Normal 5 5 3 7" xfId="4842" xr:uid="{00000000-0005-0000-0000-0000871B0000}"/>
    <cellStyle name="Normal 5 5 3 7 2" xfId="13271" xr:uid="{2E42B5A5-5168-46A0-A289-1A167967F794}"/>
    <cellStyle name="Normal 5 5 3 8" xfId="9053" xr:uid="{09754EBE-3877-4471-8BBE-4783807799C5}"/>
    <cellStyle name="Normal 5 5 4" xfId="939" xr:uid="{00000000-0005-0000-0000-0000881B0000}"/>
    <cellStyle name="Normal 5 5 4 2" xfId="3173" xr:uid="{00000000-0005-0000-0000-0000891B0000}"/>
    <cellStyle name="Normal 5 5 4 2 2" xfId="7397" xr:uid="{00000000-0005-0000-0000-00008A1B0000}"/>
    <cellStyle name="Normal 5 5 4 2 2 2" xfId="15826" xr:uid="{6F2FEFAB-7D5A-424A-8F47-3BC3F7790FDF}"/>
    <cellStyle name="Normal 5 5 4 2 3" xfId="11608" xr:uid="{C977EAB3-F4F1-46F1-84DA-90B3323F8345}"/>
    <cellStyle name="Normal 5 5 4 3" xfId="5252" xr:uid="{00000000-0005-0000-0000-00008B1B0000}"/>
    <cellStyle name="Normal 5 5 4 3 2" xfId="13681" xr:uid="{4756DDD2-349E-4FD8-AA14-ED47944291BB}"/>
    <cellStyle name="Normal 5 5 4 4" xfId="9463" xr:uid="{7674B9FE-95FD-4D24-971E-09649F308EB8}"/>
    <cellStyle name="Normal 5 5 5" xfId="1356" xr:uid="{00000000-0005-0000-0000-00008C1B0000}"/>
    <cellStyle name="Normal 5 5 5 2" xfId="3586" xr:uid="{00000000-0005-0000-0000-00008D1B0000}"/>
    <cellStyle name="Normal 5 5 5 2 2" xfId="7810" xr:uid="{00000000-0005-0000-0000-00008E1B0000}"/>
    <cellStyle name="Normal 5 5 5 2 2 2" xfId="16239" xr:uid="{0EB0A8AB-D60C-4829-B2F4-66E8A1E4E3F9}"/>
    <cellStyle name="Normal 5 5 5 2 3" xfId="12021" xr:uid="{AD1ED32B-5A0F-4500-9E47-00332E3A730E}"/>
    <cellStyle name="Normal 5 5 5 3" xfId="5665" xr:uid="{00000000-0005-0000-0000-00008F1B0000}"/>
    <cellStyle name="Normal 5 5 5 3 2" xfId="14094" xr:uid="{2213DE5C-375E-4BBF-AAB4-57E61A986686}"/>
    <cellStyle name="Normal 5 5 5 4" xfId="9876" xr:uid="{75B6D97E-62EB-49B4-8FC6-E1416EEDE969}"/>
    <cellStyle name="Normal 5 5 6" xfId="1769" xr:uid="{00000000-0005-0000-0000-0000901B0000}"/>
    <cellStyle name="Normal 5 5 6 2" xfId="3999" xr:uid="{00000000-0005-0000-0000-0000911B0000}"/>
    <cellStyle name="Normal 5 5 6 2 2" xfId="8223" xr:uid="{00000000-0005-0000-0000-0000921B0000}"/>
    <cellStyle name="Normal 5 5 6 2 2 2" xfId="16652" xr:uid="{0390169F-A5E1-4ABC-8440-6D969D7FD2E5}"/>
    <cellStyle name="Normal 5 5 6 2 3" xfId="12434" xr:uid="{8EB71F4C-46B4-4FC6-AAB7-1DE454E4F085}"/>
    <cellStyle name="Normal 5 5 6 3" xfId="6078" xr:uid="{00000000-0005-0000-0000-0000931B0000}"/>
    <cellStyle name="Normal 5 5 6 3 2" xfId="14507" xr:uid="{0808533D-EB46-4A1E-AECB-8264EB95334A}"/>
    <cellStyle name="Normal 5 5 6 4" xfId="10289" xr:uid="{7CE69F4C-C4CC-4383-B93E-4A0826A797B3}"/>
    <cellStyle name="Normal 5 5 7" xfId="2183" xr:uid="{00000000-0005-0000-0000-0000941B0000}"/>
    <cellStyle name="Normal 5 5 7 2" xfId="4412" xr:uid="{00000000-0005-0000-0000-0000951B0000}"/>
    <cellStyle name="Normal 5 5 7 2 2" xfId="8636" xr:uid="{00000000-0005-0000-0000-0000961B0000}"/>
    <cellStyle name="Normal 5 5 7 2 2 2" xfId="17065" xr:uid="{97784870-31F2-451C-8618-B122EE4A6537}"/>
    <cellStyle name="Normal 5 5 7 2 3" xfId="12847" xr:uid="{8739B724-B0F9-4C45-8B1D-BC239AB28193}"/>
    <cellStyle name="Normal 5 5 7 3" xfId="6491" xr:uid="{00000000-0005-0000-0000-0000971B0000}"/>
    <cellStyle name="Normal 5 5 7 3 2" xfId="14920" xr:uid="{CB545747-9DE2-4D1D-ADAF-A6D1ABF04EB3}"/>
    <cellStyle name="Normal 5 5 7 4" xfId="10702" xr:uid="{013F756E-3039-4888-950B-A7602B5510C1}"/>
    <cellStyle name="Normal 5 5 8" xfId="2619" xr:uid="{00000000-0005-0000-0000-0000981B0000}"/>
    <cellStyle name="Normal 5 5 8 2" xfId="6904" xr:uid="{00000000-0005-0000-0000-0000991B0000}"/>
    <cellStyle name="Normal 5 5 8 2 2" xfId="15333" xr:uid="{8B3E8EDC-E35C-4143-90A8-98961FBE736B}"/>
    <cellStyle name="Normal 5 5 8 3" xfId="11115" xr:uid="{EF10224A-78B6-4BF2-B487-6BF84B818E62}"/>
    <cellStyle name="Normal 5 5 9" xfId="4839" xr:uid="{00000000-0005-0000-0000-00009A1B0000}"/>
    <cellStyle name="Normal 5 5 9 2" xfId="13268" xr:uid="{16742B03-5152-472E-841C-909CB6AD1479}"/>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2DEF3979-0497-4A3E-9393-9A3BB50F708A}"/>
    <cellStyle name="Normal 5 6 2 2 2 3" xfId="11613" xr:uid="{6609503E-5796-4366-ABAF-46C53A2EF9F7}"/>
    <cellStyle name="Normal 5 6 2 2 3" xfId="5257" xr:uid="{00000000-0005-0000-0000-0000A01B0000}"/>
    <cellStyle name="Normal 5 6 2 2 3 2" xfId="13686" xr:uid="{40C04AD4-3F0F-4555-8AD6-CE14C4B7894E}"/>
    <cellStyle name="Normal 5 6 2 2 4" xfId="9468" xr:uid="{63AF3232-C29B-4687-9D2A-6F294EF0DA98}"/>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7B7089C2-50B9-4C75-B537-BA81788F80E2}"/>
    <cellStyle name="Normal 5 6 2 3 2 3" xfId="12026" xr:uid="{3FC571B0-6A37-40E1-A50D-F7B40F84E7EE}"/>
    <cellStyle name="Normal 5 6 2 3 3" xfId="5670" xr:uid="{00000000-0005-0000-0000-0000A41B0000}"/>
    <cellStyle name="Normal 5 6 2 3 3 2" xfId="14099" xr:uid="{E0710C10-5DE4-47D4-8369-91CB6DDEAF81}"/>
    <cellStyle name="Normal 5 6 2 3 4" xfId="9881" xr:uid="{CF0A494C-ECE1-4539-8041-A472E2BDE089}"/>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87CBB50C-BB96-419C-B852-7A9EA7820677}"/>
    <cellStyle name="Normal 5 6 2 4 2 3" xfId="12439" xr:uid="{49E592FA-C808-4A33-8505-FA0F688149A3}"/>
    <cellStyle name="Normal 5 6 2 4 3" xfId="6083" xr:uid="{00000000-0005-0000-0000-0000A81B0000}"/>
    <cellStyle name="Normal 5 6 2 4 3 2" xfId="14512" xr:uid="{C13A9FFD-16BE-4182-A8B2-B7C92259A984}"/>
    <cellStyle name="Normal 5 6 2 4 4" xfId="10294" xr:uid="{D17083FD-558F-4898-94DE-2EF54EB5261E}"/>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2ACB167E-709C-41F6-B574-7EBDDD146D2D}"/>
    <cellStyle name="Normal 5 6 2 5 2 3" xfId="12852" xr:uid="{7E47AC61-8765-4D78-B778-66EB3083A4AE}"/>
    <cellStyle name="Normal 5 6 2 5 3" xfId="6496" xr:uid="{00000000-0005-0000-0000-0000AC1B0000}"/>
    <cellStyle name="Normal 5 6 2 5 3 2" xfId="14925" xr:uid="{AD157700-9054-4139-81D6-3B7FEA2F18BD}"/>
    <cellStyle name="Normal 5 6 2 5 4" xfId="10707" xr:uid="{848314C0-4367-4102-B571-C59513A0B16A}"/>
    <cellStyle name="Normal 5 6 2 6" xfId="2624" xr:uid="{00000000-0005-0000-0000-0000AD1B0000}"/>
    <cellStyle name="Normal 5 6 2 6 2" xfId="6909" xr:uid="{00000000-0005-0000-0000-0000AE1B0000}"/>
    <cellStyle name="Normal 5 6 2 6 2 2" xfId="15338" xr:uid="{251ACAAF-B76E-4A63-8DEC-A610EA34A9DD}"/>
    <cellStyle name="Normal 5 6 2 6 3" xfId="11120" xr:uid="{8E7604F0-9611-408E-AC94-C7736D605415}"/>
    <cellStyle name="Normal 5 6 2 7" xfId="4844" xr:uid="{00000000-0005-0000-0000-0000AF1B0000}"/>
    <cellStyle name="Normal 5 6 2 7 2" xfId="13273" xr:uid="{CAFA41CF-7089-4222-8C85-9704D948839A}"/>
    <cellStyle name="Normal 5 6 2 8" xfId="9055" xr:uid="{9078FA7B-D6E0-4A08-89ED-4C401A7E2EEE}"/>
    <cellStyle name="Normal 5 6 3" xfId="943" xr:uid="{00000000-0005-0000-0000-0000B01B0000}"/>
    <cellStyle name="Normal 5 6 3 2" xfId="3177" xr:uid="{00000000-0005-0000-0000-0000B11B0000}"/>
    <cellStyle name="Normal 5 6 3 2 2" xfId="7401" xr:uid="{00000000-0005-0000-0000-0000B21B0000}"/>
    <cellStyle name="Normal 5 6 3 2 2 2" xfId="15830" xr:uid="{88345CA8-A336-425D-88F3-DB244D3B24E9}"/>
    <cellStyle name="Normal 5 6 3 2 3" xfId="11612" xr:uid="{B7F4E1E0-0F38-4264-B0FB-46483BA84A7E}"/>
    <cellStyle name="Normal 5 6 3 3" xfId="5256" xr:uid="{00000000-0005-0000-0000-0000B31B0000}"/>
    <cellStyle name="Normal 5 6 3 3 2" xfId="13685" xr:uid="{0ED2724F-6E48-4541-9415-D9CAE388A7BA}"/>
    <cellStyle name="Normal 5 6 3 4" xfId="9467" xr:uid="{8620E1D3-2F90-4A5B-94F0-D7A4DF140FB9}"/>
    <cellStyle name="Normal 5 6 4" xfId="1360" xr:uid="{00000000-0005-0000-0000-0000B41B0000}"/>
    <cellStyle name="Normal 5 6 4 2" xfId="3590" xr:uid="{00000000-0005-0000-0000-0000B51B0000}"/>
    <cellStyle name="Normal 5 6 4 2 2" xfId="7814" xr:uid="{00000000-0005-0000-0000-0000B61B0000}"/>
    <cellStyle name="Normal 5 6 4 2 2 2" xfId="16243" xr:uid="{3F436E3F-450D-48A8-8B00-B49357AFA389}"/>
    <cellStyle name="Normal 5 6 4 2 3" xfId="12025" xr:uid="{4F46900A-C64B-4A01-871E-84FE368AA753}"/>
    <cellStyle name="Normal 5 6 4 3" xfId="5669" xr:uid="{00000000-0005-0000-0000-0000B71B0000}"/>
    <cellStyle name="Normal 5 6 4 3 2" xfId="14098" xr:uid="{707ADC23-39DF-4255-8DA2-E6C0570C275A}"/>
    <cellStyle name="Normal 5 6 4 4" xfId="9880" xr:uid="{30667582-202E-46C4-B176-56012A833B55}"/>
    <cellStyle name="Normal 5 6 5" xfId="1773" xr:uid="{00000000-0005-0000-0000-0000B81B0000}"/>
    <cellStyle name="Normal 5 6 5 2" xfId="4003" xr:uid="{00000000-0005-0000-0000-0000B91B0000}"/>
    <cellStyle name="Normal 5 6 5 2 2" xfId="8227" xr:uid="{00000000-0005-0000-0000-0000BA1B0000}"/>
    <cellStyle name="Normal 5 6 5 2 2 2" xfId="16656" xr:uid="{5C1DAEE0-FCCC-4A94-A53D-CC70641FDE8D}"/>
    <cellStyle name="Normal 5 6 5 2 3" xfId="12438" xr:uid="{9060BBD9-7F6F-45FC-B3FB-B089B35279ED}"/>
    <cellStyle name="Normal 5 6 5 3" xfId="6082" xr:uid="{00000000-0005-0000-0000-0000BB1B0000}"/>
    <cellStyle name="Normal 5 6 5 3 2" xfId="14511" xr:uid="{2B6EECA6-86D5-4815-A3A8-F1BDB3FA878A}"/>
    <cellStyle name="Normal 5 6 5 4" xfId="10293" xr:uid="{C7399E8C-F2DE-4E99-9CA1-C620CA86739F}"/>
    <cellStyle name="Normal 5 6 6" xfId="2187" xr:uid="{00000000-0005-0000-0000-0000BC1B0000}"/>
    <cellStyle name="Normal 5 6 6 2" xfId="4416" xr:uid="{00000000-0005-0000-0000-0000BD1B0000}"/>
    <cellStyle name="Normal 5 6 6 2 2" xfId="8640" xr:uid="{00000000-0005-0000-0000-0000BE1B0000}"/>
    <cellStyle name="Normal 5 6 6 2 2 2" xfId="17069" xr:uid="{A7A8CCEB-7732-4821-BEED-74ADB37FFF2A}"/>
    <cellStyle name="Normal 5 6 6 2 3" xfId="12851" xr:uid="{3DA482B9-A006-42FB-AB91-9348B6EBCDE2}"/>
    <cellStyle name="Normal 5 6 6 3" xfId="6495" xr:uid="{00000000-0005-0000-0000-0000BF1B0000}"/>
    <cellStyle name="Normal 5 6 6 3 2" xfId="14924" xr:uid="{840FE157-9E31-4254-A321-E91587ED658A}"/>
    <cellStyle name="Normal 5 6 6 4" xfId="10706" xr:uid="{E90B27B2-F17C-4E4C-91D0-B34EEF8AF10A}"/>
    <cellStyle name="Normal 5 6 7" xfId="2623" xr:uid="{00000000-0005-0000-0000-0000C01B0000}"/>
    <cellStyle name="Normal 5 6 7 2" xfId="6908" xr:uid="{00000000-0005-0000-0000-0000C11B0000}"/>
    <cellStyle name="Normal 5 6 7 2 2" xfId="15337" xr:uid="{288688ED-FD5A-4E7A-A660-21DDDA8B5EED}"/>
    <cellStyle name="Normal 5 6 7 3" xfId="11119" xr:uid="{591A6209-9B82-4211-A833-77C7472288A7}"/>
    <cellStyle name="Normal 5 6 8" xfId="4843" xr:uid="{00000000-0005-0000-0000-0000C21B0000}"/>
    <cellStyle name="Normal 5 6 8 2" xfId="13272" xr:uid="{6CABB84D-99A6-4D31-BFBC-20A9E73E3AE5}"/>
    <cellStyle name="Normal 5 6 9" xfId="9054" xr:uid="{CA6EC35E-7626-4AC2-8C4D-96117D0C1127}"/>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B0890777-F15A-4B00-BFA6-3A0BDBE760DE}"/>
    <cellStyle name="Normal 5 7 2 2 3" xfId="11614" xr:uid="{25ACADBE-F93F-4E60-B2F3-037E9862C8B2}"/>
    <cellStyle name="Normal 5 7 2 3" xfId="5258" xr:uid="{00000000-0005-0000-0000-0000C71B0000}"/>
    <cellStyle name="Normal 5 7 2 3 2" xfId="13687" xr:uid="{2C078217-7BAB-4FB8-9020-B7A21D2680D2}"/>
    <cellStyle name="Normal 5 7 2 4" xfId="9469" xr:uid="{18C64182-1AEA-49F1-A99A-3C2973F77369}"/>
    <cellStyle name="Normal 5 7 3" xfId="1362" xr:uid="{00000000-0005-0000-0000-0000C81B0000}"/>
    <cellStyle name="Normal 5 7 3 2" xfId="3592" xr:uid="{00000000-0005-0000-0000-0000C91B0000}"/>
    <cellStyle name="Normal 5 7 3 2 2" xfId="7816" xr:uid="{00000000-0005-0000-0000-0000CA1B0000}"/>
    <cellStyle name="Normal 5 7 3 2 2 2" xfId="16245" xr:uid="{09E53D28-C1B7-4426-ABDD-049326BD1986}"/>
    <cellStyle name="Normal 5 7 3 2 3" xfId="12027" xr:uid="{29E9D79E-0599-4FF5-A92E-E6EA4062A532}"/>
    <cellStyle name="Normal 5 7 3 3" xfId="5671" xr:uid="{00000000-0005-0000-0000-0000CB1B0000}"/>
    <cellStyle name="Normal 5 7 3 3 2" xfId="14100" xr:uid="{303376AA-3D51-414F-96CB-CD3426C125FA}"/>
    <cellStyle name="Normal 5 7 3 4" xfId="9882" xr:uid="{B4B36B84-2408-439F-9B10-AFEDBC07037A}"/>
    <cellStyle name="Normal 5 7 4" xfId="1775" xr:uid="{00000000-0005-0000-0000-0000CC1B0000}"/>
    <cellStyle name="Normal 5 7 4 2" xfId="4005" xr:uid="{00000000-0005-0000-0000-0000CD1B0000}"/>
    <cellStyle name="Normal 5 7 4 2 2" xfId="8229" xr:uid="{00000000-0005-0000-0000-0000CE1B0000}"/>
    <cellStyle name="Normal 5 7 4 2 2 2" xfId="16658" xr:uid="{43825497-62E6-4DA4-8AC5-B8AA7D682CC2}"/>
    <cellStyle name="Normal 5 7 4 2 3" xfId="12440" xr:uid="{91E154E5-5518-43AB-B509-62B9A334FFDC}"/>
    <cellStyle name="Normal 5 7 4 3" xfId="6084" xr:uid="{00000000-0005-0000-0000-0000CF1B0000}"/>
    <cellStyle name="Normal 5 7 4 3 2" xfId="14513" xr:uid="{0D0FD614-9853-4113-AC19-0C7A74210014}"/>
    <cellStyle name="Normal 5 7 4 4" xfId="10295" xr:uid="{4B353FCE-6603-4C92-AC6C-B4F3A1B2A055}"/>
    <cellStyle name="Normal 5 7 5" xfId="2189" xr:uid="{00000000-0005-0000-0000-0000D01B0000}"/>
    <cellStyle name="Normal 5 7 5 2" xfId="4418" xr:uid="{00000000-0005-0000-0000-0000D11B0000}"/>
    <cellStyle name="Normal 5 7 5 2 2" xfId="8642" xr:uid="{00000000-0005-0000-0000-0000D21B0000}"/>
    <cellStyle name="Normal 5 7 5 2 2 2" xfId="17071" xr:uid="{B49CEF2C-FA6F-4F18-ACC1-B40608F9141B}"/>
    <cellStyle name="Normal 5 7 5 2 3" xfId="12853" xr:uid="{CB31C6CE-9680-4199-97D7-E4F2B5810442}"/>
    <cellStyle name="Normal 5 7 5 3" xfId="6497" xr:uid="{00000000-0005-0000-0000-0000D31B0000}"/>
    <cellStyle name="Normal 5 7 5 3 2" xfId="14926" xr:uid="{7D86E6F9-1B25-45E9-A957-A58F9D69E53C}"/>
    <cellStyle name="Normal 5 7 5 4" xfId="10708" xr:uid="{ACD0D064-2E0E-426D-9027-3CD7762D08B2}"/>
    <cellStyle name="Normal 5 7 6" xfId="2625" xr:uid="{00000000-0005-0000-0000-0000D41B0000}"/>
    <cellStyle name="Normal 5 7 6 2" xfId="6910" xr:uid="{00000000-0005-0000-0000-0000D51B0000}"/>
    <cellStyle name="Normal 5 7 6 2 2" xfId="15339" xr:uid="{3F71CFE4-C18C-4A18-8C46-D607598B89C5}"/>
    <cellStyle name="Normal 5 7 6 3" xfId="11121" xr:uid="{DD141688-AD6D-445B-9FAF-FCC22D9D01D6}"/>
    <cellStyle name="Normal 5 7 7" xfId="4845" xr:uid="{00000000-0005-0000-0000-0000D61B0000}"/>
    <cellStyle name="Normal 5 7 7 2" xfId="13274" xr:uid="{3A009345-68A9-427E-B5B8-0980A4E7B20F}"/>
    <cellStyle name="Normal 5 7 8" xfId="9056" xr:uid="{0A21D6A8-03AC-4B76-B07F-BDD108954341}"/>
    <cellStyle name="Normal 5 8" xfId="881" xr:uid="{00000000-0005-0000-0000-0000D71B0000}"/>
    <cellStyle name="Normal 5 8 2" xfId="3116" xr:uid="{00000000-0005-0000-0000-0000D81B0000}"/>
    <cellStyle name="Normal 5 8 2 2" xfId="7340" xr:uid="{00000000-0005-0000-0000-0000D91B0000}"/>
    <cellStyle name="Normal 5 8 2 2 2" xfId="15769" xr:uid="{E5C88B73-78F9-4004-BA38-702335E89953}"/>
    <cellStyle name="Normal 5 8 2 3" xfId="11551" xr:uid="{36BC36BD-8623-4D23-9E6F-EDC12DB1420C}"/>
    <cellStyle name="Normal 5 8 3" xfId="5195" xr:uid="{00000000-0005-0000-0000-0000DA1B0000}"/>
    <cellStyle name="Normal 5 8 3 2" xfId="13624" xr:uid="{92B35F49-0140-4E10-9912-98E23D0FE81B}"/>
    <cellStyle name="Normal 5 8 4" xfId="9406" xr:uid="{372291EE-EEDE-450D-A266-F794D3C82275}"/>
    <cellStyle name="Normal 5 9" xfId="1299" xr:uid="{00000000-0005-0000-0000-0000DB1B0000}"/>
    <cellStyle name="Normal 5 9 2" xfId="3529" xr:uid="{00000000-0005-0000-0000-0000DC1B0000}"/>
    <cellStyle name="Normal 5 9 2 2" xfId="7753" xr:uid="{00000000-0005-0000-0000-0000DD1B0000}"/>
    <cellStyle name="Normal 5 9 2 2 2" xfId="16182" xr:uid="{C849D0B7-2225-45F4-983D-4464E76B58D1}"/>
    <cellStyle name="Normal 5 9 2 3" xfId="11964" xr:uid="{93D8B341-67B9-40ED-8FBC-380B890AB391}"/>
    <cellStyle name="Normal 5 9 3" xfId="5608" xr:uid="{00000000-0005-0000-0000-0000DE1B0000}"/>
    <cellStyle name="Normal 5 9 3 2" xfId="14037" xr:uid="{57E418EC-F5B3-4D24-B21D-9961D30E57AF}"/>
    <cellStyle name="Normal 5 9 4" xfId="9819" xr:uid="{D545EAFF-31A4-4B20-B347-7BBC976FA2B4}"/>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DEB63215-CE78-406A-BD51-DBB2CE2CD4C9}"/>
    <cellStyle name="Normal 8 10 2 3" xfId="12854" xr:uid="{C66EA507-1209-4BE7-997E-0565988ADAF0}"/>
    <cellStyle name="Normal 8 10 3" xfId="6498" xr:uid="{00000000-0005-0000-0000-0000EA1B0000}"/>
    <cellStyle name="Normal 8 10 3 2" xfId="14927" xr:uid="{DF810B37-7BCF-4E0A-A7ED-D53C62E24910}"/>
    <cellStyle name="Normal 8 10 4" xfId="10709" xr:uid="{C6AACDAA-39EC-4BDF-A609-1B4076AACFF2}"/>
    <cellStyle name="Normal 8 11" xfId="2626" xr:uid="{00000000-0005-0000-0000-0000EB1B0000}"/>
    <cellStyle name="Normal 8 11 2" xfId="6911" xr:uid="{00000000-0005-0000-0000-0000EC1B0000}"/>
    <cellStyle name="Normal 8 11 2 2" xfId="15340" xr:uid="{B8C46684-F212-45B2-AF45-B4EC84F9B3CB}"/>
    <cellStyle name="Normal 8 11 3" xfId="11122" xr:uid="{99036628-4BAF-4DBA-80E6-593EFA7750E9}"/>
    <cellStyle name="Normal 8 12" xfId="4846" xr:uid="{00000000-0005-0000-0000-0000ED1B0000}"/>
    <cellStyle name="Normal 8 12 2" xfId="13275" xr:uid="{F55B2F91-2B23-405A-990B-24D7062B097E}"/>
    <cellStyle name="Normal 8 13" xfId="9057" xr:uid="{8003F16C-CFDB-459B-B79E-2EF6691239EF}"/>
    <cellStyle name="Normal 8 2" xfId="479" xr:uid="{00000000-0005-0000-0000-0000EE1B0000}"/>
    <cellStyle name="Normal 8 2 10" xfId="2627" xr:uid="{00000000-0005-0000-0000-0000EF1B0000}"/>
    <cellStyle name="Normal 8 2 10 2" xfId="6912" xr:uid="{00000000-0005-0000-0000-0000F01B0000}"/>
    <cellStyle name="Normal 8 2 10 2 2" xfId="15341" xr:uid="{57D09910-2E5F-4523-B49D-6B9F1497311D}"/>
    <cellStyle name="Normal 8 2 10 3" xfId="11123" xr:uid="{662FEAB4-8D07-48C6-BC2F-52179F55CFD2}"/>
    <cellStyle name="Normal 8 2 11" xfId="4847" xr:uid="{00000000-0005-0000-0000-0000F11B0000}"/>
    <cellStyle name="Normal 8 2 11 2" xfId="13276" xr:uid="{84D84D01-7EB7-4BA8-A661-CB70C7A98B4F}"/>
    <cellStyle name="Normal 8 2 12" xfId="9058" xr:uid="{67964C95-98A8-47D7-8350-AAA5A83D9DC7}"/>
    <cellStyle name="Normal 8 2 2" xfId="480" xr:uid="{00000000-0005-0000-0000-0000F21B0000}"/>
    <cellStyle name="Normal 8 2 2 10" xfId="4848" xr:uid="{00000000-0005-0000-0000-0000F31B0000}"/>
    <cellStyle name="Normal 8 2 2 10 2" xfId="13277" xr:uid="{8708EC03-DF8F-43F3-A17B-4C64123C58B5}"/>
    <cellStyle name="Normal 8 2 2 11" xfId="9059" xr:uid="{1C20AF06-54BC-4357-8351-FC6CA3B0AFA7}"/>
    <cellStyle name="Normal 8 2 2 2" xfId="481" xr:uid="{00000000-0005-0000-0000-0000F41B0000}"/>
    <cellStyle name="Normal 8 2 2 2 10" xfId="9060" xr:uid="{93FE735D-B3D2-4624-9753-5E7DA6C7CE3A}"/>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70E5BBC5-A094-4993-99ED-BFB6B2DD9876}"/>
    <cellStyle name="Normal 8 2 2 2 2 2 2 2 3" xfId="11620" xr:uid="{2B81196B-E65A-4BAE-8222-855516EE7B9D}"/>
    <cellStyle name="Normal 8 2 2 2 2 2 2 3" xfId="5264" xr:uid="{00000000-0005-0000-0000-0000FA1B0000}"/>
    <cellStyle name="Normal 8 2 2 2 2 2 2 3 2" xfId="13693" xr:uid="{6CB41DB1-E04F-47A8-B4A5-909335EA9FD1}"/>
    <cellStyle name="Normal 8 2 2 2 2 2 2 4" xfId="9475" xr:uid="{86EF3DC4-0A95-44DE-892F-6ADC593682DE}"/>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118FEA16-DD26-4FB8-BB5E-B2A58D0FBF89}"/>
    <cellStyle name="Normal 8 2 2 2 2 2 3 2 3" xfId="12033" xr:uid="{9D7A778B-924F-4218-86DD-D7CCA2FDFFF0}"/>
    <cellStyle name="Normal 8 2 2 2 2 2 3 3" xfId="5677" xr:uid="{00000000-0005-0000-0000-0000FE1B0000}"/>
    <cellStyle name="Normal 8 2 2 2 2 2 3 3 2" xfId="14106" xr:uid="{CE067B69-A3BB-4487-AE45-6CE9427C610B}"/>
    <cellStyle name="Normal 8 2 2 2 2 2 3 4" xfId="9888" xr:uid="{DB266CEF-F75A-4048-9FD1-C9EE80CDE7DD}"/>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94AC82E2-3D05-4157-9B86-1F1381002EC9}"/>
    <cellStyle name="Normal 8 2 2 2 2 2 4 2 3" xfId="12446" xr:uid="{D0661C06-8590-4999-9C77-55FDE676004E}"/>
    <cellStyle name="Normal 8 2 2 2 2 2 4 3" xfId="6090" xr:uid="{00000000-0005-0000-0000-0000021C0000}"/>
    <cellStyle name="Normal 8 2 2 2 2 2 4 3 2" xfId="14519" xr:uid="{A20B74AF-76A4-40C0-B477-51091439F8FA}"/>
    <cellStyle name="Normal 8 2 2 2 2 2 4 4" xfId="10301" xr:uid="{D2F9CCFA-E44E-402F-9E21-B3A8B5D69E1D}"/>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1B00EFAD-E3E7-4803-AA6B-E4F79CE33AF9}"/>
    <cellStyle name="Normal 8 2 2 2 2 2 5 2 3" xfId="12859" xr:uid="{E31FFFF7-3780-4F5B-935A-57FA1C8702A1}"/>
    <cellStyle name="Normal 8 2 2 2 2 2 5 3" xfId="6503" xr:uid="{00000000-0005-0000-0000-0000061C0000}"/>
    <cellStyle name="Normal 8 2 2 2 2 2 5 3 2" xfId="14932" xr:uid="{800D74CB-4FD5-4EC9-8C18-DB84DB256F80}"/>
    <cellStyle name="Normal 8 2 2 2 2 2 5 4" xfId="10714" xr:uid="{B026821B-96B8-4BEA-A053-13ACC87EE123}"/>
    <cellStyle name="Normal 8 2 2 2 2 2 6" xfId="2631" xr:uid="{00000000-0005-0000-0000-0000071C0000}"/>
    <cellStyle name="Normal 8 2 2 2 2 2 6 2" xfId="6916" xr:uid="{00000000-0005-0000-0000-0000081C0000}"/>
    <cellStyle name="Normal 8 2 2 2 2 2 6 2 2" xfId="15345" xr:uid="{BD52F602-ECB3-4BAC-A058-D2EFDACAD98C}"/>
    <cellStyle name="Normal 8 2 2 2 2 2 6 3" xfId="11127" xr:uid="{3AF21E5D-3BE5-4849-B3E4-A98395A35902}"/>
    <cellStyle name="Normal 8 2 2 2 2 2 7" xfId="4851" xr:uid="{00000000-0005-0000-0000-0000091C0000}"/>
    <cellStyle name="Normal 8 2 2 2 2 2 7 2" xfId="13280" xr:uid="{AAB4D5F1-6C37-4BDA-8674-6A18DA247047}"/>
    <cellStyle name="Normal 8 2 2 2 2 2 8" xfId="9062" xr:uid="{DFDF52B9-888A-4C68-AACF-6FD253F1FCD9}"/>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88098111-9C03-4879-89C1-61EB17CCBB0B}"/>
    <cellStyle name="Normal 8 2 2 2 2 3 2 3" xfId="11619" xr:uid="{D5FB6358-89ED-4BBE-A48B-9739CAB570D9}"/>
    <cellStyle name="Normal 8 2 2 2 2 3 3" xfId="5263" xr:uid="{00000000-0005-0000-0000-00000D1C0000}"/>
    <cellStyle name="Normal 8 2 2 2 2 3 3 2" xfId="13692" xr:uid="{C5C4006B-7FA7-49F5-B1FD-EA47A24C7C62}"/>
    <cellStyle name="Normal 8 2 2 2 2 3 4" xfId="9474" xr:uid="{BD230450-ABB1-4F2A-A3BC-62A4B3D36AE8}"/>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251EE0F1-98B9-44A6-A3CA-B70ED93B7E83}"/>
    <cellStyle name="Normal 8 2 2 2 2 4 2 3" xfId="12032" xr:uid="{6758941D-31DC-4A5D-B198-606EEA13A91F}"/>
    <cellStyle name="Normal 8 2 2 2 2 4 3" xfId="5676" xr:uid="{00000000-0005-0000-0000-0000111C0000}"/>
    <cellStyle name="Normal 8 2 2 2 2 4 3 2" xfId="14105" xr:uid="{30B9930F-5D0F-47AC-A26A-0EBFF31AB70D}"/>
    <cellStyle name="Normal 8 2 2 2 2 4 4" xfId="9887" xr:uid="{71BDE09E-29C0-4DE2-998D-3DE920DA2037}"/>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42DC6F39-7DD8-46F4-A3D7-749348C2D485}"/>
    <cellStyle name="Normal 8 2 2 2 2 5 2 3" xfId="12445" xr:uid="{202AE2FE-8E5A-480B-8A4E-1D68A55E8249}"/>
    <cellStyle name="Normal 8 2 2 2 2 5 3" xfId="6089" xr:uid="{00000000-0005-0000-0000-0000151C0000}"/>
    <cellStyle name="Normal 8 2 2 2 2 5 3 2" xfId="14518" xr:uid="{DB8EF2BA-4888-44EE-96D6-92994E2B1FE0}"/>
    <cellStyle name="Normal 8 2 2 2 2 5 4" xfId="10300" xr:uid="{B82E28B6-ED4A-4BC7-9B1C-C6563D5A3073}"/>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A6152FAB-ED74-4587-8E0A-D0415B94B813}"/>
    <cellStyle name="Normal 8 2 2 2 2 6 2 3" xfId="12858" xr:uid="{1A53A851-F2B3-4C96-994E-40BD041DFBAC}"/>
    <cellStyle name="Normal 8 2 2 2 2 6 3" xfId="6502" xr:uid="{00000000-0005-0000-0000-0000191C0000}"/>
    <cellStyle name="Normal 8 2 2 2 2 6 3 2" xfId="14931" xr:uid="{5D41E12C-36C4-44D0-A6E6-9C68C4B60CCC}"/>
    <cellStyle name="Normal 8 2 2 2 2 6 4" xfId="10713" xr:uid="{03592156-D45B-4211-B6F5-6EAF94827CDB}"/>
    <cellStyle name="Normal 8 2 2 2 2 7" xfId="2630" xr:uid="{00000000-0005-0000-0000-00001A1C0000}"/>
    <cellStyle name="Normal 8 2 2 2 2 7 2" xfId="6915" xr:uid="{00000000-0005-0000-0000-00001B1C0000}"/>
    <cellStyle name="Normal 8 2 2 2 2 7 2 2" xfId="15344" xr:uid="{20A74CB2-AFA6-4020-ADA5-4BDCCC369CD9}"/>
    <cellStyle name="Normal 8 2 2 2 2 7 3" xfId="11126" xr:uid="{FE493643-9290-4AA8-8402-48945C458296}"/>
    <cellStyle name="Normal 8 2 2 2 2 8" xfId="4850" xr:uid="{00000000-0005-0000-0000-00001C1C0000}"/>
    <cellStyle name="Normal 8 2 2 2 2 8 2" xfId="13279" xr:uid="{E0D25027-BFF8-4AC8-A023-90E6E1BD4E0F}"/>
    <cellStyle name="Normal 8 2 2 2 2 9" xfId="9061" xr:uid="{CE323058-AB1C-4328-8AFB-40D84907A54D}"/>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C00BAB94-94C6-4ABB-9C34-15485AA3F745}"/>
    <cellStyle name="Normal 8 2 2 2 3 2 2 3" xfId="11621" xr:uid="{7E22BD8D-C21F-4601-96BB-A3C81CC282C2}"/>
    <cellStyle name="Normal 8 2 2 2 3 2 3" xfId="5265" xr:uid="{00000000-0005-0000-0000-0000211C0000}"/>
    <cellStyle name="Normal 8 2 2 2 3 2 3 2" xfId="13694" xr:uid="{F7DFFBDD-9F66-41B9-AC21-6A78898A039D}"/>
    <cellStyle name="Normal 8 2 2 2 3 2 4" xfId="9476" xr:uid="{CA1123DF-1C7B-4CF0-9FB9-489DDC36126F}"/>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2386C78B-D60A-48B0-B2BF-4EF9FC9D7C94}"/>
    <cellStyle name="Normal 8 2 2 2 3 3 2 3" xfId="12034" xr:uid="{0A5EFBBD-D8F2-467A-A3BD-9FD1FA4DC613}"/>
    <cellStyle name="Normal 8 2 2 2 3 3 3" xfId="5678" xr:uid="{00000000-0005-0000-0000-0000251C0000}"/>
    <cellStyle name="Normal 8 2 2 2 3 3 3 2" xfId="14107" xr:uid="{F3B9F0BA-5E3D-4082-BC96-A4DE9D292605}"/>
    <cellStyle name="Normal 8 2 2 2 3 3 4" xfId="9889" xr:uid="{D0B5D5F6-202C-4325-B1AC-D97F403B7DA9}"/>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1B76C1EE-7E33-4ABF-998B-CCE08BBE77B4}"/>
    <cellStyle name="Normal 8 2 2 2 3 4 2 3" xfId="12447" xr:uid="{4DB20E45-1ADA-4EC1-9749-A756F64ACFE5}"/>
    <cellStyle name="Normal 8 2 2 2 3 4 3" xfId="6091" xr:uid="{00000000-0005-0000-0000-0000291C0000}"/>
    <cellStyle name="Normal 8 2 2 2 3 4 3 2" xfId="14520" xr:uid="{146EFF4C-1B6D-4C08-A48D-A68F4DE69AB9}"/>
    <cellStyle name="Normal 8 2 2 2 3 4 4" xfId="10302" xr:uid="{76A26CEC-BC43-487D-B4EE-12D57C6AE1CA}"/>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C695229D-2896-455A-A8BB-090FA99E2505}"/>
    <cellStyle name="Normal 8 2 2 2 3 5 2 3" xfId="12860" xr:uid="{6C6A3740-E915-40B6-AE32-8DE4C8F5D9F6}"/>
    <cellStyle name="Normal 8 2 2 2 3 5 3" xfId="6504" xr:uid="{00000000-0005-0000-0000-00002D1C0000}"/>
    <cellStyle name="Normal 8 2 2 2 3 5 3 2" xfId="14933" xr:uid="{61FA6B92-CDE0-47B5-9DA2-07BF530F6C3B}"/>
    <cellStyle name="Normal 8 2 2 2 3 5 4" xfId="10715" xr:uid="{6917FF80-E368-41B7-93A1-E5E3758E94F0}"/>
    <cellStyle name="Normal 8 2 2 2 3 6" xfId="2632" xr:uid="{00000000-0005-0000-0000-00002E1C0000}"/>
    <cellStyle name="Normal 8 2 2 2 3 6 2" xfId="6917" xr:uid="{00000000-0005-0000-0000-00002F1C0000}"/>
    <cellStyle name="Normal 8 2 2 2 3 6 2 2" xfId="15346" xr:uid="{502379F8-678F-4273-A36E-54460B0E1301}"/>
    <cellStyle name="Normal 8 2 2 2 3 6 3" xfId="11128" xr:uid="{BE37012D-F92B-4839-B740-535A0C563A76}"/>
    <cellStyle name="Normal 8 2 2 2 3 7" xfId="4852" xr:uid="{00000000-0005-0000-0000-0000301C0000}"/>
    <cellStyle name="Normal 8 2 2 2 3 7 2" xfId="13281" xr:uid="{99A4EFFE-813E-4FD5-918B-CC7BBB18CDC1}"/>
    <cellStyle name="Normal 8 2 2 2 3 8" xfId="9063" xr:uid="{ADB4CD91-5E1F-44C4-8109-3D3D04466417}"/>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D09BDDB3-AB90-415D-8568-D0A25690740A}"/>
    <cellStyle name="Normal 8 2 2 2 4 2 3" xfId="11618" xr:uid="{25C574CB-1761-441C-9FA6-DF6DDB66C277}"/>
    <cellStyle name="Normal 8 2 2 2 4 3" xfId="5262" xr:uid="{00000000-0005-0000-0000-0000341C0000}"/>
    <cellStyle name="Normal 8 2 2 2 4 3 2" xfId="13691" xr:uid="{989C9901-006A-4973-A20C-1C6F7011A430}"/>
    <cellStyle name="Normal 8 2 2 2 4 4" xfId="9473" xr:uid="{D2F373E5-61BE-4ADF-9B66-83C1CDC15B95}"/>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060615F4-A282-4940-AE32-38E01F6732FD}"/>
    <cellStyle name="Normal 8 2 2 2 5 2 3" xfId="12031" xr:uid="{D0197600-7879-4480-95F8-9A51B4E42742}"/>
    <cellStyle name="Normal 8 2 2 2 5 3" xfId="5675" xr:uid="{00000000-0005-0000-0000-0000381C0000}"/>
    <cellStyle name="Normal 8 2 2 2 5 3 2" xfId="14104" xr:uid="{D9B81AA6-DD87-4883-917D-E4ABFD18A81D}"/>
    <cellStyle name="Normal 8 2 2 2 5 4" xfId="9886" xr:uid="{F6A48CCA-5F20-47FE-8B1F-684BC880D3E8}"/>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1915391C-5365-43A9-B7C6-09ACB34093E0}"/>
    <cellStyle name="Normal 8 2 2 2 6 2 3" xfId="12444" xr:uid="{801131C5-28D4-4312-95B3-EF95248CFBE2}"/>
    <cellStyle name="Normal 8 2 2 2 6 3" xfId="6088" xr:uid="{00000000-0005-0000-0000-00003C1C0000}"/>
    <cellStyle name="Normal 8 2 2 2 6 3 2" xfId="14517" xr:uid="{1507BF4C-CA8B-4F9D-8C0C-0A3D2E1B6B4E}"/>
    <cellStyle name="Normal 8 2 2 2 6 4" xfId="10299" xr:uid="{2663F9E6-1EF7-4657-A06E-B19E9FD1D8E9}"/>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36D0296A-A22F-4F11-AA4C-640DCEA8AC32}"/>
    <cellStyle name="Normal 8 2 2 2 7 2 3" xfId="12857" xr:uid="{EF67E347-E235-4723-B84B-4FE0C1262CF2}"/>
    <cellStyle name="Normal 8 2 2 2 7 3" xfId="6501" xr:uid="{00000000-0005-0000-0000-0000401C0000}"/>
    <cellStyle name="Normal 8 2 2 2 7 3 2" xfId="14930" xr:uid="{9FC6EFE9-AD80-49CE-9134-71236C616BB6}"/>
    <cellStyle name="Normal 8 2 2 2 7 4" xfId="10712" xr:uid="{60914C46-C9F8-497E-B9DC-65475A87AAD7}"/>
    <cellStyle name="Normal 8 2 2 2 8" xfId="2629" xr:uid="{00000000-0005-0000-0000-0000411C0000}"/>
    <cellStyle name="Normal 8 2 2 2 8 2" xfId="6914" xr:uid="{00000000-0005-0000-0000-0000421C0000}"/>
    <cellStyle name="Normal 8 2 2 2 8 2 2" xfId="15343" xr:uid="{B97FACA2-0E2D-4556-BCA6-BB684895F891}"/>
    <cellStyle name="Normal 8 2 2 2 8 3" xfId="11125" xr:uid="{BAD09281-9A5F-4A6C-8631-81FB35893ABB}"/>
    <cellStyle name="Normal 8 2 2 2 9" xfId="4849" xr:uid="{00000000-0005-0000-0000-0000431C0000}"/>
    <cellStyle name="Normal 8 2 2 2 9 2" xfId="13278" xr:uid="{B9BDA8E9-D31A-4642-BF12-53682D54CD42}"/>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49F4185D-7E42-47E8-A11A-652B175B9878}"/>
    <cellStyle name="Normal 8 2 2 3 2 2 2 3" xfId="11623" xr:uid="{756B34C2-3AA9-465D-BE2D-BA729A54381B}"/>
    <cellStyle name="Normal 8 2 2 3 2 2 3" xfId="5267" xr:uid="{00000000-0005-0000-0000-0000491C0000}"/>
    <cellStyle name="Normal 8 2 2 3 2 2 3 2" xfId="13696" xr:uid="{C68014BF-8266-4907-B521-644D2446404B}"/>
    <cellStyle name="Normal 8 2 2 3 2 2 4" xfId="9478" xr:uid="{41F478F8-629B-4763-9F17-6CC7457FAF22}"/>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4225A146-AE11-4CC4-9D16-E7198F0A5F99}"/>
    <cellStyle name="Normal 8 2 2 3 2 3 2 3" xfId="12036" xr:uid="{57361E31-8C24-447E-A315-C3403D07899D}"/>
    <cellStyle name="Normal 8 2 2 3 2 3 3" xfId="5680" xr:uid="{00000000-0005-0000-0000-00004D1C0000}"/>
    <cellStyle name="Normal 8 2 2 3 2 3 3 2" xfId="14109" xr:uid="{2B6E4AFA-2E2B-47E6-9FE5-A012719EE16D}"/>
    <cellStyle name="Normal 8 2 2 3 2 3 4" xfId="9891" xr:uid="{4097322F-ED98-418A-8E2E-B10DC25FA714}"/>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A0E373DC-6DE9-4184-B2D1-47EB2274586D}"/>
    <cellStyle name="Normal 8 2 2 3 2 4 2 3" xfId="12449" xr:uid="{D0A94E93-E7C9-4F27-8BC0-68DC86A99BD4}"/>
    <cellStyle name="Normal 8 2 2 3 2 4 3" xfId="6093" xr:uid="{00000000-0005-0000-0000-0000511C0000}"/>
    <cellStyle name="Normal 8 2 2 3 2 4 3 2" xfId="14522" xr:uid="{843A5531-4830-4B7C-AF60-FD476028C3C7}"/>
    <cellStyle name="Normal 8 2 2 3 2 4 4" xfId="10304" xr:uid="{368F6ED2-3002-444B-A838-1E8489D2EF3E}"/>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4C94EDE3-D665-4826-9CE5-5EEFF23BEAEE}"/>
    <cellStyle name="Normal 8 2 2 3 2 5 2 3" xfId="12862" xr:uid="{16869B5F-154E-496E-B762-E28D3E8E3BD2}"/>
    <cellStyle name="Normal 8 2 2 3 2 5 3" xfId="6506" xr:uid="{00000000-0005-0000-0000-0000551C0000}"/>
    <cellStyle name="Normal 8 2 2 3 2 5 3 2" xfId="14935" xr:uid="{AB558DB2-5A21-47AD-B038-071484BE308E}"/>
    <cellStyle name="Normal 8 2 2 3 2 5 4" xfId="10717" xr:uid="{0D9E1DC2-3F8D-4CDB-BEEC-B4B775A5080D}"/>
    <cellStyle name="Normal 8 2 2 3 2 6" xfId="2634" xr:uid="{00000000-0005-0000-0000-0000561C0000}"/>
    <cellStyle name="Normal 8 2 2 3 2 6 2" xfId="6919" xr:uid="{00000000-0005-0000-0000-0000571C0000}"/>
    <cellStyle name="Normal 8 2 2 3 2 6 2 2" xfId="15348" xr:uid="{1D97DE13-5136-4357-9E5A-37BD2528BA02}"/>
    <cellStyle name="Normal 8 2 2 3 2 6 3" xfId="11130" xr:uid="{8E2E4475-7E80-47CB-BC76-09AE11243B2C}"/>
    <cellStyle name="Normal 8 2 2 3 2 7" xfId="4854" xr:uid="{00000000-0005-0000-0000-0000581C0000}"/>
    <cellStyle name="Normal 8 2 2 3 2 7 2" xfId="13283" xr:uid="{B8D559CF-D118-4A35-8EBC-0AD13E1791F3}"/>
    <cellStyle name="Normal 8 2 2 3 2 8" xfId="9065" xr:uid="{773A8134-4E2E-4403-BCE6-AC52F3FA7A2A}"/>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E4FE82FB-0235-4AF3-9566-E231E009E0C6}"/>
    <cellStyle name="Normal 8 2 2 3 3 2 3" xfId="11622" xr:uid="{7021D5A3-102D-4C36-818F-65B1C7DF6BF2}"/>
    <cellStyle name="Normal 8 2 2 3 3 3" xfId="5266" xr:uid="{00000000-0005-0000-0000-00005C1C0000}"/>
    <cellStyle name="Normal 8 2 2 3 3 3 2" xfId="13695" xr:uid="{8ED1CA26-7EA8-4822-B6BF-65E69479F7A3}"/>
    <cellStyle name="Normal 8 2 2 3 3 4" xfId="9477" xr:uid="{95242CE2-0C2C-41FC-A173-A938E57FECA8}"/>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6236194C-2193-4341-B949-9A3FA99F9BDC}"/>
    <cellStyle name="Normal 8 2 2 3 4 2 3" xfId="12035" xr:uid="{546D0AD6-E48A-4A9E-BC1E-59D1BAE5E647}"/>
    <cellStyle name="Normal 8 2 2 3 4 3" xfId="5679" xr:uid="{00000000-0005-0000-0000-0000601C0000}"/>
    <cellStyle name="Normal 8 2 2 3 4 3 2" xfId="14108" xr:uid="{485DA2D0-AE4B-45B7-BAB4-5A4184688C67}"/>
    <cellStyle name="Normal 8 2 2 3 4 4" xfId="9890" xr:uid="{E7C0AFF6-3AFC-40AA-99BE-3962B6C3D250}"/>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4D6BE522-685C-4714-9EC7-09D8B930941C}"/>
    <cellStyle name="Normal 8 2 2 3 5 2 3" xfId="12448" xr:uid="{B72D947A-C9C1-42AA-8A6B-5D9B23595125}"/>
    <cellStyle name="Normal 8 2 2 3 5 3" xfId="6092" xr:uid="{00000000-0005-0000-0000-0000641C0000}"/>
    <cellStyle name="Normal 8 2 2 3 5 3 2" xfId="14521" xr:uid="{E771C329-43D3-4DD5-8F06-C4B8B76FEF9C}"/>
    <cellStyle name="Normal 8 2 2 3 5 4" xfId="10303" xr:uid="{5016F39C-A9B1-4579-A659-19DB9BAA2BAD}"/>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C6A47E1D-446F-486E-865B-CF1BB85E9032}"/>
    <cellStyle name="Normal 8 2 2 3 6 2 3" xfId="12861" xr:uid="{45755097-A9A4-4C87-84F7-B633831CB3C9}"/>
    <cellStyle name="Normal 8 2 2 3 6 3" xfId="6505" xr:uid="{00000000-0005-0000-0000-0000681C0000}"/>
    <cellStyle name="Normal 8 2 2 3 6 3 2" xfId="14934" xr:uid="{181D2659-1512-4D2C-9E17-296F870A6D7C}"/>
    <cellStyle name="Normal 8 2 2 3 6 4" xfId="10716" xr:uid="{33521856-65F8-41C2-ACF5-2D097BE7B8E9}"/>
    <cellStyle name="Normal 8 2 2 3 7" xfId="2633" xr:uid="{00000000-0005-0000-0000-0000691C0000}"/>
    <cellStyle name="Normal 8 2 2 3 7 2" xfId="6918" xr:uid="{00000000-0005-0000-0000-00006A1C0000}"/>
    <cellStyle name="Normal 8 2 2 3 7 2 2" xfId="15347" xr:uid="{061C9887-EA2A-4419-B84A-8D9D26792561}"/>
    <cellStyle name="Normal 8 2 2 3 7 3" xfId="11129" xr:uid="{D3B2D57A-7AC3-41BB-AB94-33429D0E54C2}"/>
    <cellStyle name="Normal 8 2 2 3 8" xfId="4853" xr:uid="{00000000-0005-0000-0000-00006B1C0000}"/>
    <cellStyle name="Normal 8 2 2 3 8 2" xfId="13282" xr:uid="{594230C0-7755-4030-80D8-6062BBBA2C02}"/>
    <cellStyle name="Normal 8 2 2 3 9" xfId="9064" xr:uid="{C0A0251C-A46E-4245-B9E9-83C6DE30EE1E}"/>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B62BE0A4-51CF-4CDF-95D2-48EA63EEC3EF}"/>
    <cellStyle name="Normal 8 2 2 4 2 2 3" xfId="11624" xr:uid="{1E9EEA98-3561-4754-BC04-FC12F0E5D840}"/>
    <cellStyle name="Normal 8 2 2 4 2 3" xfId="5268" xr:uid="{00000000-0005-0000-0000-0000701C0000}"/>
    <cellStyle name="Normal 8 2 2 4 2 3 2" xfId="13697" xr:uid="{B9E64464-7058-46BB-B684-84223FEE929B}"/>
    <cellStyle name="Normal 8 2 2 4 2 4" xfId="9479" xr:uid="{65F25EEC-1503-4754-9AA6-BD01151A7972}"/>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0F600EAB-C470-4BAB-81DB-4012780F2190}"/>
    <cellStyle name="Normal 8 2 2 4 3 2 3" xfId="12037" xr:uid="{066AE26D-9AAE-43D5-932D-7588DE9A44D2}"/>
    <cellStyle name="Normal 8 2 2 4 3 3" xfId="5681" xr:uid="{00000000-0005-0000-0000-0000741C0000}"/>
    <cellStyle name="Normal 8 2 2 4 3 3 2" xfId="14110" xr:uid="{3A65A426-F825-43D0-A065-3BBA3BC24C21}"/>
    <cellStyle name="Normal 8 2 2 4 3 4" xfId="9892" xr:uid="{30F3784D-ADCE-4DDD-A6CF-1C24F09253C4}"/>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F31E6FB4-89FC-438D-92E4-41F381D68D99}"/>
    <cellStyle name="Normal 8 2 2 4 4 2 3" xfId="12450" xr:uid="{36F321D5-579E-435B-9098-756DF0B7F571}"/>
    <cellStyle name="Normal 8 2 2 4 4 3" xfId="6094" xr:uid="{00000000-0005-0000-0000-0000781C0000}"/>
    <cellStyle name="Normal 8 2 2 4 4 3 2" xfId="14523" xr:uid="{7F83BFA8-7FF7-4400-864F-2C93E2486AC3}"/>
    <cellStyle name="Normal 8 2 2 4 4 4" xfId="10305" xr:uid="{7BB90863-8C08-4690-B983-9CBBBADA3017}"/>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1282DA0C-8B85-4D4D-80C5-C46C04C60E2E}"/>
    <cellStyle name="Normal 8 2 2 4 5 2 3" xfId="12863" xr:uid="{5F69908E-21DC-47CE-A729-25AB4AC4CFCD}"/>
    <cellStyle name="Normal 8 2 2 4 5 3" xfId="6507" xr:uid="{00000000-0005-0000-0000-00007C1C0000}"/>
    <cellStyle name="Normal 8 2 2 4 5 3 2" xfId="14936" xr:uid="{F4D31EB2-8120-49F0-8A79-45D5CF654105}"/>
    <cellStyle name="Normal 8 2 2 4 5 4" xfId="10718" xr:uid="{A7D80BF4-7A7C-477F-A35C-2B41A75991D7}"/>
    <cellStyle name="Normal 8 2 2 4 6" xfId="2635" xr:uid="{00000000-0005-0000-0000-00007D1C0000}"/>
    <cellStyle name="Normal 8 2 2 4 6 2" xfId="6920" xr:uid="{00000000-0005-0000-0000-00007E1C0000}"/>
    <cellStyle name="Normal 8 2 2 4 6 2 2" xfId="15349" xr:uid="{E52E01A0-114B-4337-BBDF-13BCD0C31823}"/>
    <cellStyle name="Normal 8 2 2 4 6 3" xfId="11131" xr:uid="{82A447AB-84BA-4D5D-9449-A834969A5450}"/>
    <cellStyle name="Normal 8 2 2 4 7" xfId="4855" xr:uid="{00000000-0005-0000-0000-00007F1C0000}"/>
    <cellStyle name="Normal 8 2 2 4 7 2" xfId="13284" xr:uid="{2D2BA768-A9DE-4B9B-ADED-50E6C57B7A9F}"/>
    <cellStyle name="Normal 8 2 2 4 8" xfId="9066" xr:uid="{49EEC681-E45B-402A-92D0-496A066585D7}"/>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B64E4697-2B34-4D34-99A3-11BF61DD8604}"/>
    <cellStyle name="Normal 8 2 2 5 2 3" xfId="11617" xr:uid="{5ED1A61D-66D7-4C05-AF53-560E8AE772FA}"/>
    <cellStyle name="Normal 8 2 2 5 3" xfId="5261" xr:uid="{00000000-0005-0000-0000-0000831C0000}"/>
    <cellStyle name="Normal 8 2 2 5 3 2" xfId="13690" xr:uid="{7B9265C0-80D7-408E-8A7B-D84B393CEAA3}"/>
    <cellStyle name="Normal 8 2 2 5 4" xfId="9472" xr:uid="{F3756EE5-5CF4-4A35-9D53-59537931A852}"/>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621E88A9-72B4-4111-AEBF-A9A6A99AE3C2}"/>
    <cellStyle name="Normal 8 2 2 6 2 3" xfId="12030" xr:uid="{E23D2181-F5ED-4461-9C79-EB6C775950DE}"/>
    <cellStyle name="Normal 8 2 2 6 3" xfId="5674" xr:uid="{00000000-0005-0000-0000-0000871C0000}"/>
    <cellStyle name="Normal 8 2 2 6 3 2" xfId="14103" xr:uid="{EB01C9AC-5251-4C2E-A43A-2A426C9AA573}"/>
    <cellStyle name="Normal 8 2 2 6 4" xfId="9885" xr:uid="{C29FCACE-1A6F-4984-81E5-884926704446}"/>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37B7EC8E-D3E1-4B7A-8CB5-7E3F375F23D1}"/>
    <cellStyle name="Normal 8 2 2 7 2 3" xfId="12443" xr:uid="{FDC324D2-6568-480A-8684-871C23A30BA2}"/>
    <cellStyle name="Normal 8 2 2 7 3" xfId="6087" xr:uid="{00000000-0005-0000-0000-00008B1C0000}"/>
    <cellStyle name="Normal 8 2 2 7 3 2" xfId="14516" xr:uid="{4F11E058-97C6-4826-9668-AD2E0AFC66AE}"/>
    <cellStyle name="Normal 8 2 2 7 4" xfId="10298" xr:uid="{16BFEC8B-8387-48B6-B125-994701C05F99}"/>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F07B2DEA-174D-4C17-91AC-33A23EFB605F}"/>
    <cellStyle name="Normal 8 2 2 8 2 3" xfId="12856" xr:uid="{18BD5C8B-61BC-438E-A2AB-A86A993C0E56}"/>
    <cellStyle name="Normal 8 2 2 8 3" xfId="6500" xr:uid="{00000000-0005-0000-0000-00008F1C0000}"/>
    <cellStyle name="Normal 8 2 2 8 3 2" xfId="14929" xr:uid="{8DA51586-54C6-4F37-A24D-9AD5A8B5CA96}"/>
    <cellStyle name="Normal 8 2 2 8 4" xfId="10711" xr:uid="{86D472C4-C9ED-48ED-B9DF-209B6AEBDD64}"/>
    <cellStyle name="Normal 8 2 2 9" xfId="2628" xr:uid="{00000000-0005-0000-0000-0000901C0000}"/>
    <cellStyle name="Normal 8 2 2 9 2" xfId="6913" xr:uid="{00000000-0005-0000-0000-0000911C0000}"/>
    <cellStyle name="Normal 8 2 2 9 2 2" xfId="15342" xr:uid="{D35EA2DB-4DA0-436B-96B7-031FD38A1579}"/>
    <cellStyle name="Normal 8 2 2 9 3" xfId="11124" xr:uid="{1D134C4D-0E22-47E4-B5A4-4DE93794246B}"/>
    <cellStyle name="Normal 8 2 3" xfId="488" xr:uid="{00000000-0005-0000-0000-0000921C0000}"/>
    <cellStyle name="Normal 8 2 3 10" xfId="9067" xr:uid="{2158D934-60E0-4B9A-A06B-C48B48D7B0B1}"/>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60AAE214-1116-449C-9B2F-7C5560C60441}"/>
    <cellStyle name="Normal 8 2 3 2 2 2 2 3" xfId="11627" xr:uid="{13634DA1-E1BD-4B1D-A7A3-668F4256EBD7}"/>
    <cellStyle name="Normal 8 2 3 2 2 2 3" xfId="5271" xr:uid="{00000000-0005-0000-0000-0000981C0000}"/>
    <cellStyle name="Normal 8 2 3 2 2 2 3 2" xfId="13700" xr:uid="{7FDFEEF3-7ACE-4979-90FF-02487C20CF2F}"/>
    <cellStyle name="Normal 8 2 3 2 2 2 4" xfId="9482" xr:uid="{DAC88CE9-FD78-43D0-BC3D-130498E5C719}"/>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24EE3C6C-F9A2-4872-9D54-823D917172B5}"/>
    <cellStyle name="Normal 8 2 3 2 2 3 2 3" xfId="12040" xr:uid="{B38DD90B-C360-4B91-9EBA-C02848FFB02A}"/>
    <cellStyle name="Normal 8 2 3 2 2 3 3" xfId="5684" xr:uid="{00000000-0005-0000-0000-00009C1C0000}"/>
    <cellStyle name="Normal 8 2 3 2 2 3 3 2" xfId="14113" xr:uid="{3CF6A8CF-25B6-4F91-8D26-10CF8BD7B0FC}"/>
    <cellStyle name="Normal 8 2 3 2 2 3 4" xfId="9895" xr:uid="{AA553374-6E81-4ADB-A0CD-41DA8A964E24}"/>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248EAF35-A9F5-4BB3-B8DA-303AFFB1ED0D}"/>
    <cellStyle name="Normal 8 2 3 2 2 4 2 3" xfId="12453" xr:uid="{788C2D5B-DF6C-4DEB-AEFA-756DDFFD035F}"/>
    <cellStyle name="Normal 8 2 3 2 2 4 3" xfId="6097" xr:uid="{00000000-0005-0000-0000-0000A01C0000}"/>
    <cellStyle name="Normal 8 2 3 2 2 4 3 2" xfId="14526" xr:uid="{01491CD6-C233-4910-84B0-7524DEE109DB}"/>
    <cellStyle name="Normal 8 2 3 2 2 4 4" xfId="10308" xr:uid="{7B743A58-AB8E-41D7-8805-FE9CD4AC4C17}"/>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45D2FCD2-2569-4C42-AF2C-928507421BA4}"/>
    <cellStyle name="Normal 8 2 3 2 2 5 2 3" xfId="12866" xr:uid="{9F89E7C5-37C9-44AD-9F7D-CBF8CA93B8B4}"/>
    <cellStyle name="Normal 8 2 3 2 2 5 3" xfId="6510" xr:uid="{00000000-0005-0000-0000-0000A41C0000}"/>
    <cellStyle name="Normal 8 2 3 2 2 5 3 2" xfId="14939" xr:uid="{FFE1F87C-CA7A-484D-A61E-290B5D5D6959}"/>
    <cellStyle name="Normal 8 2 3 2 2 5 4" xfId="10721" xr:uid="{63EE751A-1C99-4CAA-88E8-963640E95517}"/>
    <cellStyle name="Normal 8 2 3 2 2 6" xfId="2638" xr:uid="{00000000-0005-0000-0000-0000A51C0000}"/>
    <cellStyle name="Normal 8 2 3 2 2 6 2" xfId="6923" xr:uid="{00000000-0005-0000-0000-0000A61C0000}"/>
    <cellStyle name="Normal 8 2 3 2 2 6 2 2" xfId="15352" xr:uid="{DCA3E76D-2082-4041-9DA1-B61314BC6147}"/>
    <cellStyle name="Normal 8 2 3 2 2 6 3" xfId="11134" xr:uid="{93D916AB-AD4D-455E-AC71-119ACF6BBDC3}"/>
    <cellStyle name="Normal 8 2 3 2 2 7" xfId="4858" xr:uid="{00000000-0005-0000-0000-0000A71C0000}"/>
    <cellStyle name="Normal 8 2 3 2 2 7 2" xfId="13287" xr:uid="{61B54000-64C6-4676-9EDF-CA5356220520}"/>
    <cellStyle name="Normal 8 2 3 2 2 8" xfId="9069" xr:uid="{921F7EA7-604F-44E8-A7DD-8A62746328E2}"/>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72D78C70-B294-459B-9FE1-0B0BF4AF6CFC}"/>
    <cellStyle name="Normal 8 2 3 2 3 2 3" xfId="11626" xr:uid="{42244CE5-3B76-4059-8A7C-89178EA984BD}"/>
    <cellStyle name="Normal 8 2 3 2 3 3" xfId="5270" xr:uid="{00000000-0005-0000-0000-0000AB1C0000}"/>
    <cellStyle name="Normal 8 2 3 2 3 3 2" xfId="13699" xr:uid="{0CAC9114-DBCD-42A0-AD1D-0070ED98F264}"/>
    <cellStyle name="Normal 8 2 3 2 3 4" xfId="9481" xr:uid="{0E03DF41-05CD-4535-982E-9D2DB9630E0A}"/>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497B9DD5-B65D-4953-BA25-991740A45D63}"/>
    <cellStyle name="Normal 8 2 3 2 4 2 3" xfId="12039" xr:uid="{C0F6FC1A-C4C6-434F-90CC-8DBA09BDB2B7}"/>
    <cellStyle name="Normal 8 2 3 2 4 3" xfId="5683" xr:uid="{00000000-0005-0000-0000-0000AF1C0000}"/>
    <cellStyle name="Normal 8 2 3 2 4 3 2" xfId="14112" xr:uid="{B584D05C-B3B5-4E8B-B4C9-7E63FFAF5148}"/>
    <cellStyle name="Normal 8 2 3 2 4 4" xfId="9894" xr:uid="{4F3F2A27-A0ED-4E56-98AC-AA89AC4007B9}"/>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31349621-A30E-420D-BC85-90BDF3BD8041}"/>
    <cellStyle name="Normal 8 2 3 2 5 2 3" xfId="12452" xr:uid="{21725E3E-E54A-4C73-91E0-2CD9198A4AB7}"/>
    <cellStyle name="Normal 8 2 3 2 5 3" xfId="6096" xr:uid="{00000000-0005-0000-0000-0000B31C0000}"/>
    <cellStyle name="Normal 8 2 3 2 5 3 2" xfId="14525" xr:uid="{D97162D2-AF36-45B6-BAA0-FA9DC4D93DD9}"/>
    <cellStyle name="Normal 8 2 3 2 5 4" xfId="10307" xr:uid="{3767B4E8-2FF0-49A5-A9AD-EE897CABB8C6}"/>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C59C4E47-0574-41E6-96F4-7F7391F1263B}"/>
    <cellStyle name="Normal 8 2 3 2 6 2 3" xfId="12865" xr:uid="{53196C9E-4D10-412D-8529-8F873C0590BB}"/>
    <cellStyle name="Normal 8 2 3 2 6 3" xfId="6509" xr:uid="{00000000-0005-0000-0000-0000B71C0000}"/>
    <cellStyle name="Normal 8 2 3 2 6 3 2" xfId="14938" xr:uid="{86439FA8-513F-4243-8008-622E5F9735CF}"/>
    <cellStyle name="Normal 8 2 3 2 6 4" xfId="10720" xr:uid="{1EBBCFFD-9D72-46F1-BA4E-2557C2BE4B5A}"/>
    <cellStyle name="Normal 8 2 3 2 7" xfId="2637" xr:uid="{00000000-0005-0000-0000-0000B81C0000}"/>
    <cellStyle name="Normal 8 2 3 2 7 2" xfId="6922" xr:uid="{00000000-0005-0000-0000-0000B91C0000}"/>
    <cellStyle name="Normal 8 2 3 2 7 2 2" xfId="15351" xr:uid="{D0182EE2-B95A-4F69-938B-C48F97F4B3CD}"/>
    <cellStyle name="Normal 8 2 3 2 7 3" xfId="11133" xr:uid="{0F43B088-D813-435B-A45A-6734033B87B8}"/>
    <cellStyle name="Normal 8 2 3 2 8" xfId="4857" xr:uid="{00000000-0005-0000-0000-0000BA1C0000}"/>
    <cellStyle name="Normal 8 2 3 2 8 2" xfId="13286" xr:uid="{90765B64-5AA4-4DF4-9234-FCA078E0C7F7}"/>
    <cellStyle name="Normal 8 2 3 2 9" xfId="9068" xr:uid="{97D51C53-9619-4B30-B84E-4BFEA19159AA}"/>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A345ACFA-E7A3-437E-9EF0-79679873DA97}"/>
    <cellStyle name="Normal 8 2 3 3 2 2 3" xfId="11628" xr:uid="{E7EB0815-C24C-44A2-8205-231925653D57}"/>
    <cellStyle name="Normal 8 2 3 3 2 3" xfId="5272" xr:uid="{00000000-0005-0000-0000-0000BF1C0000}"/>
    <cellStyle name="Normal 8 2 3 3 2 3 2" xfId="13701" xr:uid="{8646FA0C-A2A1-4FDC-A6BF-5C1E7A2D5F08}"/>
    <cellStyle name="Normal 8 2 3 3 2 4" xfId="9483" xr:uid="{07F91B89-943E-4818-B324-3A0744DA910B}"/>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535DA907-DB58-4242-BA8F-EA8772FBA5F1}"/>
    <cellStyle name="Normal 8 2 3 3 3 2 3" xfId="12041" xr:uid="{CFE1EF4E-BB55-4EBC-871C-A21A853EC3ED}"/>
    <cellStyle name="Normal 8 2 3 3 3 3" xfId="5685" xr:uid="{00000000-0005-0000-0000-0000C31C0000}"/>
    <cellStyle name="Normal 8 2 3 3 3 3 2" xfId="14114" xr:uid="{C91EA374-A407-42D6-88C8-98E5A3C49DD9}"/>
    <cellStyle name="Normal 8 2 3 3 3 4" xfId="9896" xr:uid="{201CF0CD-4E5F-4A22-8B7C-A586E98B5C9E}"/>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940B2D9C-7703-4BD1-8386-EF1020357F38}"/>
    <cellStyle name="Normal 8 2 3 3 4 2 3" xfId="12454" xr:uid="{2C77542B-38C2-4CBC-AE40-63434E01DF21}"/>
    <cellStyle name="Normal 8 2 3 3 4 3" xfId="6098" xr:uid="{00000000-0005-0000-0000-0000C71C0000}"/>
    <cellStyle name="Normal 8 2 3 3 4 3 2" xfId="14527" xr:uid="{7DB7A57C-0D14-4697-94CF-2342C296F9F3}"/>
    <cellStyle name="Normal 8 2 3 3 4 4" xfId="10309" xr:uid="{787D3565-C649-4FAB-9D39-C077B1A0FDF1}"/>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A38C02FA-F0BA-481C-9759-D7B7A09DA632}"/>
    <cellStyle name="Normal 8 2 3 3 5 2 3" xfId="12867" xr:uid="{34D85A39-7B03-4C3A-871C-F2957F7BF99E}"/>
    <cellStyle name="Normal 8 2 3 3 5 3" xfId="6511" xr:uid="{00000000-0005-0000-0000-0000CB1C0000}"/>
    <cellStyle name="Normal 8 2 3 3 5 3 2" xfId="14940" xr:uid="{6DFD60F7-E4D0-4541-9A14-14FFDA6FA37E}"/>
    <cellStyle name="Normal 8 2 3 3 5 4" xfId="10722" xr:uid="{525C93EE-3B3E-4B25-BF97-25AC596473D3}"/>
    <cellStyle name="Normal 8 2 3 3 6" xfId="2639" xr:uid="{00000000-0005-0000-0000-0000CC1C0000}"/>
    <cellStyle name="Normal 8 2 3 3 6 2" xfId="6924" xr:uid="{00000000-0005-0000-0000-0000CD1C0000}"/>
    <cellStyle name="Normal 8 2 3 3 6 2 2" xfId="15353" xr:uid="{56CDDC7F-18ED-4135-B7ED-C9EE986E7032}"/>
    <cellStyle name="Normal 8 2 3 3 6 3" xfId="11135" xr:uid="{E875DEF9-3A8A-4D64-BB38-591026D1A63A}"/>
    <cellStyle name="Normal 8 2 3 3 7" xfId="4859" xr:uid="{00000000-0005-0000-0000-0000CE1C0000}"/>
    <cellStyle name="Normal 8 2 3 3 7 2" xfId="13288" xr:uid="{04B7F8A0-EFD6-4A55-963C-0BB1F2D85AF6}"/>
    <cellStyle name="Normal 8 2 3 3 8" xfId="9070" xr:uid="{0732BAF6-176D-4EEB-B58B-88EB4F8359CA}"/>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7179934C-E55C-4B03-856D-EE54EDED9499}"/>
    <cellStyle name="Normal 8 2 3 4 2 3" xfId="11625" xr:uid="{7EB6A254-9A53-4C7A-900B-82F9495E1264}"/>
    <cellStyle name="Normal 8 2 3 4 3" xfId="5269" xr:uid="{00000000-0005-0000-0000-0000D21C0000}"/>
    <cellStyle name="Normal 8 2 3 4 3 2" xfId="13698" xr:uid="{1F64D8D8-9702-42FD-B688-0A75E75E1EF8}"/>
    <cellStyle name="Normal 8 2 3 4 4" xfId="9480" xr:uid="{6B8A30F3-896E-401C-8222-82BE0AFF82C8}"/>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4173958A-F053-4C8B-956D-83184A4E8D6F}"/>
    <cellStyle name="Normal 8 2 3 5 2 3" xfId="12038" xr:uid="{97CD2725-04DC-4675-9F92-6F7F0BDE98A4}"/>
    <cellStyle name="Normal 8 2 3 5 3" xfId="5682" xr:uid="{00000000-0005-0000-0000-0000D61C0000}"/>
    <cellStyle name="Normal 8 2 3 5 3 2" xfId="14111" xr:uid="{3065DF57-8AC7-4BCF-8EA2-3470FF2371AB}"/>
    <cellStyle name="Normal 8 2 3 5 4" xfId="9893" xr:uid="{1B071610-1ADE-48B9-BB26-3CCCDDF2C022}"/>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CB40819F-F1F2-4C1C-9756-ABB1EF50839A}"/>
    <cellStyle name="Normal 8 2 3 6 2 3" xfId="12451" xr:uid="{5D3DD9A8-9532-4C71-AA2F-6CC006CA2B14}"/>
    <cellStyle name="Normal 8 2 3 6 3" xfId="6095" xr:uid="{00000000-0005-0000-0000-0000DA1C0000}"/>
    <cellStyle name="Normal 8 2 3 6 3 2" xfId="14524" xr:uid="{9A66487A-F601-4357-8954-46EA19C0A885}"/>
    <cellStyle name="Normal 8 2 3 6 4" xfId="10306" xr:uid="{FB8E6DCA-B37B-47ED-881B-3A2E334901F1}"/>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AF805FBE-CD1E-4257-BA63-8D69710F0BDE}"/>
    <cellStyle name="Normal 8 2 3 7 2 3" xfId="12864" xr:uid="{E70A6476-B133-4457-B174-CE654B79D572}"/>
    <cellStyle name="Normal 8 2 3 7 3" xfId="6508" xr:uid="{00000000-0005-0000-0000-0000DE1C0000}"/>
    <cellStyle name="Normal 8 2 3 7 3 2" xfId="14937" xr:uid="{A54E3441-026F-4891-8072-AA04745AA9CC}"/>
    <cellStyle name="Normal 8 2 3 7 4" xfId="10719" xr:uid="{6D7DA3FA-4EB8-4297-BB00-CA1058F0BB8B}"/>
    <cellStyle name="Normal 8 2 3 8" xfId="2636" xr:uid="{00000000-0005-0000-0000-0000DF1C0000}"/>
    <cellStyle name="Normal 8 2 3 8 2" xfId="6921" xr:uid="{00000000-0005-0000-0000-0000E01C0000}"/>
    <cellStyle name="Normal 8 2 3 8 2 2" xfId="15350" xr:uid="{03C0B14A-4198-46F7-A350-B0DFB1671602}"/>
    <cellStyle name="Normal 8 2 3 8 3" xfId="11132" xr:uid="{F1BFD2C7-146F-4EEB-9A10-9BF7E516A5D2}"/>
    <cellStyle name="Normal 8 2 3 9" xfId="4856" xr:uid="{00000000-0005-0000-0000-0000E11C0000}"/>
    <cellStyle name="Normal 8 2 3 9 2" xfId="13285" xr:uid="{7D35A21B-85F8-41C3-89ED-7955EB0C52EF}"/>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116346D4-7653-4551-AA67-B6F4B2895192}"/>
    <cellStyle name="Normal 8 2 4 2 2 2 3" xfId="11630" xr:uid="{0DB2E14B-7D26-4EDB-9730-EA4E02C6AEFE}"/>
    <cellStyle name="Normal 8 2 4 2 2 3" xfId="5274" xr:uid="{00000000-0005-0000-0000-0000E71C0000}"/>
    <cellStyle name="Normal 8 2 4 2 2 3 2" xfId="13703" xr:uid="{EA19D489-FA30-410A-BB88-0D2FB0C9A692}"/>
    <cellStyle name="Normal 8 2 4 2 2 4" xfId="9485" xr:uid="{D9C48FDD-942A-4CD3-88A3-39841D86BB42}"/>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21402981-9215-40FC-8920-2945B1C46F17}"/>
    <cellStyle name="Normal 8 2 4 2 3 2 3" xfId="12043" xr:uid="{D972B446-571A-4629-A280-F3518F13E35B}"/>
    <cellStyle name="Normal 8 2 4 2 3 3" xfId="5687" xr:uid="{00000000-0005-0000-0000-0000EB1C0000}"/>
    <cellStyle name="Normal 8 2 4 2 3 3 2" xfId="14116" xr:uid="{82913ABA-676B-4DA7-A387-CFF3A9E1D9CB}"/>
    <cellStyle name="Normal 8 2 4 2 3 4" xfId="9898" xr:uid="{74D9310B-D3A5-47FD-AAD5-DDEF8E773AA3}"/>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92853D29-6BBF-4A55-8906-C262DAA6C923}"/>
    <cellStyle name="Normal 8 2 4 2 4 2 3" xfId="12456" xr:uid="{CD82F863-2FA1-4B3F-9468-38FBE97C72C9}"/>
    <cellStyle name="Normal 8 2 4 2 4 3" xfId="6100" xr:uid="{00000000-0005-0000-0000-0000EF1C0000}"/>
    <cellStyle name="Normal 8 2 4 2 4 3 2" xfId="14529" xr:uid="{B6EC3C3F-1760-409A-AEB3-DFFB2D69D17E}"/>
    <cellStyle name="Normal 8 2 4 2 4 4" xfId="10311" xr:uid="{E1994990-7C4A-4F7D-9836-21D63D8A8FE4}"/>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81B83437-1492-4D39-9AC4-CF2F17923963}"/>
    <cellStyle name="Normal 8 2 4 2 5 2 3" xfId="12869" xr:uid="{46130A61-CC56-431B-B6A0-A845D19D0FFC}"/>
    <cellStyle name="Normal 8 2 4 2 5 3" xfId="6513" xr:uid="{00000000-0005-0000-0000-0000F31C0000}"/>
    <cellStyle name="Normal 8 2 4 2 5 3 2" xfId="14942" xr:uid="{09BB067D-C522-4E6C-AA75-1CA2CF1206DF}"/>
    <cellStyle name="Normal 8 2 4 2 5 4" xfId="10724" xr:uid="{DA2B5A54-7243-47F3-B4A6-E8D524A9C4DD}"/>
    <cellStyle name="Normal 8 2 4 2 6" xfId="2641" xr:uid="{00000000-0005-0000-0000-0000F41C0000}"/>
    <cellStyle name="Normal 8 2 4 2 6 2" xfId="6926" xr:uid="{00000000-0005-0000-0000-0000F51C0000}"/>
    <cellStyle name="Normal 8 2 4 2 6 2 2" xfId="15355" xr:uid="{8F7B2D22-AE39-455F-86F9-BCFF25FC2077}"/>
    <cellStyle name="Normal 8 2 4 2 6 3" xfId="11137" xr:uid="{18CE5468-EA8C-49F6-B0CE-599528E18CF4}"/>
    <cellStyle name="Normal 8 2 4 2 7" xfId="4861" xr:uid="{00000000-0005-0000-0000-0000F61C0000}"/>
    <cellStyle name="Normal 8 2 4 2 7 2" xfId="13290" xr:uid="{4D3BD47B-B5F9-4135-A6C3-62C4E788B50F}"/>
    <cellStyle name="Normal 8 2 4 2 8" xfId="9072" xr:uid="{6550028A-FC60-45D7-A53B-30C936AA2DD1}"/>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A4CB7EA5-D906-4F8C-BC06-6EFAE7CD7723}"/>
    <cellStyle name="Normal 8 2 4 3 2 3" xfId="11629" xr:uid="{89D89C42-8F39-4890-A28A-71AA04A81542}"/>
    <cellStyle name="Normal 8 2 4 3 3" xfId="5273" xr:uid="{00000000-0005-0000-0000-0000FA1C0000}"/>
    <cellStyle name="Normal 8 2 4 3 3 2" xfId="13702" xr:uid="{6A590E30-D2D4-454F-928B-3C747F69DF7E}"/>
    <cellStyle name="Normal 8 2 4 3 4" xfId="9484" xr:uid="{E801A410-4D85-4DB3-A1D5-C30E4F4F8906}"/>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732BDBB5-8AA2-4CAC-A432-69E8935098F7}"/>
    <cellStyle name="Normal 8 2 4 4 2 3" xfId="12042" xr:uid="{10CF2198-B90C-4836-997D-38D4A04F9FF8}"/>
    <cellStyle name="Normal 8 2 4 4 3" xfId="5686" xr:uid="{00000000-0005-0000-0000-0000FE1C0000}"/>
    <cellStyle name="Normal 8 2 4 4 3 2" xfId="14115" xr:uid="{6F30FC1C-CB1C-46E3-BBDF-4B8071DCC208}"/>
    <cellStyle name="Normal 8 2 4 4 4" xfId="9897" xr:uid="{0CEAC537-D8E3-41A6-A9C9-27E6C63D0EEA}"/>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2D29E020-072D-4F48-813C-785D3B6571F7}"/>
    <cellStyle name="Normal 8 2 4 5 2 3" xfId="12455" xr:uid="{A15DB626-4BFD-4BFF-B7BE-86B163980DF9}"/>
    <cellStyle name="Normal 8 2 4 5 3" xfId="6099" xr:uid="{00000000-0005-0000-0000-0000021D0000}"/>
    <cellStyle name="Normal 8 2 4 5 3 2" xfId="14528" xr:uid="{C05A28FD-65ED-4CA7-98C9-86F39474E2C0}"/>
    <cellStyle name="Normal 8 2 4 5 4" xfId="10310" xr:uid="{97F2C7A2-1E34-45E6-9D57-6B9645ABFD41}"/>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897E11C8-65B8-4291-B15C-645E43EF72A0}"/>
    <cellStyle name="Normal 8 2 4 6 2 3" xfId="12868" xr:uid="{5082AADA-6749-46F6-9DEE-E6931FF273BD}"/>
    <cellStyle name="Normal 8 2 4 6 3" xfId="6512" xr:uid="{00000000-0005-0000-0000-0000061D0000}"/>
    <cellStyle name="Normal 8 2 4 6 3 2" xfId="14941" xr:uid="{DEAD239C-FCCB-478A-B0FC-659D4649152A}"/>
    <cellStyle name="Normal 8 2 4 6 4" xfId="10723" xr:uid="{00992E1D-E472-48E7-BC22-627092995C38}"/>
    <cellStyle name="Normal 8 2 4 7" xfId="2640" xr:uid="{00000000-0005-0000-0000-0000071D0000}"/>
    <cellStyle name="Normal 8 2 4 7 2" xfId="6925" xr:uid="{00000000-0005-0000-0000-0000081D0000}"/>
    <cellStyle name="Normal 8 2 4 7 2 2" xfId="15354" xr:uid="{510FA347-9B1B-4410-BC21-16622EBB6ACA}"/>
    <cellStyle name="Normal 8 2 4 7 3" xfId="11136" xr:uid="{5C9FD09C-343F-44D7-A9B6-209A0EED80F7}"/>
    <cellStyle name="Normal 8 2 4 8" xfId="4860" xr:uid="{00000000-0005-0000-0000-0000091D0000}"/>
    <cellStyle name="Normal 8 2 4 8 2" xfId="13289" xr:uid="{1AF4C575-62EB-4B23-ACD7-3630EFD20142}"/>
    <cellStyle name="Normal 8 2 4 9" xfId="9071" xr:uid="{ECA6FFA0-C763-47AD-89C9-D853A9DD1836}"/>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50296EFA-E2CB-490D-8D9A-241A9FA45861}"/>
    <cellStyle name="Normal 8 2 5 2 2 3" xfId="11631" xr:uid="{7931AC9F-56F5-47BE-8C47-CABFDC93FB39}"/>
    <cellStyle name="Normal 8 2 5 2 3" xfId="5275" xr:uid="{00000000-0005-0000-0000-00000E1D0000}"/>
    <cellStyle name="Normal 8 2 5 2 3 2" xfId="13704" xr:uid="{6FDB3FE7-59E3-4836-9657-CEEEB06B6491}"/>
    <cellStyle name="Normal 8 2 5 2 4" xfId="9486" xr:uid="{488E5C6D-5217-48D0-9A6D-6B4E270D0DDE}"/>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74556297-4F01-4314-B802-EF44C07F22A2}"/>
    <cellStyle name="Normal 8 2 5 3 2 3" xfId="12044" xr:uid="{6A2924AB-67D6-4CFE-9528-31AD08F01487}"/>
    <cellStyle name="Normal 8 2 5 3 3" xfId="5688" xr:uid="{00000000-0005-0000-0000-0000121D0000}"/>
    <cellStyle name="Normal 8 2 5 3 3 2" xfId="14117" xr:uid="{938CB463-FFFE-4E52-8104-9638CD977188}"/>
    <cellStyle name="Normal 8 2 5 3 4" xfId="9899" xr:uid="{569216B0-5DA2-4E2E-BF6B-A845BBD83817}"/>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135AD370-B2E8-49EA-B284-78E5ACA9502C}"/>
    <cellStyle name="Normal 8 2 5 4 2 3" xfId="12457" xr:uid="{6665735C-1F14-44D4-9B8A-1626AA40340F}"/>
    <cellStyle name="Normal 8 2 5 4 3" xfId="6101" xr:uid="{00000000-0005-0000-0000-0000161D0000}"/>
    <cellStyle name="Normal 8 2 5 4 3 2" xfId="14530" xr:uid="{58B25DEC-95ED-4CB4-8C29-AA6EF32A8252}"/>
    <cellStyle name="Normal 8 2 5 4 4" xfId="10312" xr:uid="{8DAD42D3-D6E5-46AA-8136-2C6014AA4C15}"/>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F718720A-52EE-4859-A8B8-83C44123841A}"/>
    <cellStyle name="Normal 8 2 5 5 2 3" xfId="12870" xr:uid="{732DB6C5-2BCD-44ED-966B-AAC0F49E96C5}"/>
    <cellStyle name="Normal 8 2 5 5 3" xfId="6514" xr:uid="{00000000-0005-0000-0000-00001A1D0000}"/>
    <cellStyle name="Normal 8 2 5 5 3 2" xfId="14943" xr:uid="{480C26CB-481D-4144-8CFB-87177372665A}"/>
    <cellStyle name="Normal 8 2 5 5 4" xfId="10725" xr:uid="{DE3BC46D-8DF2-4FE9-98B1-461D745BD888}"/>
    <cellStyle name="Normal 8 2 5 6" xfId="2642" xr:uid="{00000000-0005-0000-0000-00001B1D0000}"/>
    <cellStyle name="Normal 8 2 5 6 2" xfId="6927" xr:uid="{00000000-0005-0000-0000-00001C1D0000}"/>
    <cellStyle name="Normal 8 2 5 6 2 2" xfId="15356" xr:uid="{032BF98E-FED9-44F5-89B6-EECB2D844B08}"/>
    <cellStyle name="Normal 8 2 5 6 3" xfId="11138" xr:uid="{1FA2F532-F3F8-46EF-A279-064D11F45F23}"/>
    <cellStyle name="Normal 8 2 5 7" xfId="4862" xr:uid="{00000000-0005-0000-0000-00001D1D0000}"/>
    <cellStyle name="Normal 8 2 5 7 2" xfId="13291" xr:uid="{F5393B9C-683C-4282-877B-74F08880D046}"/>
    <cellStyle name="Normal 8 2 5 8" xfId="9073" xr:uid="{24E20BB1-F331-4879-AEFB-816156D18319}"/>
    <cellStyle name="Normal 8 2 6" xfId="947" xr:uid="{00000000-0005-0000-0000-00001E1D0000}"/>
    <cellStyle name="Normal 8 2 6 2" xfId="3181" xr:uid="{00000000-0005-0000-0000-00001F1D0000}"/>
    <cellStyle name="Normal 8 2 6 2 2" xfId="7405" xr:uid="{00000000-0005-0000-0000-0000201D0000}"/>
    <cellStyle name="Normal 8 2 6 2 2 2" xfId="15834" xr:uid="{B22F25D6-BCFB-4271-9DE0-BD9ED0297859}"/>
    <cellStyle name="Normal 8 2 6 2 3" xfId="11616" xr:uid="{B3E72CF4-6743-4812-B963-3833ED9A9767}"/>
    <cellStyle name="Normal 8 2 6 3" xfId="5260" xr:uid="{00000000-0005-0000-0000-0000211D0000}"/>
    <cellStyle name="Normal 8 2 6 3 2" xfId="13689" xr:uid="{8D6432E5-3291-4410-8C63-648281C7B8EB}"/>
    <cellStyle name="Normal 8 2 6 4" xfId="9471" xr:uid="{6CE5357B-F2A3-46FA-B3E4-193B26E08522}"/>
    <cellStyle name="Normal 8 2 7" xfId="1364" xr:uid="{00000000-0005-0000-0000-0000221D0000}"/>
    <cellStyle name="Normal 8 2 7 2" xfId="3594" xr:uid="{00000000-0005-0000-0000-0000231D0000}"/>
    <cellStyle name="Normal 8 2 7 2 2" xfId="7818" xr:uid="{00000000-0005-0000-0000-0000241D0000}"/>
    <cellStyle name="Normal 8 2 7 2 2 2" xfId="16247" xr:uid="{A56C3E23-2AF3-4CB7-A6A2-C97DC9E54150}"/>
    <cellStyle name="Normal 8 2 7 2 3" xfId="12029" xr:uid="{DB3CFBED-340D-4112-97C7-852C8F936918}"/>
    <cellStyle name="Normal 8 2 7 3" xfId="5673" xr:uid="{00000000-0005-0000-0000-0000251D0000}"/>
    <cellStyle name="Normal 8 2 7 3 2" xfId="14102" xr:uid="{E5A92112-DFBF-490F-85DF-72445343ECBD}"/>
    <cellStyle name="Normal 8 2 7 4" xfId="9884" xr:uid="{5A189037-BBC7-46B5-BAB7-D52035FFEFAA}"/>
    <cellStyle name="Normal 8 2 8" xfId="1777" xr:uid="{00000000-0005-0000-0000-0000261D0000}"/>
    <cellStyle name="Normal 8 2 8 2" xfId="4007" xr:uid="{00000000-0005-0000-0000-0000271D0000}"/>
    <cellStyle name="Normal 8 2 8 2 2" xfId="8231" xr:uid="{00000000-0005-0000-0000-0000281D0000}"/>
    <cellStyle name="Normal 8 2 8 2 2 2" xfId="16660" xr:uid="{3E70C10E-F6DE-4A9C-A146-76A5D1F6E651}"/>
    <cellStyle name="Normal 8 2 8 2 3" xfId="12442" xr:uid="{FC84F404-36A2-46C2-957E-EDF33CC07C7D}"/>
    <cellStyle name="Normal 8 2 8 3" xfId="6086" xr:uid="{00000000-0005-0000-0000-0000291D0000}"/>
    <cellStyle name="Normal 8 2 8 3 2" xfId="14515" xr:uid="{98B12E29-8E3A-43DA-BD7C-05918A00A30A}"/>
    <cellStyle name="Normal 8 2 8 4" xfId="10297" xr:uid="{16ED3841-F690-4C34-B807-2CDDC97F52FE}"/>
    <cellStyle name="Normal 8 2 9" xfId="2191" xr:uid="{00000000-0005-0000-0000-00002A1D0000}"/>
    <cellStyle name="Normal 8 2 9 2" xfId="4420" xr:uid="{00000000-0005-0000-0000-00002B1D0000}"/>
    <cellStyle name="Normal 8 2 9 2 2" xfId="8644" xr:uid="{00000000-0005-0000-0000-00002C1D0000}"/>
    <cellStyle name="Normal 8 2 9 2 2 2" xfId="17073" xr:uid="{1A2D3ED9-6B2E-4828-960C-D8AADBD44A10}"/>
    <cellStyle name="Normal 8 2 9 2 3" xfId="12855" xr:uid="{71FC3472-4D64-46AA-8C8E-9933646E2E38}"/>
    <cellStyle name="Normal 8 2 9 3" xfId="6499" xr:uid="{00000000-0005-0000-0000-00002D1D0000}"/>
    <cellStyle name="Normal 8 2 9 3 2" xfId="14928" xr:uid="{34CFAD96-CA9B-4F6C-91FF-E06026C55B04}"/>
    <cellStyle name="Normal 8 2 9 4" xfId="10710" xr:uid="{9CCA6AD2-2727-465F-8980-24C4C9D1B334}"/>
    <cellStyle name="Normal 8 3" xfId="495" xr:uid="{00000000-0005-0000-0000-00002E1D0000}"/>
    <cellStyle name="Normal 8 3 10" xfId="4863" xr:uid="{00000000-0005-0000-0000-00002F1D0000}"/>
    <cellStyle name="Normal 8 3 10 2" xfId="13292" xr:uid="{3833F3D9-AEEE-4C41-9CF6-4D9454C363E2}"/>
    <cellStyle name="Normal 8 3 11" xfId="9074" xr:uid="{EA27B384-4275-428F-97B3-954C2AAD2C26}"/>
    <cellStyle name="Normal 8 3 2" xfId="496" xr:uid="{00000000-0005-0000-0000-0000301D0000}"/>
    <cellStyle name="Normal 8 3 2 10" xfId="9075" xr:uid="{93602A17-95A2-4349-B3BE-C1478E9B6E95}"/>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0615DC0B-2432-4CEF-A2D3-1EDE596252CC}"/>
    <cellStyle name="Normal 8 3 2 2 2 2 2 3" xfId="11635" xr:uid="{8C55FB36-BF28-4640-AFC9-802670C4DD1E}"/>
    <cellStyle name="Normal 8 3 2 2 2 2 3" xfId="5279" xr:uid="{00000000-0005-0000-0000-0000361D0000}"/>
    <cellStyle name="Normal 8 3 2 2 2 2 3 2" xfId="13708" xr:uid="{652A4A4A-8D1E-46F7-8BFB-9038EBBD2C4E}"/>
    <cellStyle name="Normal 8 3 2 2 2 2 4" xfId="9490" xr:uid="{9B56C434-6302-4E09-B1A7-16ADA500959C}"/>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2BA2ED63-26E8-4D1E-9C37-38CDCB83AE59}"/>
    <cellStyle name="Normal 8 3 2 2 2 3 2 3" xfId="12048" xr:uid="{36682957-CFE5-4EEA-8F5D-FBFD519C8CCA}"/>
    <cellStyle name="Normal 8 3 2 2 2 3 3" xfId="5692" xr:uid="{00000000-0005-0000-0000-00003A1D0000}"/>
    <cellStyle name="Normal 8 3 2 2 2 3 3 2" xfId="14121" xr:uid="{5FB8207A-35F5-495E-AEF6-E5BB95F4BEDB}"/>
    <cellStyle name="Normal 8 3 2 2 2 3 4" xfId="9903" xr:uid="{906A71A9-DD71-4143-AAF3-B2849684882B}"/>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34A37EBC-8400-4C0D-AA6D-1E3461A8D5E7}"/>
    <cellStyle name="Normal 8 3 2 2 2 4 2 3" xfId="12461" xr:uid="{202C5F63-3227-4465-BAF0-2EC1DA5C7385}"/>
    <cellStyle name="Normal 8 3 2 2 2 4 3" xfId="6105" xr:uid="{00000000-0005-0000-0000-00003E1D0000}"/>
    <cellStyle name="Normal 8 3 2 2 2 4 3 2" xfId="14534" xr:uid="{99DD5192-3417-43AF-BF0B-4233565E0F00}"/>
    <cellStyle name="Normal 8 3 2 2 2 4 4" xfId="10316" xr:uid="{C444FA50-D25B-49E7-9A28-AE7286E65BF7}"/>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6897764A-DF61-407F-BCE6-2FEF8286606F}"/>
    <cellStyle name="Normal 8 3 2 2 2 5 2 3" xfId="12874" xr:uid="{AD3AA25B-3BE1-49A5-9193-0DC8CDF48E6D}"/>
    <cellStyle name="Normal 8 3 2 2 2 5 3" xfId="6518" xr:uid="{00000000-0005-0000-0000-0000421D0000}"/>
    <cellStyle name="Normal 8 3 2 2 2 5 3 2" xfId="14947" xr:uid="{A4DFF7B9-D96B-4DD0-A59C-36DF891D3553}"/>
    <cellStyle name="Normal 8 3 2 2 2 5 4" xfId="10729" xr:uid="{DE96F3F9-125E-4DF3-877C-2460F1077DE1}"/>
    <cellStyle name="Normal 8 3 2 2 2 6" xfId="2646" xr:uid="{00000000-0005-0000-0000-0000431D0000}"/>
    <cellStyle name="Normal 8 3 2 2 2 6 2" xfId="6931" xr:uid="{00000000-0005-0000-0000-0000441D0000}"/>
    <cellStyle name="Normal 8 3 2 2 2 6 2 2" xfId="15360" xr:uid="{A3014AF8-15BF-4D2B-B440-042D361A42AC}"/>
    <cellStyle name="Normal 8 3 2 2 2 6 3" xfId="11142" xr:uid="{31B2CE1F-02E3-44BA-BDA7-B8231E97C405}"/>
    <cellStyle name="Normal 8 3 2 2 2 7" xfId="4866" xr:uid="{00000000-0005-0000-0000-0000451D0000}"/>
    <cellStyle name="Normal 8 3 2 2 2 7 2" xfId="13295" xr:uid="{16509C80-04CF-4C11-8109-10D63D752968}"/>
    <cellStyle name="Normal 8 3 2 2 2 8" xfId="9077" xr:uid="{B27CA90A-06C2-40E9-869A-9F6E8F5F43CF}"/>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E379FF86-8DC9-4BE8-A31B-FFA74485D3C8}"/>
    <cellStyle name="Normal 8 3 2 2 3 2 3" xfId="11634" xr:uid="{7B47D6F3-8BF4-45F5-AA16-5630FD876695}"/>
    <cellStyle name="Normal 8 3 2 2 3 3" xfId="5278" xr:uid="{00000000-0005-0000-0000-0000491D0000}"/>
    <cellStyle name="Normal 8 3 2 2 3 3 2" xfId="13707" xr:uid="{7916A27D-EEDC-47DA-917A-D23E1F413B1D}"/>
    <cellStyle name="Normal 8 3 2 2 3 4" xfId="9489" xr:uid="{DA21B9BA-AB67-4DEA-BDFF-FA5D728F5B92}"/>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D6555AD5-A296-4C40-BA39-3D2ACD645240}"/>
    <cellStyle name="Normal 8 3 2 2 4 2 3" xfId="12047" xr:uid="{772298E8-A840-4C61-AE4C-D285E4007C30}"/>
    <cellStyle name="Normal 8 3 2 2 4 3" xfId="5691" xr:uid="{00000000-0005-0000-0000-00004D1D0000}"/>
    <cellStyle name="Normal 8 3 2 2 4 3 2" xfId="14120" xr:uid="{771E32D3-6811-4DF7-9974-7C183A9E4760}"/>
    <cellStyle name="Normal 8 3 2 2 4 4" xfId="9902" xr:uid="{8141622F-3F7D-4041-BF67-938EABE7CDBC}"/>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6FE80502-43EC-4E98-A17F-21BD51996486}"/>
    <cellStyle name="Normal 8 3 2 2 5 2 3" xfId="12460" xr:uid="{40851A81-7BD9-4E0B-A4DF-5FD76E7614AA}"/>
    <cellStyle name="Normal 8 3 2 2 5 3" xfId="6104" xr:uid="{00000000-0005-0000-0000-0000511D0000}"/>
    <cellStyle name="Normal 8 3 2 2 5 3 2" xfId="14533" xr:uid="{89E8E5C1-59CD-4882-B6AD-DC0868683990}"/>
    <cellStyle name="Normal 8 3 2 2 5 4" xfId="10315" xr:uid="{657F91DC-1136-480A-A74A-D22C4D0A247B}"/>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4BA95BD6-77CF-4DD0-8F0D-77AE40FEE792}"/>
    <cellStyle name="Normal 8 3 2 2 6 2 3" xfId="12873" xr:uid="{5D742BC8-3E08-4B97-8CA0-5071AB7C7265}"/>
    <cellStyle name="Normal 8 3 2 2 6 3" xfId="6517" xr:uid="{00000000-0005-0000-0000-0000551D0000}"/>
    <cellStyle name="Normal 8 3 2 2 6 3 2" xfId="14946" xr:uid="{800A05CD-5E31-4BAD-A02D-185A47B825C6}"/>
    <cellStyle name="Normal 8 3 2 2 6 4" xfId="10728" xr:uid="{ABBFB4AC-FC10-4826-84D2-46E02D53319F}"/>
    <cellStyle name="Normal 8 3 2 2 7" xfId="2645" xr:uid="{00000000-0005-0000-0000-0000561D0000}"/>
    <cellStyle name="Normal 8 3 2 2 7 2" xfId="6930" xr:uid="{00000000-0005-0000-0000-0000571D0000}"/>
    <cellStyle name="Normal 8 3 2 2 7 2 2" xfId="15359" xr:uid="{E6003761-3BC1-489A-80C2-EF4CD90BB77E}"/>
    <cellStyle name="Normal 8 3 2 2 7 3" xfId="11141" xr:uid="{FB4D340B-2F38-4594-9324-CA0BD27D42E9}"/>
    <cellStyle name="Normal 8 3 2 2 8" xfId="4865" xr:uid="{00000000-0005-0000-0000-0000581D0000}"/>
    <cellStyle name="Normal 8 3 2 2 8 2" xfId="13294" xr:uid="{D4378C32-E302-4A8C-8F04-5823A61B651B}"/>
    <cellStyle name="Normal 8 3 2 2 9" xfId="9076" xr:uid="{6F1A7D36-4B7C-4131-8C43-83B13B7000EF}"/>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43FCCB49-65C7-4A4B-946C-6091750F4646}"/>
    <cellStyle name="Normal 8 3 2 3 2 2 3" xfId="11636" xr:uid="{D3359355-86A7-41DE-9F77-F9AFB26ECD59}"/>
    <cellStyle name="Normal 8 3 2 3 2 3" xfId="5280" xr:uid="{00000000-0005-0000-0000-00005D1D0000}"/>
    <cellStyle name="Normal 8 3 2 3 2 3 2" xfId="13709" xr:uid="{FD9CE8B9-EDD4-4F75-B5D6-34BE576E45E8}"/>
    <cellStyle name="Normal 8 3 2 3 2 4" xfId="9491" xr:uid="{EB60AF66-0BCC-4410-BD98-D654A4B45F53}"/>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19314A7D-517E-41B4-B58F-6C8FDC65B6A8}"/>
    <cellStyle name="Normal 8 3 2 3 3 2 3" xfId="12049" xr:uid="{475A1386-CABB-45A2-A97E-DCC6A84CFB9A}"/>
    <cellStyle name="Normal 8 3 2 3 3 3" xfId="5693" xr:uid="{00000000-0005-0000-0000-0000611D0000}"/>
    <cellStyle name="Normal 8 3 2 3 3 3 2" xfId="14122" xr:uid="{C4961D68-8C5C-4244-B034-750F0E26F409}"/>
    <cellStyle name="Normal 8 3 2 3 3 4" xfId="9904" xr:uid="{934376AA-E245-4A94-9376-20E3A22B06F4}"/>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4B24D242-D9EC-4BB7-80B7-770FA09495DD}"/>
    <cellStyle name="Normal 8 3 2 3 4 2 3" xfId="12462" xr:uid="{456A5F5A-C9A0-4842-AB96-0AFB85E26E09}"/>
    <cellStyle name="Normal 8 3 2 3 4 3" xfId="6106" xr:uid="{00000000-0005-0000-0000-0000651D0000}"/>
    <cellStyle name="Normal 8 3 2 3 4 3 2" xfId="14535" xr:uid="{0A780BFB-77B1-4697-9FEF-6CE3EE12E76E}"/>
    <cellStyle name="Normal 8 3 2 3 4 4" xfId="10317" xr:uid="{F8C53B00-CE97-4A33-8368-0513AFC5AA84}"/>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0604C56C-915D-40C3-B9D0-FF7FB8B87743}"/>
    <cellStyle name="Normal 8 3 2 3 5 2 3" xfId="12875" xr:uid="{6A20F2D6-A961-44AD-A6A4-1D3F08D6D2C0}"/>
    <cellStyle name="Normal 8 3 2 3 5 3" xfId="6519" xr:uid="{00000000-0005-0000-0000-0000691D0000}"/>
    <cellStyle name="Normal 8 3 2 3 5 3 2" xfId="14948" xr:uid="{BB6716D8-EB3E-4C65-A01B-424C3DEDA14A}"/>
    <cellStyle name="Normal 8 3 2 3 5 4" xfId="10730" xr:uid="{6949D81F-5751-4887-B41D-142465F3E96A}"/>
    <cellStyle name="Normal 8 3 2 3 6" xfId="2647" xr:uid="{00000000-0005-0000-0000-00006A1D0000}"/>
    <cellStyle name="Normal 8 3 2 3 6 2" xfId="6932" xr:uid="{00000000-0005-0000-0000-00006B1D0000}"/>
    <cellStyle name="Normal 8 3 2 3 6 2 2" xfId="15361" xr:uid="{CA6559FD-388A-497C-A756-CD071DD40487}"/>
    <cellStyle name="Normal 8 3 2 3 6 3" xfId="11143" xr:uid="{A93308B0-B572-44B8-862C-0AD6D4D8AE72}"/>
    <cellStyle name="Normal 8 3 2 3 7" xfId="4867" xr:uid="{00000000-0005-0000-0000-00006C1D0000}"/>
    <cellStyle name="Normal 8 3 2 3 7 2" xfId="13296" xr:uid="{9194B877-4A23-429B-8042-750F0DD95FD3}"/>
    <cellStyle name="Normal 8 3 2 3 8" xfId="9078" xr:uid="{BCE16857-5310-4CD4-84BB-9EFBE2D97BC6}"/>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BDA613CB-FC5A-4E6F-B542-F49B4B08D9BF}"/>
    <cellStyle name="Normal 8 3 2 4 2 3" xfId="11633" xr:uid="{082937AC-D6AD-47AC-9E19-7AC37AD2D355}"/>
    <cellStyle name="Normal 8 3 2 4 3" xfId="5277" xr:uid="{00000000-0005-0000-0000-0000701D0000}"/>
    <cellStyle name="Normal 8 3 2 4 3 2" xfId="13706" xr:uid="{4F5D4F71-1E51-4A3C-A068-2E5102C97F81}"/>
    <cellStyle name="Normal 8 3 2 4 4" xfId="9488" xr:uid="{FD73721C-4960-4F9A-B1D9-1E55B9FE6595}"/>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FFF602C6-6132-4E05-8C1C-D411E6D51624}"/>
    <cellStyle name="Normal 8 3 2 5 2 3" xfId="12046" xr:uid="{32ECE77C-18FC-4CCD-8778-F1E8677A472D}"/>
    <cellStyle name="Normal 8 3 2 5 3" xfId="5690" xr:uid="{00000000-0005-0000-0000-0000741D0000}"/>
    <cellStyle name="Normal 8 3 2 5 3 2" xfId="14119" xr:uid="{09B67821-7D0E-4FF9-AFDF-1A1EFBE54672}"/>
    <cellStyle name="Normal 8 3 2 5 4" xfId="9901" xr:uid="{78940E88-BC07-414E-8FD2-5AABAEC2A2AF}"/>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00279938-9498-4C18-B5ED-A7CF80C7676A}"/>
    <cellStyle name="Normal 8 3 2 6 2 3" xfId="12459" xr:uid="{689049FD-A241-40FD-B5D6-EEA211F37CE9}"/>
    <cellStyle name="Normal 8 3 2 6 3" xfId="6103" xr:uid="{00000000-0005-0000-0000-0000781D0000}"/>
    <cellStyle name="Normal 8 3 2 6 3 2" xfId="14532" xr:uid="{C707EF0C-6FE1-4DD9-8AF7-ECFF603DDF50}"/>
    <cellStyle name="Normal 8 3 2 6 4" xfId="10314" xr:uid="{7A6EB245-7727-4B12-B525-9F5370BAEB3A}"/>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528659CE-D0AC-4C57-89DE-2F221DDE96DA}"/>
    <cellStyle name="Normal 8 3 2 7 2 3" xfId="12872" xr:uid="{00C46BA7-0631-4621-A781-779271609D7C}"/>
    <cellStyle name="Normal 8 3 2 7 3" xfId="6516" xr:uid="{00000000-0005-0000-0000-00007C1D0000}"/>
    <cellStyle name="Normal 8 3 2 7 3 2" xfId="14945" xr:uid="{8BA8F2F8-AF14-4D52-8FAA-B91CD287562A}"/>
    <cellStyle name="Normal 8 3 2 7 4" xfId="10727" xr:uid="{CC7DD5D0-AC62-476B-81B9-B20BE35580AA}"/>
    <cellStyle name="Normal 8 3 2 8" xfId="2644" xr:uid="{00000000-0005-0000-0000-00007D1D0000}"/>
    <cellStyle name="Normal 8 3 2 8 2" xfId="6929" xr:uid="{00000000-0005-0000-0000-00007E1D0000}"/>
    <cellStyle name="Normal 8 3 2 8 2 2" xfId="15358" xr:uid="{3E76D971-1996-4927-A12A-9CF3A2072F12}"/>
    <cellStyle name="Normal 8 3 2 8 3" xfId="11140" xr:uid="{F944AA4C-72B0-46EE-B1BC-76787F1E9D55}"/>
    <cellStyle name="Normal 8 3 2 9" xfId="4864" xr:uid="{00000000-0005-0000-0000-00007F1D0000}"/>
    <cellStyle name="Normal 8 3 2 9 2" xfId="13293" xr:uid="{5E2C15A0-14A5-4552-B0E9-AAFEFDB3BDAA}"/>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8349653B-FAAF-4F9A-9F06-A7A224D6F1A4}"/>
    <cellStyle name="Normal 8 3 3 2 2 2 3" xfId="11638" xr:uid="{7ECC209B-BA6D-4AD3-9D73-0B3031061963}"/>
    <cellStyle name="Normal 8 3 3 2 2 3" xfId="5282" xr:uid="{00000000-0005-0000-0000-0000851D0000}"/>
    <cellStyle name="Normal 8 3 3 2 2 3 2" xfId="13711" xr:uid="{B28639A4-3598-43CB-91C2-2B659C92463C}"/>
    <cellStyle name="Normal 8 3 3 2 2 4" xfId="9493" xr:uid="{046CEEF0-A51D-4263-B394-206E25ACA1E5}"/>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C0ABF511-92C6-4E9F-972F-5CECBCDAF39C}"/>
    <cellStyle name="Normal 8 3 3 2 3 2 3" xfId="12051" xr:uid="{83977561-64FA-47D3-9106-F61013A211CC}"/>
    <cellStyle name="Normal 8 3 3 2 3 3" xfId="5695" xr:uid="{00000000-0005-0000-0000-0000891D0000}"/>
    <cellStyle name="Normal 8 3 3 2 3 3 2" xfId="14124" xr:uid="{16522D3E-6E67-4AAA-B531-E3F568242FC3}"/>
    <cellStyle name="Normal 8 3 3 2 3 4" xfId="9906" xr:uid="{5FB345D2-7010-4F3D-A533-7638F1146E44}"/>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4F37B6E0-93D1-4579-8B06-40E23A0DB953}"/>
    <cellStyle name="Normal 8 3 3 2 4 2 3" xfId="12464" xr:uid="{44492861-2353-47A3-A689-CBA26F8885B4}"/>
    <cellStyle name="Normal 8 3 3 2 4 3" xfId="6108" xr:uid="{00000000-0005-0000-0000-00008D1D0000}"/>
    <cellStyle name="Normal 8 3 3 2 4 3 2" xfId="14537" xr:uid="{578EAD6A-D056-44C1-9B8A-A2E110372AC5}"/>
    <cellStyle name="Normal 8 3 3 2 4 4" xfId="10319" xr:uid="{E7D48A60-8BE8-4662-81A6-D1F1850DBE29}"/>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6F9E4F29-B270-466C-B6F2-85C4390DAA76}"/>
    <cellStyle name="Normal 8 3 3 2 5 2 3" xfId="12877" xr:uid="{311B3E68-85BD-439A-8BE6-12D79755AF19}"/>
    <cellStyle name="Normal 8 3 3 2 5 3" xfId="6521" xr:uid="{00000000-0005-0000-0000-0000911D0000}"/>
    <cellStyle name="Normal 8 3 3 2 5 3 2" xfId="14950" xr:uid="{A5B8D4EC-AE85-4CDF-ABA1-9D8F2C83CFCF}"/>
    <cellStyle name="Normal 8 3 3 2 5 4" xfId="10732" xr:uid="{A38EA405-0708-47B1-8E9F-BC600C9CAB81}"/>
    <cellStyle name="Normal 8 3 3 2 6" xfId="2649" xr:uid="{00000000-0005-0000-0000-0000921D0000}"/>
    <cellStyle name="Normal 8 3 3 2 6 2" xfId="6934" xr:uid="{00000000-0005-0000-0000-0000931D0000}"/>
    <cellStyle name="Normal 8 3 3 2 6 2 2" xfId="15363" xr:uid="{2306DD67-E69A-42EA-989A-13F227E6FD80}"/>
    <cellStyle name="Normal 8 3 3 2 6 3" xfId="11145" xr:uid="{457B0FA9-FEB7-410D-B0D7-3CA4D1ABE8E0}"/>
    <cellStyle name="Normal 8 3 3 2 7" xfId="4869" xr:uid="{00000000-0005-0000-0000-0000941D0000}"/>
    <cellStyle name="Normal 8 3 3 2 7 2" xfId="13298" xr:uid="{C48F988F-F772-4342-B215-7DD1AC123DBE}"/>
    <cellStyle name="Normal 8 3 3 2 8" xfId="9080" xr:uid="{F2756506-EFF7-4443-963D-CC49B2D1E75B}"/>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7ACD7440-5029-4E5B-956A-4A79749B0011}"/>
    <cellStyle name="Normal 8 3 3 3 2 3" xfId="11637" xr:uid="{C677A8AD-A283-4783-9FD3-6E25246B7D06}"/>
    <cellStyle name="Normal 8 3 3 3 3" xfId="5281" xr:uid="{00000000-0005-0000-0000-0000981D0000}"/>
    <cellStyle name="Normal 8 3 3 3 3 2" xfId="13710" xr:uid="{B0C72D32-C571-4E30-ACF7-7B9C362D27D1}"/>
    <cellStyle name="Normal 8 3 3 3 4" xfId="9492" xr:uid="{021AD2C3-4671-46AC-BD4D-2FB39D3B6C1F}"/>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55C34D5F-A78E-4D7B-A756-C3A8B7AB9E77}"/>
    <cellStyle name="Normal 8 3 3 4 2 3" xfId="12050" xr:uid="{B5D57F40-C60C-4396-808A-A4C51FAAA04B}"/>
    <cellStyle name="Normal 8 3 3 4 3" xfId="5694" xr:uid="{00000000-0005-0000-0000-00009C1D0000}"/>
    <cellStyle name="Normal 8 3 3 4 3 2" xfId="14123" xr:uid="{56E6BE89-2CF2-4977-9ACC-30777BD62BD3}"/>
    <cellStyle name="Normal 8 3 3 4 4" xfId="9905" xr:uid="{ACD33C18-CA31-4C2D-BFCA-5A3AA47312E7}"/>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97B3D636-0213-4D98-B929-D7ACCF8D802A}"/>
    <cellStyle name="Normal 8 3 3 5 2 3" xfId="12463" xr:uid="{7655A7A1-6CC5-45E5-8513-78695D2242AD}"/>
    <cellStyle name="Normal 8 3 3 5 3" xfId="6107" xr:uid="{00000000-0005-0000-0000-0000A01D0000}"/>
    <cellStyle name="Normal 8 3 3 5 3 2" xfId="14536" xr:uid="{892350B0-1D26-4C71-90D6-25569FA103EB}"/>
    <cellStyle name="Normal 8 3 3 5 4" xfId="10318" xr:uid="{06AE0595-CFB3-4198-B7CC-BF1115376F84}"/>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423A8BA2-FDA0-4E2D-8930-CD1B74B50A2A}"/>
    <cellStyle name="Normal 8 3 3 6 2 3" xfId="12876" xr:uid="{175F9536-6BA3-47DE-B41D-692449E90C2E}"/>
    <cellStyle name="Normal 8 3 3 6 3" xfId="6520" xr:uid="{00000000-0005-0000-0000-0000A41D0000}"/>
    <cellStyle name="Normal 8 3 3 6 3 2" xfId="14949" xr:uid="{069D2595-A223-4F4F-9E69-81A7101CFE39}"/>
    <cellStyle name="Normal 8 3 3 6 4" xfId="10731" xr:uid="{ED4E786C-F1AC-4F62-BDEC-2026E9FBFCE1}"/>
    <cellStyle name="Normal 8 3 3 7" xfId="2648" xr:uid="{00000000-0005-0000-0000-0000A51D0000}"/>
    <cellStyle name="Normal 8 3 3 7 2" xfId="6933" xr:uid="{00000000-0005-0000-0000-0000A61D0000}"/>
    <cellStyle name="Normal 8 3 3 7 2 2" xfId="15362" xr:uid="{3987E321-F164-4635-9BF2-41D112EEA931}"/>
    <cellStyle name="Normal 8 3 3 7 3" xfId="11144" xr:uid="{89D8E064-5CEF-4BCC-AEF2-ED0F50079280}"/>
    <cellStyle name="Normal 8 3 3 8" xfId="4868" xr:uid="{00000000-0005-0000-0000-0000A71D0000}"/>
    <cellStyle name="Normal 8 3 3 8 2" xfId="13297" xr:uid="{E3765E19-6272-4B0B-A428-27DB3B8D6BC5}"/>
    <cellStyle name="Normal 8 3 3 9" xfId="9079" xr:uid="{8AFB7C0C-FD12-4E23-9E9C-2968B15379DC}"/>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A92E78E9-A8FA-4B93-849E-CA1D2BA82F52}"/>
    <cellStyle name="Normal 8 3 4 2 2 3" xfId="11639" xr:uid="{EC6E04F8-ED90-41AC-9403-4F8C4C622B1B}"/>
    <cellStyle name="Normal 8 3 4 2 3" xfId="5283" xr:uid="{00000000-0005-0000-0000-0000AC1D0000}"/>
    <cellStyle name="Normal 8 3 4 2 3 2" xfId="13712" xr:uid="{3BD2AC0B-EB5D-4364-86D6-113CEB152577}"/>
    <cellStyle name="Normal 8 3 4 2 4" xfId="9494" xr:uid="{E663DAFA-9E74-4030-96E4-97BC2B2BDAF1}"/>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FB4F0A3A-8BD2-4FC5-A9F7-9E6583F6C065}"/>
    <cellStyle name="Normal 8 3 4 3 2 3" xfId="12052" xr:uid="{466CC4E5-536C-430B-BEED-FEBF48053DA2}"/>
    <cellStyle name="Normal 8 3 4 3 3" xfId="5696" xr:uid="{00000000-0005-0000-0000-0000B01D0000}"/>
    <cellStyle name="Normal 8 3 4 3 3 2" xfId="14125" xr:uid="{A435228B-B975-4A72-A709-C76226E6F0E9}"/>
    <cellStyle name="Normal 8 3 4 3 4" xfId="9907" xr:uid="{26958548-BC4F-4D25-B0D9-F579D253192A}"/>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593DD544-1618-4931-AA1A-469E9FBF151D}"/>
    <cellStyle name="Normal 8 3 4 4 2 3" xfId="12465" xr:uid="{666E6500-6F16-45D5-A273-126532BD1B39}"/>
    <cellStyle name="Normal 8 3 4 4 3" xfId="6109" xr:uid="{00000000-0005-0000-0000-0000B41D0000}"/>
    <cellStyle name="Normal 8 3 4 4 3 2" xfId="14538" xr:uid="{71F35ADD-C127-4818-9A51-757DAFD8F60A}"/>
    <cellStyle name="Normal 8 3 4 4 4" xfId="10320" xr:uid="{79B32374-D0BF-4455-A92E-056796448D41}"/>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EF9CFC81-C9E5-40EB-9416-F91C09C56C57}"/>
    <cellStyle name="Normal 8 3 4 5 2 3" xfId="12878" xr:uid="{A171048E-F562-4319-A0C6-AC8166A7D21B}"/>
    <cellStyle name="Normal 8 3 4 5 3" xfId="6522" xr:uid="{00000000-0005-0000-0000-0000B81D0000}"/>
    <cellStyle name="Normal 8 3 4 5 3 2" xfId="14951" xr:uid="{1BC9BDA5-7059-4A67-81A8-B19203711BD2}"/>
    <cellStyle name="Normal 8 3 4 5 4" xfId="10733" xr:uid="{706BE42C-5ED4-4549-9A68-50DE92B8BA58}"/>
    <cellStyle name="Normal 8 3 4 6" xfId="2650" xr:uid="{00000000-0005-0000-0000-0000B91D0000}"/>
    <cellStyle name="Normal 8 3 4 6 2" xfId="6935" xr:uid="{00000000-0005-0000-0000-0000BA1D0000}"/>
    <cellStyle name="Normal 8 3 4 6 2 2" xfId="15364" xr:uid="{C85094CA-3673-492F-8EEE-4CE72B3403F0}"/>
    <cellStyle name="Normal 8 3 4 6 3" xfId="11146" xr:uid="{341D574C-DD2E-4709-9584-04864546FD03}"/>
    <cellStyle name="Normal 8 3 4 7" xfId="4870" xr:uid="{00000000-0005-0000-0000-0000BB1D0000}"/>
    <cellStyle name="Normal 8 3 4 7 2" xfId="13299" xr:uid="{311D5D9C-7B72-4C51-A88E-7C7720EC847A}"/>
    <cellStyle name="Normal 8 3 4 8" xfId="9081" xr:uid="{DB261DF5-3316-4030-995E-BED0519F50D8}"/>
    <cellStyle name="Normal 8 3 5" xfId="963" xr:uid="{00000000-0005-0000-0000-0000BC1D0000}"/>
    <cellStyle name="Normal 8 3 5 2" xfId="3197" xr:uid="{00000000-0005-0000-0000-0000BD1D0000}"/>
    <cellStyle name="Normal 8 3 5 2 2" xfId="7421" xr:uid="{00000000-0005-0000-0000-0000BE1D0000}"/>
    <cellStyle name="Normal 8 3 5 2 2 2" xfId="15850" xr:uid="{82E63DC9-21D4-43B1-BEEB-7C8823CF8784}"/>
    <cellStyle name="Normal 8 3 5 2 3" xfId="11632" xr:uid="{5F87EB6B-11E5-48C4-94CF-B50A45C5910C}"/>
    <cellStyle name="Normal 8 3 5 3" xfId="5276" xr:uid="{00000000-0005-0000-0000-0000BF1D0000}"/>
    <cellStyle name="Normal 8 3 5 3 2" xfId="13705" xr:uid="{93DF1C78-C45C-40C1-9219-9C9029799FEC}"/>
    <cellStyle name="Normal 8 3 5 4" xfId="9487" xr:uid="{9F8B5AF2-EFD2-445E-8F5D-5A253AA96BDA}"/>
    <cellStyle name="Normal 8 3 6" xfId="1380" xr:uid="{00000000-0005-0000-0000-0000C01D0000}"/>
    <cellStyle name="Normal 8 3 6 2" xfId="3610" xr:uid="{00000000-0005-0000-0000-0000C11D0000}"/>
    <cellStyle name="Normal 8 3 6 2 2" xfId="7834" xr:uid="{00000000-0005-0000-0000-0000C21D0000}"/>
    <cellStyle name="Normal 8 3 6 2 2 2" xfId="16263" xr:uid="{6A0C4359-DEC8-43C9-BC42-853F04BCCB26}"/>
    <cellStyle name="Normal 8 3 6 2 3" xfId="12045" xr:uid="{32407D27-BE86-466A-AF78-AE71CD529F64}"/>
    <cellStyle name="Normal 8 3 6 3" xfId="5689" xr:uid="{00000000-0005-0000-0000-0000C31D0000}"/>
    <cellStyle name="Normal 8 3 6 3 2" xfId="14118" xr:uid="{FAFCA94A-476A-4E1B-B598-43AB7983AB14}"/>
    <cellStyle name="Normal 8 3 6 4" xfId="9900" xr:uid="{BB5BC193-F8D9-4137-BA23-B66DA3B117B8}"/>
    <cellStyle name="Normal 8 3 7" xfId="1793" xr:uid="{00000000-0005-0000-0000-0000C41D0000}"/>
    <cellStyle name="Normal 8 3 7 2" xfId="4023" xr:uid="{00000000-0005-0000-0000-0000C51D0000}"/>
    <cellStyle name="Normal 8 3 7 2 2" xfId="8247" xr:uid="{00000000-0005-0000-0000-0000C61D0000}"/>
    <cellStyle name="Normal 8 3 7 2 2 2" xfId="16676" xr:uid="{20AA4C19-34A0-49E7-BC07-A199F4CFA432}"/>
    <cellStyle name="Normal 8 3 7 2 3" xfId="12458" xr:uid="{0110D2AE-0F48-46D3-877D-401478BA3785}"/>
    <cellStyle name="Normal 8 3 7 3" xfId="6102" xr:uid="{00000000-0005-0000-0000-0000C71D0000}"/>
    <cellStyle name="Normal 8 3 7 3 2" xfId="14531" xr:uid="{9960BD07-C57E-4270-B462-809818A02CD0}"/>
    <cellStyle name="Normal 8 3 7 4" xfId="10313" xr:uid="{F1B1A243-CF48-4B40-90D4-621A1C95D51A}"/>
    <cellStyle name="Normal 8 3 8" xfId="2207" xr:uid="{00000000-0005-0000-0000-0000C81D0000}"/>
    <cellStyle name="Normal 8 3 8 2" xfId="4436" xr:uid="{00000000-0005-0000-0000-0000C91D0000}"/>
    <cellStyle name="Normal 8 3 8 2 2" xfId="8660" xr:uid="{00000000-0005-0000-0000-0000CA1D0000}"/>
    <cellStyle name="Normal 8 3 8 2 2 2" xfId="17089" xr:uid="{97FF9D7A-3DF7-44FA-A112-4C88C5765A92}"/>
    <cellStyle name="Normal 8 3 8 2 3" xfId="12871" xr:uid="{9C6ADC38-A47C-4BA8-BF5A-9D2A72704752}"/>
    <cellStyle name="Normal 8 3 8 3" xfId="6515" xr:uid="{00000000-0005-0000-0000-0000CB1D0000}"/>
    <cellStyle name="Normal 8 3 8 3 2" xfId="14944" xr:uid="{33A924B8-BE7D-4526-8274-BC2965199519}"/>
    <cellStyle name="Normal 8 3 8 4" xfId="10726" xr:uid="{A666876B-09E0-4DCA-9FEF-299858C990F5}"/>
    <cellStyle name="Normal 8 3 9" xfId="2643" xr:uid="{00000000-0005-0000-0000-0000CC1D0000}"/>
    <cellStyle name="Normal 8 3 9 2" xfId="6928" xr:uid="{00000000-0005-0000-0000-0000CD1D0000}"/>
    <cellStyle name="Normal 8 3 9 2 2" xfId="15357" xr:uid="{E65B067B-CF26-4A4F-B997-783BAE7B084D}"/>
    <cellStyle name="Normal 8 3 9 3" xfId="11139" xr:uid="{4A26F584-D891-4C3A-8E7F-4C0996E6EBB3}"/>
    <cellStyle name="Normal 8 4" xfId="503" xr:uid="{00000000-0005-0000-0000-0000CE1D0000}"/>
    <cellStyle name="Normal 8 4 10" xfId="9082" xr:uid="{6F36E7ED-07C5-4CAB-8755-8141E198FE6C}"/>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FC31F35D-BC36-4F63-8419-356DDE8B9A19}"/>
    <cellStyle name="Normal 8 4 2 2 2 2 3" xfId="11642" xr:uid="{135BDDC3-D15E-42CD-A3D0-0855D8700D41}"/>
    <cellStyle name="Normal 8 4 2 2 2 3" xfId="5286" xr:uid="{00000000-0005-0000-0000-0000D41D0000}"/>
    <cellStyle name="Normal 8 4 2 2 2 3 2" xfId="13715" xr:uid="{4327BEDF-174F-41A8-90E2-0BE41D1856D6}"/>
    <cellStyle name="Normal 8 4 2 2 2 4" xfId="9497" xr:uid="{0544618F-0145-48D2-B767-C98D8D375947}"/>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3E55E18B-613D-41B8-9E33-10C8AB779E9E}"/>
    <cellStyle name="Normal 8 4 2 2 3 2 3" xfId="12055" xr:uid="{5D1ACD1A-D49F-4B8D-8215-2A699EE12AE4}"/>
    <cellStyle name="Normal 8 4 2 2 3 3" xfId="5699" xr:uid="{00000000-0005-0000-0000-0000D81D0000}"/>
    <cellStyle name="Normal 8 4 2 2 3 3 2" xfId="14128" xr:uid="{AE73B4D3-14CA-4F36-BD84-50024E9AA865}"/>
    <cellStyle name="Normal 8 4 2 2 3 4" xfId="9910" xr:uid="{BDB146D7-9C09-42A7-AAA4-6CDBC2F064BA}"/>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EEBBA2F2-BF08-4077-8111-FFC38836939E}"/>
    <cellStyle name="Normal 8 4 2 2 4 2 3" xfId="12468" xr:uid="{B97C0865-B5F2-4FEC-982F-C728E2628BC0}"/>
    <cellStyle name="Normal 8 4 2 2 4 3" xfId="6112" xr:uid="{00000000-0005-0000-0000-0000DC1D0000}"/>
    <cellStyle name="Normal 8 4 2 2 4 3 2" xfId="14541" xr:uid="{F5D9F9A5-1010-4564-876B-083772F5CC92}"/>
    <cellStyle name="Normal 8 4 2 2 4 4" xfId="10323" xr:uid="{9A109003-FA7F-4208-B8BE-3E2A3303B859}"/>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788C71B9-C318-4987-9BE9-67667F748870}"/>
    <cellStyle name="Normal 8 4 2 2 5 2 3" xfId="12881" xr:uid="{C87724B4-E9F2-46CC-9137-5C4977BAF582}"/>
    <cellStyle name="Normal 8 4 2 2 5 3" xfId="6525" xr:uid="{00000000-0005-0000-0000-0000E01D0000}"/>
    <cellStyle name="Normal 8 4 2 2 5 3 2" xfId="14954" xr:uid="{8B78AA40-C14F-4396-9069-1D2DED3DADCB}"/>
    <cellStyle name="Normal 8 4 2 2 5 4" xfId="10736" xr:uid="{F8BA1B6B-7063-43B0-9BF4-4093BE5E39E6}"/>
    <cellStyle name="Normal 8 4 2 2 6" xfId="2653" xr:uid="{00000000-0005-0000-0000-0000E11D0000}"/>
    <cellStyle name="Normal 8 4 2 2 6 2" xfId="6938" xr:uid="{00000000-0005-0000-0000-0000E21D0000}"/>
    <cellStyle name="Normal 8 4 2 2 6 2 2" xfId="15367" xr:uid="{073280B0-FFD3-4D22-A8EC-CED78475E145}"/>
    <cellStyle name="Normal 8 4 2 2 6 3" xfId="11149" xr:uid="{7E83E99B-7480-405A-B135-79D880EAF02C}"/>
    <cellStyle name="Normal 8 4 2 2 7" xfId="4873" xr:uid="{00000000-0005-0000-0000-0000E31D0000}"/>
    <cellStyle name="Normal 8 4 2 2 7 2" xfId="13302" xr:uid="{67B3202E-14B4-4720-9B07-4D8BB6F3BA35}"/>
    <cellStyle name="Normal 8 4 2 2 8" xfId="9084" xr:uid="{DCF32309-80EC-4CDA-A8E3-6F55F8645A53}"/>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E81BC11C-E3D8-4B70-BA0B-869E0B66FD3A}"/>
    <cellStyle name="Normal 8 4 2 3 2 3" xfId="11641" xr:uid="{D6CEAF55-41CC-4915-AFDA-95883BA581AB}"/>
    <cellStyle name="Normal 8 4 2 3 3" xfId="5285" xr:uid="{00000000-0005-0000-0000-0000E71D0000}"/>
    <cellStyle name="Normal 8 4 2 3 3 2" xfId="13714" xr:uid="{2BEF1E95-41C4-48F5-B552-B1EE7ACC2B3C}"/>
    <cellStyle name="Normal 8 4 2 3 4" xfId="9496" xr:uid="{F8F33B25-E0C7-4086-89DF-01FC839FC77F}"/>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66159C03-53B7-4FA2-937E-33A713241F9F}"/>
    <cellStyle name="Normal 8 4 2 4 2 3" xfId="12054" xr:uid="{B1769B61-4B25-4268-B8A6-393E306CF1C7}"/>
    <cellStyle name="Normal 8 4 2 4 3" xfId="5698" xr:uid="{00000000-0005-0000-0000-0000EB1D0000}"/>
    <cellStyle name="Normal 8 4 2 4 3 2" xfId="14127" xr:uid="{9F897AB5-B98B-4982-9155-F5C6FA16EEAA}"/>
    <cellStyle name="Normal 8 4 2 4 4" xfId="9909" xr:uid="{E9F664EC-D461-4C1C-AB2F-C9ADD5210E4F}"/>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51C9ABB8-0ABC-4961-8887-CC795E026B8B}"/>
    <cellStyle name="Normal 8 4 2 5 2 3" xfId="12467" xr:uid="{492D9728-113F-45B5-B029-C1A7F38297E0}"/>
    <cellStyle name="Normal 8 4 2 5 3" xfId="6111" xr:uid="{00000000-0005-0000-0000-0000EF1D0000}"/>
    <cellStyle name="Normal 8 4 2 5 3 2" xfId="14540" xr:uid="{D87E0C67-7DED-43DA-B93A-CC96F0E0F12F}"/>
    <cellStyle name="Normal 8 4 2 5 4" xfId="10322" xr:uid="{27E41B3A-CB63-4874-B0F3-4207B13A084F}"/>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2C85F460-272D-4759-B803-EACDC1E34118}"/>
    <cellStyle name="Normal 8 4 2 6 2 3" xfId="12880" xr:uid="{CE4BD92F-20E4-475C-B10C-0C6158C66865}"/>
    <cellStyle name="Normal 8 4 2 6 3" xfId="6524" xr:uid="{00000000-0005-0000-0000-0000F31D0000}"/>
    <cellStyle name="Normal 8 4 2 6 3 2" xfId="14953" xr:uid="{C008FDB3-791D-421D-8858-A5107006DA38}"/>
    <cellStyle name="Normal 8 4 2 6 4" xfId="10735" xr:uid="{DD3BDC24-8BF3-4595-A716-0345D791D0A7}"/>
    <cellStyle name="Normal 8 4 2 7" xfId="2652" xr:uid="{00000000-0005-0000-0000-0000F41D0000}"/>
    <cellStyle name="Normal 8 4 2 7 2" xfId="6937" xr:uid="{00000000-0005-0000-0000-0000F51D0000}"/>
    <cellStyle name="Normal 8 4 2 7 2 2" xfId="15366" xr:uid="{FDF806D5-A3B4-4775-808B-3384B1BE0A18}"/>
    <cellStyle name="Normal 8 4 2 7 3" xfId="11148" xr:uid="{CA3667BF-B39C-473C-A5FA-542B49349617}"/>
    <cellStyle name="Normal 8 4 2 8" xfId="4872" xr:uid="{00000000-0005-0000-0000-0000F61D0000}"/>
    <cellStyle name="Normal 8 4 2 8 2" xfId="13301" xr:uid="{84600C65-8280-4DEA-80D1-5852BED7BBC4}"/>
    <cellStyle name="Normal 8 4 2 9" xfId="9083" xr:uid="{9D6FE7C3-7755-4F64-A4F3-28B3A163A175}"/>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6217CE5E-CF9E-4202-8034-280E4758000D}"/>
    <cellStyle name="Normal 8 4 3 2 2 3" xfId="11643" xr:uid="{7DC2C810-B1ED-4017-832D-07FFE1BF9E0A}"/>
    <cellStyle name="Normal 8 4 3 2 3" xfId="5287" xr:uid="{00000000-0005-0000-0000-0000FB1D0000}"/>
    <cellStyle name="Normal 8 4 3 2 3 2" xfId="13716" xr:uid="{D405131F-C8BD-4420-8CD4-4FDD3858BAEB}"/>
    <cellStyle name="Normal 8 4 3 2 4" xfId="9498" xr:uid="{8770A5E9-DBBC-4591-B736-C2F0CACABE93}"/>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4391CF6E-4BF6-46B6-B416-69BBF24B4EAB}"/>
    <cellStyle name="Normal 8 4 3 3 2 3" xfId="12056" xr:uid="{7E1EE2CB-7C58-48EC-9C4C-41602B798486}"/>
    <cellStyle name="Normal 8 4 3 3 3" xfId="5700" xr:uid="{00000000-0005-0000-0000-0000FF1D0000}"/>
    <cellStyle name="Normal 8 4 3 3 3 2" xfId="14129" xr:uid="{86B24153-2937-4699-99EB-2D70E83DA028}"/>
    <cellStyle name="Normal 8 4 3 3 4" xfId="9911" xr:uid="{45B50C5D-2E08-4494-8DD8-A28122E936B6}"/>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A3436990-2F3B-435F-A526-068DC62D2D6B}"/>
    <cellStyle name="Normal 8 4 3 4 2 3" xfId="12469" xr:uid="{6861AA5D-5757-4796-B42A-3E4CB7D426BC}"/>
    <cellStyle name="Normal 8 4 3 4 3" xfId="6113" xr:uid="{00000000-0005-0000-0000-0000031E0000}"/>
    <cellStyle name="Normal 8 4 3 4 3 2" xfId="14542" xr:uid="{423651C9-0F61-4048-9D85-9E4E4BDEAE5A}"/>
    <cellStyle name="Normal 8 4 3 4 4" xfId="10324" xr:uid="{D2056344-2BA5-4A86-B3F8-3DBFDEFEFCC7}"/>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1DDDB872-D42E-4846-B66D-1A21C5A873BC}"/>
    <cellStyle name="Normal 8 4 3 5 2 3" xfId="12882" xr:uid="{E43A575B-1C37-4AA4-AA3E-C45E5AB87CF1}"/>
    <cellStyle name="Normal 8 4 3 5 3" xfId="6526" xr:uid="{00000000-0005-0000-0000-0000071E0000}"/>
    <cellStyle name="Normal 8 4 3 5 3 2" xfId="14955" xr:uid="{F24AEC68-0E5E-498E-9519-7135A667F037}"/>
    <cellStyle name="Normal 8 4 3 5 4" xfId="10737" xr:uid="{98D9E4BF-F76B-4BD2-944E-6C23099A9F0D}"/>
    <cellStyle name="Normal 8 4 3 6" xfId="2654" xr:uid="{00000000-0005-0000-0000-0000081E0000}"/>
    <cellStyle name="Normal 8 4 3 6 2" xfId="6939" xr:uid="{00000000-0005-0000-0000-0000091E0000}"/>
    <cellStyle name="Normal 8 4 3 6 2 2" xfId="15368" xr:uid="{F92EE14C-9C0A-4635-96B1-F30BD10D3E5D}"/>
    <cellStyle name="Normal 8 4 3 6 3" xfId="11150" xr:uid="{CF605716-37E6-4893-99AE-286E40B3777E}"/>
    <cellStyle name="Normal 8 4 3 7" xfId="4874" xr:uid="{00000000-0005-0000-0000-00000A1E0000}"/>
    <cellStyle name="Normal 8 4 3 7 2" xfId="13303" xr:uid="{1C498AA1-91E0-430C-B21E-5D576E0A1CA9}"/>
    <cellStyle name="Normal 8 4 3 8" xfId="9085" xr:uid="{69DD149B-E0FF-49B3-AC83-7A45F0DDFE4E}"/>
    <cellStyle name="Normal 8 4 4" xfId="971" xr:uid="{00000000-0005-0000-0000-00000B1E0000}"/>
    <cellStyle name="Normal 8 4 4 2" xfId="3205" xr:uid="{00000000-0005-0000-0000-00000C1E0000}"/>
    <cellStyle name="Normal 8 4 4 2 2" xfId="7429" xr:uid="{00000000-0005-0000-0000-00000D1E0000}"/>
    <cellStyle name="Normal 8 4 4 2 2 2" xfId="15858" xr:uid="{DAA185D7-0046-49BD-8A1F-B9C55DC4D4EB}"/>
    <cellStyle name="Normal 8 4 4 2 3" xfId="11640" xr:uid="{887957A6-322C-4693-B2CC-43B3E640DAD2}"/>
    <cellStyle name="Normal 8 4 4 3" xfId="5284" xr:uid="{00000000-0005-0000-0000-00000E1E0000}"/>
    <cellStyle name="Normal 8 4 4 3 2" xfId="13713" xr:uid="{604A8937-7773-40B2-8492-0E9B8A2355FA}"/>
    <cellStyle name="Normal 8 4 4 4" xfId="9495" xr:uid="{F75BCF81-F828-42D2-B6D1-7D6E1F01AB3A}"/>
    <cellStyle name="Normal 8 4 5" xfId="1388" xr:uid="{00000000-0005-0000-0000-00000F1E0000}"/>
    <cellStyle name="Normal 8 4 5 2" xfId="3618" xr:uid="{00000000-0005-0000-0000-0000101E0000}"/>
    <cellStyle name="Normal 8 4 5 2 2" xfId="7842" xr:uid="{00000000-0005-0000-0000-0000111E0000}"/>
    <cellStyle name="Normal 8 4 5 2 2 2" xfId="16271" xr:uid="{8BEB68FF-43EE-4E62-B7E1-AE1FEFCA9734}"/>
    <cellStyle name="Normal 8 4 5 2 3" xfId="12053" xr:uid="{C1F30C5B-FFB3-4DE7-A697-FFF0362D786E}"/>
    <cellStyle name="Normal 8 4 5 3" xfId="5697" xr:uid="{00000000-0005-0000-0000-0000121E0000}"/>
    <cellStyle name="Normal 8 4 5 3 2" xfId="14126" xr:uid="{DD71D94A-E5B2-4A2C-912F-CBAC4DFF69DF}"/>
    <cellStyle name="Normal 8 4 5 4" xfId="9908" xr:uid="{7BB4DB27-602E-4465-A3C4-70F44D45D385}"/>
    <cellStyle name="Normal 8 4 6" xfId="1801" xr:uid="{00000000-0005-0000-0000-0000131E0000}"/>
    <cellStyle name="Normal 8 4 6 2" xfId="4031" xr:uid="{00000000-0005-0000-0000-0000141E0000}"/>
    <cellStyle name="Normal 8 4 6 2 2" xfId="8255" xr:uid="{00000000-0005-0000-0000-0000151E0000}"/>
    <cellStyle name="Normal 8 4 6 2 2 2" xfId="16684" xr:uid="{2AB184C1-DAF7-47D2-A64B-DECF69320D46}"/>
    <cellStyle name="Normal 8 4 6 2 3" xfId="12466" xr:uid="{45F75486-A5BF-48D0-B6E4-4045AC5E5EE9}"/>
    <cellStyle name="Normal 8 4 6 3" xfId="6110" xr:uid="{00000000-0005-0000-0000-0000161E0000}"/>
    <cellStyle name="Normal 8 4 6 3 2" xfId="14539" xr:uid="{0B5601D9-3A37-4F24-9FEB-4ED2E7F1C383}"/>
    <cellStyle name="Normal 8 4 6 4" xfId="10321" xr:uid="{11059DA3-9BDC-44B6-91B4-AD9AE68B076E}"/>
    <cellStyle name="Normal 8 4 7" xfId="2215" xr:uid="{00000000-0005-0000-0000-0000171E0000}"/>
    <cellStyle name="Normal 8 4 7 2" xfId="4444" xr:uid="{00000000-0005-0000-0000-0000181E0000}"/>
    <cellStyle name="Normal 8 4 7 2 2" xfId="8668" xr:uid="{00000000-0005-0000-0000-0000191E0000}"/>
    <cellStyle name="Normal 8 4 7 2 2 2" xfId="17097" xr:uid="{5A06D711-3B22-452A-8A70-553DA1CB3125}"/>
    <cellStyle name="Normal 8 4 7 2 3" xfId="12879" xr:uid="{5D59126A-E399-4EA6-BA46-9981A14FFDEE}"/>
    <cellStyle name="Normal 8 4 7 3" xfId="6523" xr:uid="{00000000-0005-0000-0000-00001A1E0000}"/>
    <cellStyle name="Normal 8 4 7 3 2" xfId="14952" xr:uid="{AAA3D507-F1AF-4AD5-9526-88049541F287}"/>
    <cellStyle name="Normal 8 4 7 4" xfId="10734" xr:uid="{9326FFED-2B53-42BE-8F04-D35638B599A8}"/>
    <cellStyle name="Normal 8 4 8" xfId="2651" xr:uid="{00000000-0005-0000-0000-00001B1E0000}"/>
    <cellStyle name="Normal 8 4 8 2" xfId="6936" xr:uid="{00000000-0005-0000-0000-00001C1E0000}"/>
    <cellStyle name="Normal 8 4 8 2 2" xfId="15365" xr:uid="{C7A57810-8930-477F-83E2-95EBC38CF5AD}"/>
    <cellStyle name="Normal 8 4 8 3" xfId="11147" xr:uid="{EF55CB95-C318-4289-B4CF-99AFDC625951}"/>
    <cellStyle name="Normal 8 4 9" xfId="4871" xr:uid="{00000000-0005-0000-0000-00001D1E0000}"/>
    <cellStyle name="Normal 8 4 9 2" xfId="13300" xr:uid="{F4227680-7595-43F2-B275-83BE3CB06B5A}"/>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C1539AC9-AA1B-4000-AF3A-412A7A85E109}"/>
    <cellStyle name="Normal 8 5 2 2 2 3" xfId="11645" xr:uid="{77A13CC3-B284-4F5D-A3F3-8C225111FF91}"/>
    <cellStyle name="Normal 8 5 2 2 3" xfId="5289" xr:uid="{00000000-0005-0000-0000-0000231E0000}"/>
    <cellStyle name="Normal 8 5 2 2 3 2" xfId="13718" xr:uid="{D939FC99-C639-47EA-81D4-7E0DF3CB9178}"/>
    <cellStyle name="Normal 8 5 2 2 4" xfId="9500" xr:uid="{5493EF27-8247-49B2-BCE1-FE4F128DDEE7}"/>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ED287D7F-F3B7-45CF-97D0-80595E3AFEA6}"/>
    <cellStyle name="Normal 8 5 2 3 2 3" xfId="12058" xr:uid="{58BAB1A0-F856-4F0B-AEF0-D71835294574}"/>
    <cellStyle name="Normal 8 5 2 3 3" xfId="5702" xr:uid="{00000000-0005-0000-0000-0000271E0000}"/>
    <cellStyle name="Normal 8 5 2 3 3 2" xfId="14131" xr:uid="{C2513119-521B-4ADC-B2F8-7A2A5608DB5C}"/>
    <cellStyle name="Normal 8 5 2 3 4" xfId="9913" xr:uid="{BE58076E-462E-4B94-B416-A34A6E6E8BB7}"/>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7F7F8E73-C929-49A3-8554-4309AAC88A88}"/>
    <cellStyle name="Normal 8 5 2 4 2 3" xfId="12471" xr:uid="{2C61B4CE-CE86-4DD6-BEBD-DFAC539A4707}"/>
    <cellStyle name="Normal 8 5 2 4 3" xfId="6115" xr:uid="{00000000-0005-0000-0000-00002B1E0000}"/>
    <cellStyle name="Normal 8 5 2 4 3 2" xfId="14544" xr:uid="{8B7C0EBA-D7ED-41D4-918F-D2AA104261B6}"/>
    <cellStyle name="Normal 8 5 2 4 4" xfId="10326" xr:uid="{D8B69822-9CE0-4F3A-BB74-0D45790AAFC8}"/>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1F5AEE8F-ED84-442D-ABD7-1105534D889B}"/>
    <cellStyle name="Normal 8 5 2 5 2 3" xfId="12884" xr:uid="{21673D43-3A57-4B91-9E12-7285E11CBFDE}"/>
    <cellStyle name="Normal 8 5 2 5 3" xfId="6528" xr:uid="{00000000-0005-0000-0000-00002F1E0000}"/>
    <cellStyle name="Normal 8 5 2 5 3 2" xfId="14957" xr:uid="{873AD6B5-05F6-4963-8FA3-2F9DF255AF0F}"/>
    <cellStyle name="Normal 8 5 2 5 4" xfId="10739" xr:uid="{31737108-D576-4DDF-9619-A2095623FD79}"/>
    <cellStyle name="Normal 8 5 2 6" xfId="2656" xr:uid="{00000000-0005-0000-0000-0000301E0000}"/>
    <cellStyle name="Normal 8 5 2 6 2" xfId="6941" xr:uid="{00000000-0005-0000-0000-0000311E0000}"/>
    <cellStyle name="Normal 8 5 2 6 2 2" xfId="15370" xr:uid="{23F78D96-B172-4746-BBB0-E66CF45C7085}"/>
    <cellStyle name="Normal 8 5 2 6 3" xfId="11152" xr:uid="{F04B3371-73D7-40CC-A01A-6D046DBA429C}"/>
    <cellStyle name="Normal 8 5 2 7" xfId="4876" xr:uid="{00000000-0005-0000-0000-0000321E0000}"/>
    <cellStyle name="Normal 8 5 2 7 2" xfId="13305" xr:uid="{66D8B682-8177-48EA-AE75-5085158E7262}"/>
    <cellStyle name="Normal 8 5 2 8" xfId="9087" xr:uid="{E2447935-18CA-4B53-A412-C28BB7F06731}"/>
    <cellStyle name="Normal 8 5 3" xfId="975" xr:uid="{00000000-0005-0000-0000-0000331E0000}"/>
    <cellStyle name="Normal 8 5 3 2" xfId="3209" xr:uid="{00000000-0005-0000-0000-0000341E0000}"/>
    <cellStyle name="Normal 8 5 3 2 2" xfId="7433" xr:uid="{00000000-0005-0000-0000-0000351E0000}"/>
    <cellStyle name="Normal 8 5 3 2 2 2" xfId="15862" xr:uid="{0C2D14E1-B7A8-4299-8BC2-A884E3757988}"/>
    <cellStyle name="Normal 8 5 3 2 3" xfId="11644" xr:uid="{FE0F9696-B42E-4FDC-8DFA-500D231D5AC5}"/>
    <cellStyle name="Normal 8 5 3 3" xfId="5288" xr:uid="{00000000-0005-0000-0000-0000361E0000}"/>
    <cellStyle name="Normal 8 5 3 3 2" xfId="13717" xr:uid="{78853331-8826-4C61-A9B9-09B6826C0547}"/>
    <cellStyle name="Normal 8 5 3 4" xfId="9499" xr:uid="{FD5D534D-3DED-4A11-98A9-2392F6E0A3B5}"/>
    <cellStyle name="Normal 8 5 4" xfId="1392" xr:uid="{00000000-0005-0000-0000-0000371E0000}"/>
    <cellStyle name="Normal 8 5 4 2" xfId="3622" xr:uid="{00000000-0005-0000-0000-0000381E0000}"/>
    <cellStyle name="Normal 8 5 4 2 2" xfId="7846" xr:uid="{00000000-0005-0000-0000-0000391E0000}"/>
    <cellStyle name="Normal 8 5 4 2 2 2" xfId="16275" xr:uid="{7EA3713B-D34C-4A11-BFF5-EBA3A3EC6C92}"/>
    <cellStyle name="Normal 8 5 4 2 3" xfId="12057" xr:uid="{1549E06A-7A11-4F92-969E-024E64AF8685}"/>
    <cellStyle name="Normal 8 5 4 3" xfId="5701" xr:uid="{00000000-0005-0000-0000-00003A1E0000}"/>
    <cellStyle name="Normal 8 5 4 3 2" xfId="14130" xr:uid="{9C39A9AD-BFE7-40B9-95F9-ED972ACFDE4E}"/>
    <cellStyle name="Normal 8 5 4 4" xfId="9912" xr:uid="{F38C66A9-6F43-4A86-B5D5-27587031B03F}"/>
    <cellStyle name="Normal 8 5 5" xfId="1805" xr:uid="{00000000-0005-0000-0000-00003B1E0000}"/>
    <cellStyle name="Normal 8 5 5 2" xfId="4035" xr:uid="{00000000-0005-0000-0000-00003C1E0000}"/>
    <cellStyle name="Normal 8 5 5 2 2" xfId="8259" xr:uid="{00000000-0005-0000-0000-00003D1E0000}"/>
    <cellStyle name="Normal 8 5 5 2 2 2" xfId="16688" xr:uid="{F470B5A9-EF8A-4E45-B144-10695021514E}"/>
    <cellStyle name="Normal 8 5 5 2 3" xfId="12470" xr:uid="{19DDFC61-D35F-4E3A-B7F5-C7FF4E7C5BD7}"/>
    <cellStyle name="Normal 8 5 5 3" xfId="6114" xr:uid="{00000000-0005-0000-0000-00003E1E0000}"/>
    <cellStyle name="Normal 8 5 5 3 2" xfId="14543" xr:uid="{0068FCF2-B91A-4EFA-A43E-4EF7AE1D941F}"/>
    <cellStyle name="Normal 8 5 5 4" xfId="10325" xr:uid="{A3A3CA54-87C6-4AA9-851C-629F56E8A82E}"/>
    <cellStyle name="Normal 8 5 6" xfId="2219" xr:uid="{00000000-0005-0000-0000-00003F1E0000}"/>
    <cellStyle name="Normal 8 5 6 2" xfId="4448" xr:uid="{00000000-0005-0000-0000-0000401E0000}"/>
    <cellStyle name="Normal 8 5 6 2 2" xfId="8672" xr:uid="{00000000-0005-0000-0000-0000411E0000}"/>
    <cellStyle name="Normal 8 5 6 2 2 2" xfId="17101" xr:uid="{B6FE6C82-7B97-4ECF-AFFB-3EDED089FB4A}"/>
    <cellStyle name="Normal 8 5 6 2 3" xfId="12883" xr:uid="{4BA26B1A-B841-4AA0-BAC9-548EB85FE1A4}"/>
    <cellStyle name="Normal 8 5 6 3" xfId="6527" xr:uid="{00000000-0005-0000-0000-0000421E0000}"/>
    <cellStyle name="Normal 8 5 6 3 2" xfId="14956" xr:uid="{3B6A5046-5FE7-4D68-8485-1900D8F09B9E}"/>
    <cellStyle name="Normal 8 5 6 4" xfId="10738" xr:uid="{3BCBA18C-D209-4BE3-B7B2-D12492FB89B9}"/>
    <cellStyle name="Normal 8 5 7" xfId="2655" xr:uid="{00000000-0005-0000-0000-0000431E0000}"/>
    <cellStyle name="Normal 8 5 7 2" xfId="6940" xr:uid="{00000000-0005-0000-0000-0000441E0000}"/>
    <cellStyle name="Normal 8 5 7 2 2" xfId="15369" xr:uid="{F1FFB4E9-251D-45BA-B9D0-C18F139DBFD0}"/>
    <cellStyle name="Normal 8 5 7 3" xfId="11151" xr:uid="{CFB00344-CD35-4BD2-BAFC-7CAAAB4A4272}"/>
    <cellStyle name="Normal 8 5 8" xfId="4875" xr:uid="{00000000-0005-0000-0000-0000451E0000}"/>
    <cellStyle name="Normal 8 5 8 2" xfId="13304" xr:uid="{94DE6FFD-0CF0-4766-9B54-2B453084A903}"/>
    <cellStyle name="Normal 8 5 9" xfId="9086" xr:uid="{20B2CED8-27D0-40B5-AAD7-A6D809773339}"/>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F6B1158E-CC44-42B9-A63B-16DE7BEEAABA}"/>
    <cellStyle name="Normal 8 6 2 2 3" xfId="11646" xr:uid="{8A974557-9A43-41AF-A998-9E6B56F9F762}"/>
    <cellStyle name="Normal 8 6 2 3" xfId="5290" xr:uid="{00000000-0005-0000-0000-00004A1E0000}"/>
    <cellStyle name="Normal 8 6 2 3 2" xfId="13719" xr:uid="{53D14D21-B6BD-4B1E-BBBD-C4AB4D91B358}"/>
    <cellStyle name="Normal 8 6 2 4" xfId="9501" xr:uid="{040D091B-8D55-4DB0-BC5C-6CE12FF23913}"/>
    <cellStyle name="Normal 8 6 3" xfId="1394" xr:uid="{00000000-0005-0000-0000-00004B1E0000}"/>
    <cellStyle name="Normal 8 6 3 2" xfId="3624" xr:uid="{00000000-0005-0000-0000-00004C1E0000}"/>
    <cellStyle name="Normal 8 6 3 2 2" xfId="7848" xr:uid="{00000000-0005-0000-0000-00004D1E0000}"/>
    <cellStyle name="Normal 8 6 3 2 2 2" xfId="16277" xr:uid="{90CB202F-6ACA-4CC8-B771-EC19B21839F8}"/>
    <cellStyle name="Normal 8 6 3 2 3" xfId="12059" xr:uid="{8CFA2E7F-4136-4D50-9588-D6452B0DCFA4}"/>
    <cellStyle name="Normal 8 6 3 3" xfId="5703" xr:uid="{00000000-0005-0000-0000-00004E1E0000}"/>
    <cellStyle name="Normal 8 6 3 3 2" xfId="14132" xr:uid="{B6F8B3E9-8ABC-4D7D-A29B-11FDA85DB4F2}"/>
    <cellStyle name="Normal 8 6 3 4" xfId="9914" xr:uid="{CBC42060-153E-42E2-9BCC-7CFC0B3A4C2A}"/>
    <cellStyle name="Normal 8 6 4" xfId="1807" xr:uid="{00000000-0005-0000-0000-00004F1E0000}"/>
    <cellStyle name="Normal 8 6 4 2" xfId="4037" xr:uid="{00000000-0005-0000-0000-0000501E0000}"/>
    <cellStyle name="Normal 8 6 4 2 2" xfId="8261" xr:uid="{00000000-0005-0000-0000-0000511E0000}"/>
    <cellStyle name="Normal 8 6 4 2 2 2" xfId="16690" xr:uid="{32F3B92F-1F9E-4100-A456-F7C65E19B1E0}"/>
    <cellStyle name="Normal 8 6 4 2 3" xfId="12472" xr:uid="{4BABD53C-AD46-4E14-8D02-971741A33325}"/>
    <cellStyle name="Normal 8 6 4 3" xfId="6116" xr:uid="{00000000-0005-0000-0000-0000521E0000}"/>
    <cellStyle name="Normal 8 6 4 3 2" xfId="14545" xr:uid="{4DF440C0-CEDC-45D3-AB40-E3657B7B63A4}"/>
    <cellStyle name="Normal 8 6 4 4" xfId="10327" xr:uid="{F6891A3D-F322-4CDD-A767-8527FCB4BABB}"/>
    <cellStyle name="Normal 8 6 5" xfId="2221" xr:uid="{00000000-0005-0000-0000-0000531E0000}"/>
    <cellStyle name="Normal 8 6 5 2" xfId="4450" xr:uid="{00000000-0005-0000-0000-0000541E0000}"/>
    <cellStyle name="Normal 8 6 5 2 2" xfId="8674" xr:uid="{00000000-0005-0000-0000-0000551E0000}"/>
    <cellStyle name="Normal 8 6 5 2 2 2" xfId="17103" xr:uid="{17DCF6FC-8F07-4D12-BD4D-BECE99B8FF2F}"/>
    <cellStyle name="Normal 8 6 5 2 3" xfId="12885" xr:uid="{A2D7A690-3861-46AD-AE00-D9536EA9EEF3}"/>
    <cellStyle name="Normal 8 6 5 3" xfId="6529" xr:uid="{00000000-0005-0000-0000-0000561E0000}"/>
    <cellStyle name="Normal 8 6 5 3 2" xfId="14958" xr:uid="{87041E0C-24B2-40DF-98A3-E3E9F7D6BE94}"/>
    <cellStyle name="Normal 8 6 5 4" xfId="10740" xr:uid="{3FA66B71-6D95-415B-915B-490859171274}"/>
    <cellStyle name="Normal 8 6 6" xfId="2657" xr:uid="{00000000-0005-0000-0000-0000571E0000}"/>
    <cellStyle name="Normal 8 6 6 2" xfId="6942" xr:uid="{00000000-0005-0000-0000-0000581E0000}"/>
    <cellStyle name="Normal 8 6 6 2 2" xfId="15371" xr:uid="{AE68E79E-A7D4-47C1-81F3-D11DAB2BCECF}"/>
    <cellStyle name="Normal 8 6 6 3" xfId="11153" xr:uid="{E6F70B14-8744-488B-BB90-82E7D2C2492E}"/>
    <cellStyle name="Normal 8 6 7" xfId="4877" xr:uid="{00000000-0005-0000-0000-0000591E0000}"/>
    <cellStyle name="Normal 8 6 7 2" xfId="13306" xr:uid="{895F8F56-2ED8-4836-9C6C-9660C03C84C5}"/>
    <cellStyle name="Normal 8 6 8" xfId="9088" xr:uid="{17871886-5187-4C80-9A45-605321DD1A2E}"/>
    <cellStyle name="Normal 8 7" xfId="946" xr:uid="{00000000-0005-0000-0000-00005A1E0000}"/>
    <cellStyle name="Normal 8 7 2" xfId="3180" xr:uid="{00000000-0005-0000-0000-00005B1E0000}"/>
    <cellStyle name="Normal 8 7 2 2" xfId="7404" xr:uid="{00000000-0005-0000-0000-00005C1E0000}"/>
    <cellStyle name="Normal 8 7 2 2 2" xfId="15833" xr:uid="{6C47D050-F528-4137-8AEB-E3F6A102901E}"/>
    <cellStyle name="Normal 8 7 2 3" xfId="11615" xr:uid="{92BAB5ED-78C8-4DF1-8E15-6CF39349E972}"/>
    <cellStyle name="Normal 8 7 3" xfId="5259" xr:uid="{00000000-0005-0000-0000-00005D1E0000}"/>
    <cellStyle name="Normal 8 7 3 2" xfId="13688" xr:uid="{11EF075F-A264-4D6A-9AB6-A96766BD9B64}"/>
    <cellStyle name="Normal 8 7 4" xfId="9470" xr:uid="{82786B71-CD33-4A98-8101-A0604CC766BF}"/>
    <cellStyle name="Normal 8 8" xfId="1363" xr:uid="{00000000-0005-0000-0000-00005E1E0000}"/>
    <cellStyle name="Normal 8 8 2" xfId="3593" xr:uid="{00000000-0005-0000-0000-00005F1E0000}"/>
    <cellStyle name="Normal 8 8 2 2" xfId="7817" xr:uid="{00000000-0005-0000-0000-0000601E0000}"/>
    <cellStyle name="Normal 8 8 2 2 2" xfId="16246" xr:uid="{11AF7C1F-8194-4214-BB3C-C1BE610F8C6A}"/>
    <cellStyle name="Normal 8 8 2 3" xfId="12028" xr:uid="{E688ED5E-9960-4513-AE3D-F8853A07F341}"/>
    <cellStyle name="Normal 8 8 3" xfId="5672" xr:uid="{00000000-0005-0000-0000-0000611E0000}"/>
    <cellStyle name="Normal 8 8 3 2" xfId="14101" xr:uid="{0D66854F-5349-4DDE-80BF-610E1ED81CF6}"/>
    <cellStyle name="Normal 8 8 4" xfId="9883" xr:uid="{97D373D2-FBB6-4068-9E6D-2EBB6F878D6D}"/>
    <cellStyle name="Normal 8 9" xfId="1776" xr:uid="{00000000-0005-0000-0000-0000621E0000}"/>
    <cellStyle name="Normal 8 9 2" xfId="4006" xr:uid="{00000000-0005-0000-0000-0000631E0000}"/>
    <cellStyle name="Normal 8 9 2 2" xfId="8230" xr:uid="{00000000-0005-0000-0000-0000641E0000}"/>
    <cellStyle name="Normal 8 9 2 2 2" xfId="16659" xr:uid="{D9792C14-5A86-46A9-9941-7DFBD3A105ED}"/>
    <cellStyle name="Normal 8 9 2 3" xfId="12441" xr:uid="{2ACC09FC-656D-4D2F-99FC-E95EBB899D2E}"/>
    <cellStyle name="Normal 8 9 3" xfId="6085" xr:uid="{00000000-0005-0000-0000-0000651E0000}"/>
    <cellStyle name="Normal 8 9 3 2" xfId="14514" xr:uid="{7446914A-FB39-42FA-A76C-1D755CDA21E1}"/>
    <cellStyle name="Normal 8 9 4" xfId="10296" xr:uid="{5195B062-99F5-49D1-9E80-E86CF3597216}"/>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776419B1-E1F3-4148-86BD-349D4E894547}"/>
    <cellStyle name="Normal 9 2 10 3" xfId="11154" xr:uid="{C6C977C3-C123-4462-BE71-1CC88C17CAF6}"/>
    <cellStyle name="Normal 9 2 11" xfId="4878" xr:uid="{00000000-0005-0000-0000-00006A1E0000}"/>
    <cellStyle name="Normal 9 2 11 2" xfId="13307" xr:uid="{AA1B9302-BC94-4401-A33F-E8E8226DF58D}"/>
    <cellStyle name="Normal 9 2 12" xfId="9089" xr:uid="{4B89AE25-A8C1-4440-9339-D4B5CEAE52DA}"/>
    <cellStyle name="Normal 9 2 2" xfId="512" xr:uid="{00000000-0005-0000-0000-00006B1E0000}"/>
    <cellStyle name="Normal 9 2 2 10" xfId="4879" xr:uid="{00000000-0005-0000-0000-00006C1E0000}"/>
    <cellStyle name="Normal 9 2 2 10 2" xfId="13308" xr:uid="{C9A057D9-3787-4C6B-97A7-2165D4533C32}"/>
    <cellStyle name="Normal 9 2 2 11" xfId="9090" xr:uid="{82912CB5-AD09-4134-8049-6B116897D2D3}"/>
    <cellStyle name="Normal 9 2 2 2" xfId="513" xr:uid="{00000000-0005-0000-0000-00006D1E0000}"/>
    <cellStyle name="Normal 9 2 2 2 10" xfId="9091" xr:uid="{EA9279CA-94EE-4BA7-8687-3F3203B35D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2E62B554-2169-482B-8134-D6B0C72DAE2B}"/>
    <cellStyle name="Normal 9 2 2 2 2 2 2 2 3" xfId="11651" xr:uid="{34BA8356-28C3-4630-B1EC-763EF9503EE1}"/>
    <cellStyle name="Normal 9 2 2 2 2 2 2 3" xfId="5295" xr:uid="{00000000-0005-0000-0000-0000731E0000}"/>
    <cellStyle name="Normal 9 2 2 2 2 2 2 3 2" xfId="13724" xr:uid="{F102E5A9-CEA8-476D-B2F7-AFA79E528CEB}"/>
    <cellStyle name="Normal 9 2 2 2 2 2 2 4" xfId="9506" xr:uid="{BD5AC22F-B0FC-46D6-8367-EB0E9BA3741F}"/>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9957B623-FC64-4C3F-B27B-E87CBC5DB31D}"/>
    <cellStyle name="Normal 9 2 2 2 2 2 3 2 3" xfId="12064" xr:uid="{51647891-C345-4337-8F78-6A954D91B5E8}"/>
    <cellStyle name="Normal 9 2 2 2 2 2 3 3" xfId="5708" xr:uid="{00000000-0005-0000-0000-0000771E0000}"/>
    <cellStyle name="Normal 9 2 2 2 2 2 3 3 2" xfId="14137" xr:uid="{CD97B19B-9BC5-4FFE-BAB5-C50A7EBA5444}"/>
    <cellStyle name="Normal 9 2 2 2 2 2 3 4" xfId="9919" xr:uid="{9744F585-AE61-4E69-A684-0E88BA4A06BF}"/>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05770C1C-EA95-4597-906D-63E9098B4EB3}"/>
    <cellStyle name="Normal 9 2 2 2 2 2 4 2 3" xfId="12477" xr:uid="{B63A6CD3-2B7B-4F69-9FF0-02AC5CFA671C}"/>
    <cellStyle name="Normal 9 2 2 2 2 2 4 3" xfId="6121" xr:uid="{00000000-0005-0000-0000-00007B1E0000}"/>
    <cellStyle name="Normal 9 2 2 2 2 2 4 3 2" xfId="14550" xr:uid="{134D6E33-8F3A-448D-97BA-29EDFF4AFC46}"/>
    <cellStyle name="Normal 9 2 2 2 2 2 4 4" xfId="10332" xr:uid="{35A4300E-B414-4999-B36E-C7FC1CCC4249}"/>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8BC60188-05F8-41FF-AFE8-FCD6D78FC0EE}"/>
    <cellStyle name="Normal 9 2 2 2 2 2 5 2 3" xfId="12890" xr:uid="{33A3990A-03DC-4BD7-BF5B-059C7E172D5C}"/>
    <cellStyle name="Normal 9 2 2 2 2 2 5 3" xfId="6534" xr:uid="{00000000-0005-0000-0000-00007F1E0000}"/>
    <cellStyle name="Normal 9 2 2 2 2 2 5 3 2" xfId="14963" xr:uid="{47EC62D6-7801-4E78-B316-13F357487ADD}"/>
    <cellStyle name="Normal 9 2 2 2 2 2 5 4" xfId="10745" xr:uid="{3F6BCA52-7B00-4A68-9A5A-62C2704B599D}"/>
    <cellStyle name="Normal 9 2 2 2 2 2 6" xfId="2662" xr:uid="{00000000-0005-0000-0000-0000801E0000}"/>
    <cellStyle name="Normal 9 2 2 2 2 2 6 2" xfId="6947" xr:uid="{00000000-0005-0000-0000-0000811E0000}"/>
    <cellStyle name="Normal 9 2 2 2 2 2 6 2 2" xfId="15376" xr:uid="{095D7ACA-D7C7-4434-BD04-D932D7281672}"/>
    <cellStyle name="Normal 9 2 2 2 2 2 6 3" xfId="11158" xr:uid="{38923C38-9AF0-49A9-AEA6-63B428CD3322}"/>
    <cellStyle name="Normal 9 2 2 2 2 2 7" xfId="4882" xr:uid="{00000000-0005-0000-0000-0000821E0000}"/>
    <cellStyle name="Normal 9 2 2 2 2 2 7 2" xfId="13311" xr:uid="{057CB8F7-C6B7-4A46-A3B5-7B90515C3E8B}"/>
    <cellStyle name="Normal 9 2 2 2 2 2 8" xfId="9093" xr:uid="{A209F891-98CE-40B4-82AE-34DCFCDF614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AA4620E3-B4C3-402F-9A26-1DEB0EBF549A}"/>
    <cellStyle name="Normal 9 2 2 2 2 3 2 3" xfId="11650" xr:uid="{099B5393-278D-4034-B2FF-42766CD3D6A6}"/>
    <cellStyle name="Normal 9 2 2 2 2 3 3" xfId="5294" xr:uid="{00000000-0005-0000-0000-0000861E0000}"/>
    <cellStyle name="Normal 9 2 2 2 2 3 3 2" xfId="13723" xr:uid="{323335B6-92DD-4ED3-B793-0C8871B8A6D9}"/>
    <cellStyle name="Normal 9 2 2 2 2 3 4" xfId="9505" xr:uid="{74DCAEE7-1965-496A-B82E-9B65F528D749}"/>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C1C0528F-A02C-4FC6-BFC0-EA54D0795C92}"/>
    <cellStyle name="Normal 9 2 2 2 2 4 2 3" xfId="12063" xr:uid="{4D878720-EFDF-4E24-B19B-FCACE886B8DF}"/>
    <cellStyle name="Normal 9 2 2 2 2 4 3" xfId="5707" xr:uid="{00000000-0005-0000-0000-00008A1E0000}"/>
    <cellStyle name="Normal 9 2 2 2 2 4 3 2" xfId="14136" xr:uid="{37468A32-F181-4EDB-B5F9-85BE49E6A3CA}"/>
    <cellStyle name="Normal 9 2 2 2 2 4 4" xfId="9918" xr:uid="{A558C7B1-A8B8-4487-B472-6EAEDEF5074B}"/>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74EE937F-E419-4450-9C36-611E5008A331}"/>
    <cellStyle name="Normal 9 2 2 2 2 5 2 3" xfId="12476" xr:uid="{91799B5B-FB41-4D87-BDE7-5D3D9C1C1391}"/>
    <cellStyle name="Normal 9 2 2 2 2 5 3" xfId="6120" xr:uid="{00000000-0005-0000-0000-00008E1E0000}"/>
    <cellStyle name="Normal 9 2 2 2 2 5 3 2" xfId="14549" xr:uid="{F6AB5C01-9019-437C-8C70-037C96C5EAA5}"/>
    <cellStyle name="Normal 9 2 2 2 2 5 4" xfId="10331" xr:uid="{8A8D9448-BBBA-47E1-8DF5-559C18169628}"/>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785382ED-0CCD-44DF-A044-C38BECE6D668}"/>
    <cellStyle name="Normal 9 2 2 2 2 6 2 3" xfId="12889" xr:uid="{444144A2-A38D-4DF1-864A-B8E7B573CFA3}"/>
    <cellStyle name="Normal 9 2 2 2 2 6 3" xfId="6533" xr:uid="{00000000-0005-0000-0000-0000921E0000}"/>
    <cellStyle name="Normal 9 2 2 2 2 6 3 2" xfId="14962" xr:uid="{B7B759EA-04CB-4967-9A2F-B9604E4E7B1A}"/>
    <cellStyle name="Normal 9 2 2 2 2 6 4" xfId="10744" xr:uid="{725235C3-C8AF-4B64-8AA0-1852BB89EC81}"/>
    <cellStyle name="Normal 9 2 2 2 2 7" xfId="2661" xr:uid="{00000000-0005-0000-0000-0000931E0000}"/>
    <cellStyle name="Normal 9 2 2 2 2 7 2" xfId="6946" xr:uid="{00000000-0005-0000-0000-0000941E0000}"/>
    <cellStyle name="Normal 9 2 2 2 2 7 2 2" xfId="15375" xr:uid="{C86C9D9A-B5B1-41DE-934A-E7B966968A82}"/>
    <cellStyle name="Normal 9 2 2 2 2 7 3" xfId="11157" xr:uid="{CCDB45C0-068F-47D4-BDD6-2BAF98117C4C}"/>
    <cellStyle name="Normal 9 2 2 2 2 8" xfId="4881" xr:uid="{00000000-0005-0000-0000-0000951E0000}"/>
    <cellStyle name="Normal 9 2 2 2 2 8 2" xfId="13310" xr:uid="{26B40B30-F9A3-48C7-BA49-56DE0FC68E9C}"/>
    <cellStyle name="Normal 9 2 2 2 2 9" xfId="9092" xr:uid="{7BB20F20-FE8E-4C60-A6E4-B5743CB8121E}"/>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FD453512-F179-4880-82A5-6F9D0FCDDE94}"/>
    <cellStyle name="Normal 9 2 2 2 3 2 2 3" xfId="11652" xr:uid="{6C7CCDED-5AA8-4D12-893A-2360A4EF17F7}"/>
    <cellStyle name="Normal 9 2 2 2 3 2 3" xfId="5296" xr:uid="{00000000-0005-0000-0000-00009A1E0000}"/>
    <cellStyle name="Normal 9 2 2 2 3 2 3 2" xfId="13725" xr:uid="{40C90E3A-5B8C-4388-A57B-983B176E9817}"/>
    <cellStyle name="Normal 9 2 2 2 3 2 4" xfId="9507" xr:uid="{51DDCFC2-E0C1-4223-A41E-94D2E52101B5}"/>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716650C6-BB22-4C48-9215-2EA914098932}"/>
    <cellStyle name="Normal 9 2 2 2 3 3 2 3" xfId="12065" xr:uid="{C68640D6-194B-449E-933C-8107C6A3F6AC}"/>
    <cellStyle name="Normal 9 2 2 2 3 3 3" xfId="5709" xr:uid="{00000000-0005-0000-0000-00009E1E0000}"/>
    <cellStyle name="Normal 9 2 2 2 3 3 3 2" xfId="14138" xr:uid="{87734F76-0533-42EC-BBE0-08CA1C852830}"/>
    <cellStyle name="Normal 9 2 2 2 3 3 4" xfId="9920" xr:uid="{5DC9FD9B-CF52-4786-9336-5DDC98F56A2E}"/>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6E890855-C6DF-4606-94A4-201209D7AE8E}"/>
    <cellStyle name="Normal 9 2 2 2 3 4 2 3" xfId="12478" xr:uid="{EC7F10E4-22E1-41EE-8427-AFA13B6C1821}"/>
    <cellStyle name="Normal 9 2 2 2 3 4 3" xfId="6122" xr:uid="{00000000-0005-0000-0000-0000A21E0000}"/>
    <cellStyle name="Normal 9 2 2 2 3 4 3 2" xfId="14551" xr:uid="{00FD2CCD-FEBB-47C7-B498-31CDF4A0B0F4}"/>
    <cellStyle name="Normal 9 2 2 2 3 4 4" xfId="10333" xr:uid="{84FBA44A-CA62-4863-BA3D-7E34DBFADFA5}"/>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22542715-C3E6-4DC0-8152-6CEB4F00EB1E}"/>
    <cellStyle name="Normal 9 2 2 2 3 5 2 3" xfId="12891" xr:uid="{99261745-4564-4463-9314-3452F2BE1C49}"/>
    <cellStyle name="Normal 9 2 2 2 3 5 3" xfId="6535" xr:uid="{00000000-0005-0000-0000-0000A61E0000}"/>
    <cellStyle name="Normal 9 2 2 2 3 5 3 2" xfId="14964" xr:uid="{30794E6E-18A2-407D-A2DB-6DC697F95EBD}"/>
    <cellStyle name="Normal 9 2 2 2 3 5 4" xfId="10746" xr:uid="{3D67A841-639A-4B73-B104-6ADB21DB4B9F}"/>
    <cellStyle name="Normal 9 2 2 2 3 6" xfId="2663" xr:uid="{00000000-0005-0000-0000-0000A71E0000}"/>
    <cellStyle name="Normal 9 2 2 2 3 6 2" xfId="6948" xr:uid="{00000000-0005-0000-0000-0000A81E0000}"/>
    <cellStyle name="Normal 9 2 2 2 3 6 2 2" xfId="15377" xr:uid="{B056C2D4-58F1-4DEA-A22F-D0F3C11FCC20}"/>
    <cellStyle name="Normal 9 2 2 2 3 6 3" xfId="11159" xr:uid="{BBE05EAF-43C9-41D3-AA34-66F17E64CED0}"/>
    <cellStyle name="Normal 9 2 2 2 3 7" xfId="4883" xr:uid="{00000000-0005-0000-0000-0000A91E0000}"/>
    <cellStyle name="Normal 9 2 2 2 3 7 2" xfId="13312" xr:uid="{8EEEA7C8-3591-4ED5-A3A7-DF0F3D1D78F6}"/>
    <cellStyle name="Normal 9 2 2 2 3 8" xfId="9094" xr:uid="{6BEC2805-BD0B-468A-A9EA-78DF5996A49D}"/>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B80CCD04-7EB3-4882-BFBB-3539BC09C830}"/>
    <cellStyle name="Normal 9 2 2 2 4 2 3" xfId="11649" xr:uid="{BD510FD4-C70C-4CD4-883E-D96DC6D9D3FC}"/>
    <cellStyle name="Normal 9 2 2 2 4 3" xfId="5293" xr:uid="{00000000-0005-0000-0000-0000AD1E0000}"/>
    <cellStyle name="Normal 9 2 2 2 4 3 2" xfId="13722" xr:uid="{D2107B66-B270-464D-9799-054CD1D7FF01}"/>
    <cellStyle name="Normal 9 2 2 2 4 4" xfId="9504" xr:uid="{2F11145B-79FF-4950-BCD8-6B1630C7D5A8}"/>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E91BC882-62AF-45D2-B914-A01C99EA52A4}"/>
    <cellStyle name="Normal 9 2 2 2 5 2 3" xfId="12062" xr:uid="{251D7159-FACE-4394-90A8-1625D2347E24}"/>
    <cellStyle name="Normal 9 2 2 2 5 3" xfId="5706" xr:uid="{00000000-0005-0000-0000-0000B11E0000}"/>
    <cellStyle name="Normal 9 2 2 2 5 3 2" xfId="14135" xr:uid="{9B99C156-BD14-4480-AF23-8BB013999113}"/>
    <cellStyle name="Normal 9 2 2 2 5 4" xfId="9917" xr:uid="{92E70366-0DA8-445C-96D1-6F40734E6729}"/>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86C8CE69-A192-43D4-B822-695AF7EFE0DF}"/>
    <cellStyle name="Normal 9 2 2 2 6 2 3" xfId="12475" xr:uid="{E04A3AAA-1205-497E-B0C7-1DF911281DE9}"/>
    <cellStyle name="Normal 9 2 2 2 6 3" xfId="6119" xr:uid="{00000000-0005-0000-0000-0000B51E0000}"/>
    <cellStyle name="Normal 9 2 2 2 6 3 2" xfId="14548" xr:uid="{1D14BE85-C504-4E58-B7A5-D26C39C9744A}"/>
    <cellStyle name="Normal 9 2 2 2 6 4" xfId="10330" xr:uid="{131AFCEB-635E-4751-95E8-DC5D0F830369}"/>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01C02D6E-A5E1-4848-B8AC-E9D18033DA88}"/>
    <cellStyle name="Normal 9 2 2 2 7 2 3" xfId="12888" xr:uid="{CDFCB7EE-B0CC-4F39-A9EE-2779A1B93EA2}"/>
    <cellStyle name="Normal 9 2 2 2 7 3" xfId="6532" xr:uid="{00000000-0005-0000-0000-0000B91E0000}"/>
    <cellStyle name="Normal 9 2 2 2 7 3 2" xfId="14961" xr:uid="{5A3D7704-3454-4B41-BA67-3838A6857146}"/>
    <cellStyle name="Normal 9 2 2 2 7 4" xfId="10743" xr:uid="{EFE6E522-B194-40CE-9AB3-E2434129D4B8}"/>
    <cellStyle name="Normal 9 2 2 2 8" xfId="2660" xr:uid="{00000000-0005-0000-0000-0000BA1E0000}"/>
    <cellStyle name="Normal 9 2 2 2 8 2" xfId="6945" xr:uid="{00000000-0005-0000-0000-0000BB1E0000}"/>
    <cellStyle name="Normal 9 2 2 2 8 2 2" xfId="15374" xr:uid="{A08CA5AD-1466-4E34-897A-D44348B3D8DE}"/>
    <cellStyle name="Normal 9 2 2 2 8 3" xfId="11156" xr:uid="{798E16C0-F0AD-4332-B053-F1A7CB530F96}"/>
    <cellStyle name="Normal 9 2 2 2 9" xfId="4880" xr:uid="{00000000-0005-0000-0000-0000BC1E0000}"/>
    <cellStyle name="Normal 9 2 2 2 9 2" xfId="13309" xr:uid="{12D41871-FDEA-4D7F-997C-04B19F49E5BF}"/>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7890FDC2-E122-4F53-A6B1-283E67852421}"/>
    <cellStyle name="Normal 9 2 2 3 2 2 2 3" xfId="11654" xr:uid="{C57C6F87-9C17-4D42-BEE6-9723A4655079}"/>
    <cellStyle name="Normal 9 2 2 3 2 2 3" xfId="5298" xr:uid="{00000000-0005-0000-0000-0000C21E0000}"/>
    <cellStyle name="Normal 9 2 2 3 2 2 3 2" xfId="13727" xr:uid="{DB37ADC4-982E-4F31-BC83-040B09F24AAB}"/>
    <cellStyle name="Normal 9 2 2 3 2 2 4" xfId="9509" xr:uid="{17999825-E3D0-46B4-8C2D-83035F6FF9C9}"/>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F8582602-347A-4EF7-9B66-E9DE08B6FE4B}"/>
    <cellStyle name="Normal 9 2 2 3 2 3 2 3" xfId="12067" xr:uid="{25E45606-BD27-4A31-8E53-1E7053F21E26}"/>
    <cellStyle name="Normal 9 2 2 3 2 3 3" xfId="5711" xr:uid="{00000000-0005-0000-0000-0000C61E0000}"/>
    <cellStyle name="Normal 9 2 2 3 2 3 3 2" xfId="14140" xr:uid="{5E88B6A1-738E-4B15-83FE-52F3EA28822D}"/>
    <cellStyle name="Normal 9 2 2 3 2 3 4" xfId="9922" xr:uid="{99B04208-B9CC-42DB-97CC-858066B303CC}"/>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AD81EE75-7834-4E83-BC49-5ACC6BBEE80D}"/>
    <cellStyle name="Normal 9 2 2 3 2 4 2 3" xfId="12480" xr:uid="{286716DF-6111-46B7-9488-7B2199FDE7EE}"/>
    <cellStyle name="Normal 9 2 2 3 2 4 3" xfId="6124" xr:uid="{00000000-0005-0000-0000-0000CA1E0000}"/>
    <cellStyle name="Normal 9 2 2 3 2 4 3 2" xfId="14553" xr:uid="{24395FA9-3BF8-43BC-BFA3-C80F23301467}"/>
    <cellStyle name="Normal 9 2 2 3 2 4 4" xfId="10335" xr:uid="{709C14FB-F6F4-42BC-9F6B-B2FB969E3B37}"/>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B9046CD0-EF4C-4D7D-925E-35D6F4EE8869}"/>
    <cellStyle name="Normal 9 2 2 3 2 5 2 3" xfId="12893" xr:uid="{6F605E4F-3C0D-4D45-A854-882CF1EF419B}"/>
    <cellStyle name="Normal 9 2 2 3 2 5 3" xfId="6537" xr:uid="{00000000-0005-0000-0000-0000CE1E0000}"/>
    <cellStyle name="Normal 9 2 2 3 2 5 3 2" xfId="14966" xr:uid="{33EA99CA-A576-4D58-862E-425BC4D8121F}"/>
    <cellStyle name="Normal 9 2 2 3 2 5 4" xfId="10748" xr:uid="{5A0DC206-2415-4686-AEDF-8702F30C3391}"/>
    <cellStyle name="Normal 9 2 2 3 2 6" xfId="2665" xr:uid="{00000000-0005-0000-0000-0000CF1E0000}"/>
    <cellStyle name="Normal 9 2 2 3 2 6 2" xfId="6950" xr:uid="{00000000-0005-0000-0000-0000D01E0000}"/>
    <cellStyle name="Normal 9 2 2 3 2 6 2 2" xfId="15379" xr:uid="{5E04C251-1888-4081-ADE4-C116F5682D36}"/>
    <cellStyle name="Normal 9 2 2 3 2 6 3" xfId="11161" xr:uid="{CF9884C5-9B1C-4627-8201-C4E57FB80B95}"/>
    <cellStyle name="Normal 9 2 2 3 2 7" xfId="4885" xr:uid="{00000000-0005-0000-0000-0000D11E0000}"/>
    <cellStyle name="Normal 9 2 2 3 2 7 2" xfId="13314" xr:uid="{1A4B43EF-F758-4F4F-99A0-3FE3EBE31A99}"/>
    <cellStyle name="Normal 9 2 2 3 2 8" xfId="9096" xr:uid="{DD218478-B2C0-4733-8EB1-E3D03B890874}"/>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1FF59AD5-E33E-456F-BE00-60E4F0970F3B}"/>
    <cellStyle name="Normal 9 2 2 3 3 2 3" xfId="11653" xr:uid="{28AD88B7-2B63-4B8B-BED5-C47C492C865D}"/>
    <cellStyle name="Normal 9 2 2 3 3 3" xfId="5297" xr:uid="{00000000-0005-0000-0000-0000D51E0000}"/>
    <cellStyle name="Normal 9 2 2 3 3 3 2" xfId="13726" xr:uid="{C874912C-8CD5-4330-887C-E209D190F64D}"/>
    <cellStyle name="Normal 9 2 2 3 3 4" xfId="9508" xr:uid="{D227D289-94FD-494F-8649-A9612481A3B0}"/>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2B948813-542F-4425-8863-F2656E91A3C2}"/>
    <cellStyle name="Normal 9 2 2 3 4 2 3" xfId="12066" xr:uid="{B095D9AA-2BB1-4000-9EB0-93339ED641F5}"/>
    <cellStyle name="Normal 9 2 2 3 4 3" xfId="5710" xr:uid="{00000000-0005-0000-0000-0000D91E0000}"/>
    <cellStyle name="Normal 9 2 2 3 4 3 2" xfId="14139" xr:uid="{B6E7CB9E-0851-4D31-812B-FBF411A33345}"/>
    <cellStyle name="Normal 9 2 2 3 4 4" xfId="9921" xr:uid="{64FD6743-A3F7-4680-B42B-6CF51525D3C0}"/>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A0017D74-F177-4A31-8DBA-2590A984DBBC}"/>
    <cellStyle name="Normal 9 2 2 3 5 2 3" xfId="12479" xr:uid="{A257E3FE-43B7-4E25-AF98-B205CB6DE057}"/>
    <cellStyle name="Normal 9 2 2 3 5 3" xfId="6123" xr:uid="{00000000-0005-0000-0000-0000DD1E0000}"/>
    <cellStyle name="Normal 9 2 2 3 5 3 2" xfId="14552" xr:uid="{572B5DA5-CECA-4AFA-9AC6-F1185ED36D0B}"/>
    <cellStyle name="Normal 9 2 2 3 5 4" xfId="10334" xr:uid="{2A0F6A4A-93A4-41FF-8929-278A11FEBB4B}"/>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5EAC1AB5-B89C-47E0-B22E-AC6A4C9A5EC5}"/>
    <cellStyle name="Normal 9 2 2 3 6 2 3" xfId="12892" xr:uid="{F2AA519A-8361-4BC1-BC3F-F31CFB5AA2F4}"/>
    <cellStyle name="Normal 9 2 2 3 6 3" xfId="6536" xr:uid="{00000000-0005-0000-0000-0000E11E0000}"/>
    <cellStyle name="Normal 9 2 2 3 6 3 2" xfId="14965" xr:uid="{6FF115B3-E58E-4DD6-B933-F5CB65A07A1B}"/>
    <cellStyle name="Normal 9 2 2 3 6 4" xfId="10747" xr:uid="{EC3AC528-763B-4D78-AA7A-1E64D0528D2E}"/>
    <cellStyle name="Normal 9 2 2 3 7" xfId="2664" xr:uid="{00000000-0005-0000-0000-0000E21E0000}"/>
    <cellStyle name="Normal 9 2 2 3 7 2" xfId="6949" xr:uid="{00000000-0005-0000-0000-0000E31E0000}"/>
    <cellStyle name="Normal 9 2 2 3 7 2 2" xfId="15378" xr:uid="{638B8371-8530-4628-A97F-D7F26D04C74D}"/>
    <cellStyle name="Normal 9 2 2 3 7 3" xfId="11160" xr:uid="{5005222D-A94A-47F4-8069-C844B7196722}"/>
    <cellStyle name="Normal 9 2 2 3 8" xfId="4884" xr:uid="{00000000-0005-0000-0000-0000E41E0000}"/>
    <cellStyle name="Normal 9 2 2 3 8 2" xfId="13313" xr:uid="{D5BF0353-92DC-41A2-AF58-330E7030FF94}"/>
    <cellStyle name="Normal 9 2 2 3 9" xfId="9095" xr:uid="{2A29DC31-A82E-4F37-B25E-61C9C1DF6AE4}"/>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3B812B50-F87F-4064-B3DC-571FEC2F6C43}"/>
    <cellStyle name="Normal 9 2 2 4 2 2 3" xfId="11655" xr:uid="{7FEFC802-E468-41C4-B6A8-03048C59C1E3}"/>
    <cellStyle name="Normal 9 2 2 4 2 3" xfId="5299" xr:uid="{00000000-0005-0000-0000-0000E91E0000}"/>
    <cellStyle name="Normal 9 2 2 4 2 3 2" xfId="13728" xr:uid="{499F5070-1337-4393-AC6C-7D534F6377E6}"/>
    <cellStyle name="Normal 9 2 2 4 2 4" xfId="9510" xr:uid="{45ABFA21-9EEF-4B67-92E2-0F4B01607098}"/>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9F2E8782-D379-4B93-AFA0-896CDB8DAD0C}"/>
    <cellStyle name="Normal 9 2 2 4 3 2 3" xfId="12068" xr:uid="{4C567E9E-58D8-4B48-9D68-CC54DC380F3D}"/>
    <cellStyle name="Normal 9 2 2 4 3 3" xfId="5712" xr:uid="{00000000-0005-0000-0000-0000ED1E0000}"/>
    <cellStyle name="Normal 9 2 2 4 3 3 2" xfId="14141" xr:uid="{3047051F-BF65-4673-B759-E0B1F3D9A08C}"/>
    <cellStyle name="Normal 9 2 2 4 3 4" xfId="9923" xr:uid="{23B0B506-6650-4972-AC82-8D558A68844B}"/>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4F48DCFC-369F-421F-8CDE-2E626209FBAF}"/>
    <cellStyle name="Normal 9 2 2 4 4 2 3" xfId="12481" xr:uid="{1ABAD3DB-19E5-4205-ABEE-FB8DD1D0F470}"/>
    <cellStyle name="Normal 9 2 2 4 4 3" xfId="6125" xr:uid="{00000000-0005-0000-0000-0000F11E0000}"/>
    <cellStyle name="Normal 9 2 2 4 4 3 2" xfId="14554" xr:uid="{514653C7-402A-4EC2-AFE3-0EC58062F04F}"/>
    <cellStyle name="Normal 9 2 2 4 4 4" xfId="10336" xr:uid="{229CFE8E-44D3-44A5-9D08-67F5C3E435B6}"/>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8E67C314-7D50-4394-B06C-322BA27C4811}"/>
    <cellStyle name="Normal 9 2 2 4 5 2 3" xfId="12894" xr:uid="{56322F50-FB66-4EE0-9ED6-CA901630E15D}"/>
    <cellStyle name="Normal 9 2 2 4 5 3" xfId="6538" xr:uid="{00000000-0005-0000-0000-0000F51E0000}"/>
    <cellStyle name="Normal 9 2 2 4 5 3 2" xfId="14967" xr:uid="{B45B1A7F-6CEA-4DFF-A343-2E08B7D339B3}"/>
    <cellStyle name="Normal 9 2 2 4 5 4" xfId="10749" xr:uid="{4975D63A-77F7-4FCC-88D8-64BD087ABB8B}"/>
    <cellStyle name="Normal 9 2 2 4 6" xfId="2666" xr:uid="{00000000-0005-0000-0000-0000F61E0000}"/>
    <cellStyle name="Normal 9 2 2 4 6 2" xfId="6951" xr:uid="{00000000-0005-0000-0000-0000F71E0000}"/>
    <cellStyle name="Normal 9 2 2 4 6 2 2" xfId="15380" xr:uid="{4973B86F-A13F-4CF7-8160-58040669CB7D}"/>
    <cellStyle name="Normal 9 2 2 4 6 3" xfId="11162" xr:uid="{C497AECF-8442-4920-8109-109DE8651B12}"/>
    <cellStyle name="Normal 9 2 2 4 7" xfId="4886" xr:uid="{00000000-0005-0000-0000-0000F81E0000}"/>
    <cellStyle name="Normal 9 2 2 4 7 2" xfId="13315" xr:uid="{231D41EE-6CFA-4884-A6A7-739CAA0708D0}"/>
    <cellStyle name="Normal 9 2 2 4 8" xfId="9097" xr:uid="{0B3FE721-F4CE-469F-9D83-3C1765412A39}"/>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87B8F48F-756D-42C3-A5A9-85188B9EAA16}"/>
    <cellStyle name="Normal 9 2 2 5 2 3" xfId="11648" xr:uid="{0BA594C5-BC74-4FEF-A1ED-5F7164702DF1}"/>
    <cellStyle name="Normal 9 2 2 5 3" xfId="5292" xr:uid="{00000000-0005-0000-0000-0000FC1E0000}"/>
    <cellStyle name="Normal 9 2 2 5 3 2" xfId="13721" xr:uid="{837B55C3-E7C7-4E5E-85A9-988039CF1DD9}"/>
    <cellStyle name="Normal 9 2 2 5 4" xfId="9503" xr:uid="{97DB40B6-2829-4D4D-A048-62E1B920BEE4}"/>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079E5193-509F-46FF-9C8B-362AFA229549}"/>
    <cellStyle name="Normal 9 2 2 6 2 3" xfId="12061" xr:uid="{E8A251A6-B554-4B34-A1BA-81247D899AFA}"/>
    <cellStyle name="Normal 9 2 2 6 3" xfId="5705" xr:uid="{00000000-0005-0000-0000-0000001F0000}"/>
    <cellStyle name="Normal 9 2 2 6 3 2" xfId="14134" xr:uid="{449D49CB-3BB6-4E79-87CF-A91B1670BAE7}"/>
    <cellStyle name="Normal 9 2 2 6 4" xfId="9916" xr:uid="{ABF19733-E08A-4AE1-8F4B-AA988C48D3A3}"/>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46472578-B7E4-4C03-940A-1D66BAA98062}"/>
    <cellStyle name="Normal 9 2 2 7 2 3" xfId="12474" xr:uid="{CD996FE7-81F9-406E-8F44-C959C21AA151}"/>
    <cellStyle name="Normal 9 2 2 7 3" xfId="6118" xr:uid="{00000000-0005-0000-0000-0000041F0000}"/>
    <cellStyle name="Normal 9 2 2 7 3 2" xfId="14547" xr:uid="{593D2008-D25A-4EE1-B387-08396002D96E}"/>
    <cellStyle name="Normal 9 2 2 7 4" xfId="10329" xr:uid="{2F576C1A-0EC1-431C-BE5D-A235D9447F0E}"/>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C128B4D1-81C6-49D1-BAC8-36B626DE09FE}"/>
    <cellStyle name="Normal 9 2 2 8 2 3" xfId="12887" xr:uid="{82E7BD71-B20C-4B57-B1A6-72DF7526FD43}"/>
    <cellStyle name="Normal 9 2 2 8 3" xfId="6531" xr:uid="{00000000-0005-0000-0000-0000081F0000}"/>
    <cellStyle name="Normal 9 2 2 8 3 2" xfId="14960" xr:uid="{906177CB-AD3A-4039-A26B-E6F5FFAAF673}"/>
    <cellStyle name="Normal 9 2 2 8 4" xfId="10742" xr:uid="{9369E5E0-E938-4A1E-B21E-BA11918A2256}"/>
    <cellStyle name="Normal 9 2 2 9" xfId="2659" xr:uid="{00000000-0005-0000-0000-0000091F0000}"/>
    <cellStyle name="Normal 9 2 2 9 2" xfId="6944" xr:uid="{00000000-0005-0000-0000-00000A1F0000}"/>
    <cellStyle name="Normal 9 2 2 9 2 2" xfId="15373" xr:uid="{6DBD6F88-FBAB-4BE2-83F0-57E49AEB8403}"/>
    <cellStyle name="Normal 9 2 2 9 3" xfId="11155" xr:uid="{B149E1DE-15F4-4EF7-BFD3-D344CE787E1A}"/>
    <cellStyle name="Normal 9 2 3" xfId="520" xr:uid="{00000000-0005-0000-0000-00000B1F0000}"/>
    <cellStyle name="Normal 9 2 3 10" xfId="9098" xr:uid="{7A378FFB-60A7-4FCE-8BDB-F7607752BD44}"/>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947191E7-B183-4EFE-B83D-831D9A9B6982}"/>
    <cellStyle name="Normal 9 2 3 2 2 2 2 3" xfId="11658" xr:uid="{3BB21D0E-88BF-49FE-852A-145570394C31}"/>
    <cellStyle name="Normal 9 2 3 2 2 2 3" xfId="5302" xr:uid="{00000000-0005-0000-0000-0000111F0000}"/>
    <cellStyle name="Normal 9 2 3 2 2 2 3 2" xfId="13731" xr:uid="{1A98152F-BA87-4B82-BAEF-0FF893D0D4C0}"/>
    <cellStyle name="Normal 9 2 3 2 2 2 4" xfId="9513" xr:uid="{E26322FF-944A-4BB1-B02D-3A7F904681B3}"/>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FCC228DE-C008-408A-8AFE-6966777631E2}"/>
    <cellStyle name="Normal 9 2 3 2 2 3 2 3" xfId="12071" xr:uid="{1D24A69B-D24B-4B0F-90DC-CEF98C0F35B6}"/>
    <cellStyle name="Normal 9 2 3 2 2 3 3" xfId="5715" xr:uid="{00000000-0005-0000-0000-0000151F0000}"/>
    <cellStyle name="Normal 9 2 3 2 2 3 3 2" xfId="14144" xr:uid="{28736D67-9174-47BD-81EF-88D24E07E07F}"/>
    <cellStyle name="Normal 9 2 3 2 2 3 4" xfId="9926" xr:uid="{5EB8EAEB-FE70-4F80-9365-E24A34F7F4C1}"/>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5B9D4E0B-4C88-41FF-AB3C-1AAE88DDED01}"/>
    <cellStyle name="Normal 9 2 3 2 2 4 2 3" xfId="12484" xr:uid="{B8077AB5-F18B-49D4-B4CD-0250687E8E54}"/>
    <cellStyle name="Normal 9 2 3 2 2 4 3" xfId="6128" xr:uid="{00000000-0005-0000-0000-0000191F0000}"/>
    <cellStyle name="Normal 9 2 3 2 2 4 3 2" xfId="14557" xr:uid="{971F2F0D-01D1-499F-85BC-343E51C79CB0}"/>
    <cellStyle name="Normal 9 2 3 2 2 4 4" xfId="10339" xr:uid="{AC46C2E1-8A57-4386-8280-8534D8DB95E1}"/>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9C47EDA3-CF6F-454A-A2DE-02887AD3352E}"/>
    <cellStyle name="Normal 9 2 3 2 2 5 2 3" xfId="12897" xr:uid="{F03121C8-266A-4A79-A3DC-D81BB236FB81}"/>
    <cellStyle name="Normal 9 2 3 2 2 5 3" xfId="6541" xr:uid="{00000000-0005-0000-0000-00001D1F0000}"/>
    <cellStyle name="Normal 9 2 3 2 2 5 3 2" xfId="14970" xr:uid="{130E7B74-C2A3-46F7-BB87-A0D1D00CC07F}"/>
    <cellStyle name="Normal 9 2 3 2 2 5 4" xfId="10752" xr:uid="{223F1663-696F-4F27-8E30-F08C4B51FE0F}"/>
    <cellStyle name="Normal 9 2 3 2 2 6" xfId="2669" xr:uid="{00000000-0005-0000-0000-00001E1F0000}"/>
    <cellStyle name="Normal 9 2 3 2 2 6 2" xfId="6954" xr:uid="{00000000-0005-0000-0000-00001F1F0000}"/>
    <cellStyle name="Normal 9 2 3 2 2 6 2 2" xfId="15383" xr:uid="{D51DDDE6-4EA6-42D1-9AF3-D499A9F16494}"/>
    <cellStyle name="Normal 9 2 3 2 2 6 3" xfId="11165" xr:uid="{AB6234C7-6802-4C02-94D2-0FA4F8E3EBBA}"/>
    <cellStyle name="Normal 9 2 3 2 2 7" xfId="4889" xr:uid="{00000000-0005-0000-0000-0000201F0000}"/>
    <cellStyle name="Normal 9 2 3 2 2 7 2" xfId="13318" xr:uid="{C3201D91-75E9-4574-A22C-C0795C44727D}"/>
    <cellStyle name="Normal 9 2 3 2 2 8" xfId="9100" xr:uid="{DD83255B-A0E6-471A-9DC9-11A0895A8D08}"/>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7EDDB0EA-B6A4-4F1D-AF34-E0B1E00B89F2}"/>
    <cellStyle name="Normal 9 2 3 2 3 2 3" xfId="11657" xr:uid="{E1CD2559-A456-43DF-8202-F48B163457E5}"/>
    <cellStyle name="Normal 9 2 3 2 3 3" xfId="5301" xr:uid="{00000000-0005-0000-0000-0000241F0000}"/>
    <cellStyle name="Normal 9 2 3 2 3 3 2" xfId="13730" xr:uid="{CBFDEF2C-DF13-49D1-866C-B93AD54B001D}"/>
    <cellStyle name="Normal 9 2 3 2 3 4" xfId="9512" xr:uid="{63F2AE58-E9F9-4C3E-A70B-BD5D68667581}"/>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096E35C6-D57A-43D1-BFA2-0AC9DD2DD663}"/>
    <cellStyle name="Normal 9 2 3 2 4 2 3" xfId="12070" xr:uid="{050CC91D-C570-4E50-90B8-7CA9B632CBE3}"/>
    <cellStyle name="Normal 9 2 3 2 4 3" xfId="5714" xr:uid="{00000000-0005-0000-0000-0000281F0000}"/>
    <cellStyle name="Normal 9 2 3 2 4 3 2" xfId="14143" xr:uid="{6664508E-1488-4D73-A29B-EA450BF5B8AC}"/>
    <cellStyle name="Normal 9 2 3 2 4 4" xfId="9925" xr:uid="{B259B0A8-A9C3-4AE6-A2B4-13E75E11916F}"/>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59912FDC-C00C-4E1C-B8C8-43EBDB97B6C4}"/>
    <cellStyle name="Normal 9 2 3 2 5 2 3" xfId="12483" xr:uid="{1A6E9A9E-1F7D-4694-B530-8DEF6164A8F5}"/>
    <cellStyle name="Normal 9 2 3 2 5 3" xfId="6127" xr:uid="{00000000-0005-0000-0000-00002C1F0000}"/>
    <cellStyle name="Normal 9 2 3 2 5 3 2" xfId="14556" xr:uid="{7BF4D8C3-F888-4984-BD0A-8B15052823F3}"/>
    <cellStyle name="Normal 9 2 3 2 5 4" xfId="10338" xr:uid="{255189F3-20DD-4A9A-9A52-2523319849C1}"/>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762342D2-1A66-4E69-A2D7-ECFD2B69A834}"/>
    <cellStyle name="Normal 9 2 3 2 6 2 3" xfId="12896" xr:uid="{CA8101CE-9C44-42E5-92C3-583FEB8D011C}"/>
    <cellStyle name="Normal 9 2 3 2 6 3" xfId="6540" xr:uid="{00000000-0005-0000-0000-0000301F0000}"/>
    <cellStyle name="Normal 9 2 3 2 6 3 2" xfId="14969" xr:uid="{B73432AB-F974-4400-ACD6-D18443D0740F}"/>
    <cellStyle name="Normal 9 2 3 2 6 4" xfId="10751" xr:uid="{6D2042E1-D2F8-4198-BA86-4CFEC8EE1C54}"/>
    <cellStyle name="Normal 9 2 3 2 7" xfId="2668" xr:uid="{00000000-0005-0000-0000-0000311F0000}"/>
    <cellStyle name="Normal 9 2 3 2 7 2" xfId="6953" xr:uid="{00000000-0005-0000-0000-0000321F0000}"/>
    <cellStyle name="Normal 9 2 3 2 7 2 2" xfId="15382" xr:uid="{1E83DA6E-8BD0-4BAC-A989-58C1E06FA102}"/>
    <cellStyle name="Normal 9 2 3 2 7 3" xfId="11164" xr:uid="{CDAFD5B5-C3F5-462C-AEFE-CE9EC4E1DCDA}"/>
    <cellStyle name="Normal 9 2 3 2 8" xfId="4888" xr:uid="{00000000-0005-0000-0000-0000331F0000}"/>
    <cellStyle name="Normal 9 2 3 2 8 2" xfId="13317" xr:uid="{BC7A52C8-717F-4102-8D9F-247750C49B9E}"/>
    <cellStyle name="Normal 9 2 3 2 9" xfId="9099" xr:uid="{91F7D41F-823C-4561-AC04-FED7C6913C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36F506BF-784F-4939-ABD7-113351434579}"/>
    <cellStyle name="Normal 9 2 3 3 2 2 3" xfId="11659" xr:uid="{EBA2B2BA-ABC7-4C24-85DB-FF14ACD33ABB}"/>
    <cellStyle name="Normal 9 2 3 3 2 3" xfId="5303" xr:uid="{00000000-0005-0000-0000-0000381F0000}"/>
    <cellStyle name="Normal 9 2 3 3 2 3 2" xfId="13732" xr:uid="{C8472148-5801-41B0-A599-271FC16C5F7C}"/>
    <cellStyle name="Normal 9 2 3 3 2 4" xfId="9514" xr:uid="{148638AD-8539-43EC-A88D-72D16ABEC65A}"/>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4901D158-7696-4BF2-8E9F-98C0C60D870D}"/>
    <cellStyle name="Normal 9 2 3 3 3 2 3" xfId="12072" xr:uid="{D917F5D3-E706-4305-ABEF-A5D96D0237B3}"/>
    <cellStyle name="Normal 9 2 3 3 3 3" xfId="5716" xr:uid="{00000000-0005-0000-0000-00003C1F0000}"/>
    <cellStyle name="Normal 9 2 3 3 3 3 2" xfId="14145" xr:uid="{ACAC346A-26A7-4479-B8BE-DB625B9404EB}"/>
    <cellStyle name="Normal 9 2 3 3 3 4" xfId="9927" xr:uid="{90663447-1387-4A84-98B2-D32496491C5D}"/>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CE978101-0B08-45C5-831D-B65D24EC973B}"/>
    <cellStyle name="Normal 9 2 3 3 4 2 3" xfId="12485" xr:uid="{5BF7AC95-6DFB-4F8C-A66C-CA4185FD21C9}"/>
    <cellStyle name="Normal 9 2 3 3 4 3" xfId="6129" xr:uid="{00000000-0005-0000-0000-0000401F0000}"/>
    <cellStyle name="Normal 9 2 3 3 4 3 2" xfId="14558" xr:uid="{F992C454-11BF-469B-957A-D9515AE8382A}"/>
    <cellStyle name="Normal 9 2 3 3 4 4" xfId="10340" xr:uid="{CFCB205C-5395-4E28-B24A-C6241CB57497}"/>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219E7832-3DF1-44EF-A3A8-C762F56F1D13}"/>
    <cellStyle name="Normal 9 2 3 3 5 2 3" xfId="12898" xr:uid="{FA68BF5A-23F4-4FF8-AD9E-04C4E2E334E2}"/>
    <cellStyle name="Normal 9 2 3 3 5 3" xfId="6542" xr:uid="{00000000-0005-0000-0000-0000441F0000}"/>
    <cellStyle name="Normal 9 2 3 3 5 3 2" xfId="14971" xr:uid="{F6193556-E45F-49DB-AD77-C1D2E60F0DAF}"/>
    <cellStyle name="Normal 9 2 3 3 5 4" xfId="10753" xr:uid="{5EEEC444-C548-4075-B3C3-BFFEACED09B8}"/>
    <cellStyle name="Normal 9 2 3 3 6" xfId="2670" xr:uid="{00000000-0005-0000-0000-0000451F0000}"/>
    <cellStyle name="Normal 9 2 3 3 6 2" xfId="6955" xr:uid="{00000000-0005-0000-0000-0000461F0000}"/>
    <cellStyle name="Normal 9 2 3 3 6 2 2" xfId="15384" xr:uid="{180DEA44-39EA-47FC-A31D-2EBC36FE628A}"/>
    <cellStyle name="Normal 9 2 3 3 6 3" xfId="11166" xr:uid="{131D45DC-6BFD-43FB-B02C-FD9CA328218D}"/>
    <cellStyle name="Normal 9 2 3 3 7" xfId="4890" xr:uid="{00000000-0005-0000-0000-0000471F0000}"/>
    <cellStyle name="Normal 9 2 3 3 7 2" xfId="13319" xr:uid="{FC4BC4BB-2D27-4C6A-A7BF-007E110E90CF}"/>
    <cellStyle name="Normal 9 2 3 3 8" xfId="9101" xr:uid="{DAEEC448-1B1F-4E9A-94B4-8FB004815B66}"/>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21673F86-68B6-402D-9EF9-C21DBC0E1555}"/>
    <cellStyle name="Normal 9 2 3 4 2 3" xfId="11656" xr:uid="{B9CE4658-A440-480D-9566-A866BEEFA368}"/>
    <cellStyle name="Normal 9 2 3 4 3" xfId="5300" xr:uid="{00000000-0005-0000-0000-00004B1F0000}"/>
    <cellStyle name="Normal 9 2 3 4 3 2" xfId="13729" xr:uid="{AC6DC5DA-9D02-4ED7-826B-A84000BB1721}"/>
    <cellStyle name="Normal 9 2 3 4 4" xfId="9511" xr:uid="{21E3975B-26BE-4204-8BD1-6BBB251B6CC7}"/>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430CDA20-717A-45E1-8941-08CF5A5822ED}"/>
    <cellStyle name="Normal 9 2 3 5 2 3" xfId="12069" xr:uid="{8DB373B1-CDAF-4C05-A433-5AA524640D96}"/>
    <cellStyle name="Normal 9 2 3 5 3" xfId="5713" xr:uid="{00000000-0005-0000-0000-00004F1F0000}"/>
    <cellStyle name="Normal 9 2 3 5 3 2" xfId="14142" xr:uid="{2AD74565-270D-4C19-971E-9C32AAFFB111}"/>
    <cellStyle name="Normal 9 2 3 5 4" xfId="9924" xr:uid="{2E83BA1E-325C-4FB0-8AF4-AB400232B597}"/>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BA668FF1-0C65-40F2-9E25-2B1C37174D52}"/>
    <cellStyle name="Normal 9 2 3 6 2 3" xfId="12482" xr:uid="{8758EF84-BF08-4CD6-860A-588F3868E33A}"/>
    <cellStyle name="Normal 9 2 3 6 3" xfId="6126" xr:uid="{00000000-0005-0000-0000-0000531F0000}"/>
    <cellStyle name="Normal 9 2 3 6 3 2" xfId="14555" xr:uid="{A899EE15-3BAD-483B-A330-5429BED9405E}"/>
    <cellStyle name="Normal 9 2 3 6 4" xfId="10337" xr:uid="{D536DA3E-0B80-4827-88F9-64432DAFD061}"/>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9FD63108-3877-4BBA-A5ED-A36B5BE293B3}"/>
    <cellStyle name="Normal 9 2 3 7 2 3" xfId="12895" xr:uid="{460CFCC2-D503-472B-BA0E-764002940B49}"/>
    <cellStyle name="Normal 9 2 3 7 3" xfId="6539" xr:uid="{00000000-0005-0000-0000-0000571F0000}"/>
    <cellStyle name="Normal 9 2 3 7 3 2" xfId="14968" xr:uid="{7871BB08-30D5-4772-8577-1A4140B99264}"/>
    <cellStyle name="Normal 9 2 3 7 4" xfId="10750" xr:uid="{09D75A6B-D9DB-4CFB-B163-7EFFFCC1376B}"/>
    <cellStyle name="Normal 9 2 3 8" xfId="2667" xr:uid="{00000000-0005-0000-0000-0000581F0000}"/>
    <cellStyle name="Normal 9 2 3 8 2" xfId="6952" xr:uid="{00000000-0005-0000-0000-0000591F0000}"/>
    <cellStyle name="Normal 9 2 3 8 2 2" xfId="15381" xr:uid="{D20E0C49-E54A-447F-84A8-6A2F831BE0B1}"/>
    <cellStyle name="Normal 9 2 3 8 3" xfId="11163" xr:uid="{A0490CF5-B762-4EDB-A602-1C3B613945A4}"/>
    <cellStyle name="Normal 9 2 3 9" xfId="4887" xr:uid="{00000000-0005-0000-0000-00005A1F0000}"/>
    <cellStyle name="Normal 9 2 3 9 2" xfId="13316" xr:uid="{466AFDCB-29C1-4C66-ABE6-26DCC38496DD}"/>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96657D03-45C6-4C95-B4FB-0F7187B206B2}"/>
    <cellStyle name="Normal 9 2 4 2 2 2 3" xfId="11661" xr:uid="{FD9E5573-9735-40C1-BA2A-38CC12267B43}"/>
    <cellStyle name="Normal 9 2 4 2 2 3" xfId="5305" xr:uid="{00000000-0005-0000-0000-0000601F0000}"/>
    <cellStyle name="Normal 9 2 4 2 2 3 2" xfId="13734" xr:uid="{19F8B078-AB86-4F98-AC8C-4F809F63EC77}"/>
    <cellStyle name="Normal 9 2 4 2 2 4" xfId="9516" xr:uid="{349BA5DF-3CED-4C56-B228-9E3C5C4CE787}"/>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5B41F4F5-AB77-4922-ADA6-0A465A5B995A}"/>
    <cellStyle name="Normal 9 2 4 2 3 2 3" xfId="12074" xr:uid="{A124071A-CD3E-4F5A-BF24-21F43E35A60E}"/>
    <cellStyle name="Normal 9 2 4 2 3 3" xfId="5718" xr:uid="{00000000-0005-0000-0000-0000641F0000}"/>
    <cellStyle name="Normal 9 2 4 2 3 3 2" xfId="14147" xr:uid="{16A76317-F821-4C3B-AD62-3E389DB0DBCA}"/>
    <cellStyle name="Normal 9 2 4 2 3 4" xfId="9929" xr:uid="{0C9EC6E8-8449-4021-8098-740A00AC0588}"/>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944A7AA3-8B40-491D-97E1-347DBCC43541}"/>
    <cellStyle name="Normal 9 2 4 2 4 2 3" xfId="12487" xr:uid="{26FA7762-FEF1-49E7-8C6C-70BA24E7861D}"/>
    <cellStyle name="Normal 9 2 4 2 4 3" xfId="6131" xr:uid="{00000000-0005-0000-0000-0000681F0000}"/>
    <cellStyle name="Normal 9 2 4 2 4 3 2" xfId="14560" xr:uid="{C77FDCFB-2386-4C79-9188-3FA740CD9EBC}"/>
    <cellStyle name="Normal 9 2 4 2 4 4" xfId="10342" xr:uid="{330650B2-FE53-4266-979E-36F9D5EAC5BD}"/>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EF0408A5-DA84-4B22-AC13-479C186EE01F}"/>
    <cellStyle name="Normal 9 2 4 2 5 2 3" xfId="12900" xr:uid="{7AE9E087-0A5D-48A7-9B13-20D4C153697A}"/>
    <cellStyle name="Normal 9 2 4 2 5 3" xfId="6544" xr:uid="{00000000-0005-0000-0000-00006C1F0000}"/>
    <cellStyle name="Normal 9 2 4 2 5 3 2" xfId="14973" xr:uid="{7221930F-7B59-40D7-92D9-DACD48254425}"/>
    <cellStyle name="Normal 9 2 4 2 5 4" xfId="10755" xr:uid="{83DDFD79-0DDC-4766-8B1F-81CC09356A38}"/>
    <cellStyle name="Normal 9 2 4 2 6" xfId="2672" xr:uid="{00000000-0005-0000-0000-00006D1F0000}"/>
    <cellStyle name="Normal 9 2 4 2 6 2" xfId="6957" xr:uid="{00000000-0005-0000-0000-00006E1F0000}"/>
    <cellStyle name="Normal 9 2 4 2 6 2 2" xfId="15386" xr:uid="{F85A14B9-329D-42DD-BD4A-1A6B9980EBF4}"/>
    <cellStyle name="Normal 9 2 4 2 6 3" xfId="11168" xr:uid="{33B5F8EA-8107-4DE3-99D8-FF4391FB0162}"/>
    <cellStyle name="Normal 9 2 4 2 7" xfId="4892" xr:uid="{00000000-0005-0000-0000-00006F1F0000}"/>
    <cellStyle name="Normal 9 2 4 2 7 2" xfId="13321" xr:uid="{062D11A3-95D5-468C-8BF4-0163F392D942}"/>
    <cellStyle name="Normal 9 2 4 2 8" xfId="9103" xr:uid="{5D2F8F03-9EDD-46C2-87F0-15DE2E813BAB}"/>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874B2979-094B-4003-8C0B-3D8681C1105A}"/>
    <cellStyle name="Normal 9 2 4 3 2 3" xfId="11660" xr:uid="{0AED6C78-102E-4BEC-91E8-A11564E47C5C}"/>
    <cellStyle name="Normal 9 2 4 3 3" xfId="5304" xr:uid="{00000000-0005-0000-0000-0000731F0000}"/>
    <cellStyle name="Normal 9 2 4 3 3 2" xfId="13733" xr:uid="{22EF5B10-C5F9-4544-A098-FCC14E149DC2}"/>
    <cellStyle name="Normal 9 2 4 3 4" xfId="9515" xr:uid="{2FFB49F0-F049-44D3-B8D3-1F1D730D0F6F}"/>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D634CF0E-E7DA-4BDB-AC7F-D06E82069ADA}"/>
    <cellStyle name="Normal 9 2 4 4 2 3" xfId="12073" xr:uid="{2BE5EECF-5628-49A3-868C-40205A7CA5AA}"/>
    <cellStyle name="Normal 9 2 4 4 3" xfId="5717" xr:uid="{00000000-0005-0000-0000-0000771F0000}"/>
    <cellStyle name="Normal 9 2 4 4 3 2" xfId="14146" xr:uid="{398647B1-B2E3-46EE-A9E6-884C601F9B20}"/>
    <cellStyle name="Normal 9 2 4 4 4" xfId="9928" xr:uid="{A668C526-F0A4-4C4F-A4F4-0F0465C4739E}"/>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64B001DB-6A21-42A4-A84F-5B36205BA20C}"/>
    <cellStyle name="Normal 9 2 4 5 2 3" xfId="12486" xr:uid="{30402B43-05F2-479E-83AB-4D741C110CEB}"/>
    <cellStyle name="Normal 9 2 4 5 3" xfId="6130" xr:uid="{00000000-0005-0000-0000-00007B1F0000}"/>
    <cellStyle name="Normal 9 2 4 5 3 2" xfId="14559" xr:uid="{A357B523-3EB0-49FD-BD9C-C3DB4039BDD9}"/>
    <cellStyle name="Normal 9 2 4 5 4" xfId="10341" xr:uid="{9F7544A6-C70A-4C06-89F4-976740A2742C}"/>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A0442B1A-B9DF-4A7E-B447-DABF9783A12B}"/>
    <cellStyle name="Normal 9 2 4 6 2 3" xfId="12899" xr:uid="{A6715004-B746-4A0E-B3DB-59FC3BBCED38}"/>
    <cellStyle name="Normal 9 2 4 6 3" xfId="6543" xr:uid="{00000000-0005-0000-0000-00007F1F0000}"/>
    <cellStyle name="Normal 9 2 4 6 3 2" xfId="14972" xr:uid="{6EECB72F-E541-435C-8A93-E6DB38D551BA}"/>
    <cellStyle name="Normal 9 2 4 6 4" xfId="10754" xr:uid="{84615A02-E9DB-45B2-9448-E27FB354FBAF}"/>
    <cellStyle name="Normal 9 2 4 7" xfId="2671" xr:uid="{00000000-0005-0000-0000-0000801F0000}"/>
    <cellStyle name="Normal 9 2 4 7 2" xfId="6956" xr:uid="{00000000-0005-0000-0000-0000811F0000}"/>
    <cellStyle name="Normal 9 2 4 7 2 2" xfId="15385" xr:uid="{00761808-90E5-4510-9FDE-E9CFB18D2D86}"/>
    <cellStyle name="Normal 9 2 4 7 3" xfId="11167" xr:uid="{B552BE9E-DDD7-4FC9-8D82-AC9E03F82666}"/>
    <cellStyle name="Normal 9 2 4 8" xfId="4891" xr:uid="{00000000-0005-0000-0000-0000821F0000}"/>
    <cellStyle name="Normal 9 2 4 8 2" xfId="13320" xr:uid="{15E42955-276B-4A8E-BB71-61246AB304DA}"/>
    <cellStyle name="Normal 9 2 4 9" xfId="9102" xr:uid="{B9AC1CD1-C552-4057-A189-884414FBDADA}"/>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49DE76B4-11A5-4ED4-8D25-F9E02B88D6A0}"/>
    <cellStyle name="Normal 9 2 5 2 2 3" xfId="11662" xr:uid="{63DBAC1C-A0CA-43E8-8151-DF2C7F7A3B76}"/>
    <cellStyle name="Normal 9 2 5 2 3" xfId="5306" xr:uid="{00000000-0005-0000-0000-0000871F0000}"/>
    <cellStyle name="Normal 9 2 5 2 3 2" xfId="13735" xr:uid="{51010D03-9C9F-482E-AD5C-3F49162B39CB}"/>
    <cellStyle name="Normal 9 2 5 2 4" xfId="9517" xr:uid="{D95F963D-B07B-4E56-A2D7-C95BB1D241C4}"/>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A5C4C70F-971E-4D5D-8670-F50D23E60A9C}"/>
    <cellStyle name="Normal 9 2 5 3 2 3" xfId="12075" xr:uid="{00B1FE93-27FB-46F3-A199-359DBB1F5641}"/>
    <cellStyle name="Normal 9 2 5 3 3" xfId="5719" xr:uid="{00000000-0005-0000-0000-00008B1F0000}"/>
    <cellStyle name="Normal 9 2 5 3 3 2" xfId="14148" xr:uid="{E5D2AE84-B438-4844-85E9-988F89D1623D}"/>
    <cellStyle name="Normal 9 2 5 3 4" xfId="9930" xr:uid="{14ED51D6-FC95-423E-B5A6-B9AD23BA0773}"/>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3EDCF020-EA72-44C8-AE9B-EFE594E32BC6}"/>
    <cellStyle name="Normal 9 2 5 4 2 3" xfId="12488" xr:uid="{FB22C984-9AE8-4E3E-972F-5FA10BE70E8C}"/>
    <cellStyle name="Normal 9 2 5 4 3" xfId="6132" xr:uid="{00000000-0005-0000-0000-00008F1F0000}"/>
    <cellStyle name="Normal 9 2 5 4 3 2" xfId="14561" xr:uid="{2AF48C49-7CD2-4DB9-9C7B-F71C026E82C9}"/>
    <cellStyle name="Normal 9 2 5 4 4" xfId="10343" xr:uid="{E1E08685-F758-4EAD-95A2-CE44BCAECAE0}"/>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6568990D-7237-4732-860D-93B01DA41C89}"/>
    <cellStyle name="Normal 9 2 5 5 2 3" xfId="12901" xr:uid="{52FFC9EF-7932-4AE4-9365-576FD2C1C11F}"/>
    <cellStyle name="Normal 9 2 5 5 3" xfId="6545" xr:uid="{00000000-0005-0000-0000-0000931F0000}"/>
    <cellStyle name="Normal 9 2 5 5 3 2" xfId="14974" xr:uid="{910BFDA8-542A-4990-B7D5-B5622CAA11EC}"/>
    <cellStyle name="Normal 9 2 5 5 4" xfId="10756" xr:uid="{433C8081-56A0-4AF8-A623-5C8CE4984084}"/>
    <cellStyle name="Normal 9 2 5 6" xfId="2673" xr:uid="{00000000-0005-0000-0000-0000941F0000}"/>
    <cellStyle name="Normal 9 2 5 6 2" xfId="6958" xr:uid="{00000000-0005-0000-0000-0000951F0000}"/>
    <cellStyle name="Normal 9 2 5 6 2 2" xfId="15387" xr:uid="{3A298E85-2867-48C0-B1E3-91F989FD5797}"/>
    <cellStyle name="Normal 9 2 5 6 3" xfId="11169" xr:uid="{B91E85B9-AE09-44E8-8B36-B808D895B86B}"/>
    <cellStyle name="Normal 9 2 5 7" xfId="4893" xr:uid="{00000000-0005-0000-0000-0000961F0000}"/>
    <cellStyle name="Normal 9 2 5 7 2" xfId="13322" xr:uid="{C0BEDD05-4A44-49CF-B171-93C295FF5CEE}"/>
    <cellStyle name="Normal 9 2 5 8" xfId="9104" xr:uid="{056922BF-F78E-42EE-8D8A-1795CEE2E0A6}"/>
    <cellStyle name="Normal 9 2 6" xfId="979" xr:uid="{00000000-0005-0000-0000-0000971F0000}"/>
    <cellStyle name="Normal 9 2 6 2" xfId="3212" xr:uid="{00000000-0005-0000-0000-0000981F0000}"/>
    <cellStyle name="Normal 9 2 6 2 2" xfId="7436" xr:uid="{00000000-0005-0000-0000-0000991F0000}"/>
    <cellStyle name="Normal 9 2 6 2 2 2" xfId="15865" xr:uid="{278060E7-46CD-4185-8598-EE96E4FAD33C}"/>
    <cellStyle name="Normal 9 2 6 2 3" xfId="11647" xr:uid="{5FD1CB88-9C0E-45DA-AAA3-D8AA8E28E7E8}"/>
    <cellStyle name="Normal 9 2 6 3" xfId="5291" xr:uid="{00000000-0005-0000-0000-00009A1F0000}"/>
    <cellStyle name="Normal 9 2 6 3 2" xfId="13720" xr:uid="{76232F1C-157C-47E2-87EE-B4F7783E78B8}"/>
    <cellStyle name="Normal 9 2 6 4" xfId="9502" xr:uid="{4D693546-1D84-4F90-9A52-37CBDBA8C703}"/>
    <cellStyle name="Normal 9 2 7" xfId="1395" xr:uid="{00000000-0005-0000-0000-00009B1F0000}"/>
    <cellStyle name="Normal 9 2 7 2" xfId="3625" xr:uid="{00000000-0005-0000-0000-00009C1F0000}"/>
    <cellStyle name="Normal 9 2 7 2 2" xfId="7849" xr:uid="{00000000-0005-0000-0000-00009D1F0000}"/>
    <cellStyle name="Normal 9 2 7 2 2 2" xfId="16278" xr:uid="{F71F2D9D-EF6D-4FEB-BFB0-7A4A08759C95}"/>
    <cellStyle name="Normal 9 2 7 2 3" xfId="12060" xr:uid="{7EAD97D4-7FC3-4EC5-B9A6-61B5EF0FE2D0}"/>
    <cellStyle name="Normal 9 2 7 3" xfId="5704" xr:uid="{00000000-0005-0000-0000-00009E1F0000}"/>
    <cellStyle name="Normal 9 2 7 3 2" xfId="14133" xr:uid="{B1BA9B45-CC81-46EF-A7DB-A1EADFA9EFE6}"/>
    <cellStyle name="Normal 9 2 7 4" xfId="9915" xr:uid="{D241E27D-44FF-48F1-BC4D-02E65677E9F4}"/>
    <cellStyle name="Normal 9 2 8" xfId="1808" xr:uid="{00000000-0005-0000-0000-00009F1F0000}"/>
    <cellStyle name="Normal 9 2 8 2" xfId="4038" xr:uid="{00000000-0005-0000-0000-0000A01F0000}"/>
    <cellStyle name="Normal 9 2 8 2 2" xfId="8262" xr:uid="{00000000-0005-0000-0000-0000A11F0000}"/>
    <cellStyle name="Normal 9 2 8 2 2 2" xfId="16691" xr:uid="{4840E0A6-8734-47E5-BD92-EA0602FACF68}"/>
    <cellStyle name="Normal 9 2 8 2 3" xfId="12473" xr:uid="{F79F7F82-1F0E-420E-AFFD-3EB30E942BED}"/>
    <cellStyle name="Normal 9 2 8 3" xfId="6117" xr:uid="{00000000-0005-0000-0000-0000A21F0000}"/>
    <cellStyle name="Normal 9 2 8 3 2" xfId="14546" xr:uid="{34177BB6-1CFF-4738-BFEA-F889A7D4F419}"/>
    <cellStyle name="Normal 9 2 8 4" xfId="10328" xr:uid="{97671B2A-57F6-4666-919C-A41C98A21FFA}"/>
    <cellStyle name="Normal 9 2 9" xfId="2222" xr:uid="{00000000-0005-0000-0000-0000A31F0000}"/>
    <cellStyle name="Normal 9 2 9 2" xfId="4451" xr:uid="{00000000-0005-0000-0000-0000A41F0000}"/>
    <cellStyle name="Normal 9 2 9 2 2" xfId="8675" xr:uid="{00000000-0005-0000-0000-0000A51F0000}"/>
    <cellStyle name="Normal 9 2 9 2 2 2" xfId="17104" xr:uid="{ABE5C0D1-3066-434F-A81C-38DDBC33BE50}"/>
    <cellStyle name="Normal 9 2 9 2 3" xfId="12886" xr:uid="{BEC7D16C-C9C9-4DAD-BF8B-E7403047CCEB}"/>
    <cellStyle name="Normal 9 2 9 3" xfId="6530" xr:uid="{00000000-0005-0000-0000-0000A61F0000}"/>
    <cellStyle name="Normal 9 2 9 3 2" xfId="14959" xr:uid="{D1FC5ED1-501B-4108-B39F-3812742EC953}"/>
    <cellStyle name="Normal 9 2 9 4" xfId="10741" xr:uid="{CD7AD267-B15F-4AD5-A359-A082B31974EF}"/>
    <cellStyle name="Normal 9 3" xfId="527" xr:uid="{00000000-0005-0000-0000-0000A71F0000}"/>
    <cellStyle name="Normal 9 3 10" xfId="4894" xr:uid="{00000000-0005-0000-0000-0000A81F0000}"/>
    <cellStyle name="Normal 9 3 10 2" xfId="13323" xr:uid="{D66149CE-E2BE-480B-8D3C-5BA6F0F0F5E1}"/>
    <cellStyle name="Normal 9 3 11" xfId="9105" xr:uid="{C992240E-CE17-4D27-AB1E-4E6DA7EFDD73}"/>
    <cellStyle name="Normal 9 3 2" xfId="528" xr:uid="{00000000-0005-0000-0000-0000A91F0000}"/>
    <cellStyle name="Normal 9 3 2 10" xfId="9106" xr:uid="{EF8C2CA1-06CF-456C-A22B-E2423C55F8DA}"/>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E0478A8D-B2FD-4517-AB50-DCA0C63EBB7D}"/>
    <cellStyle name="Normal 9 3 2 2 2 2 2 3" xfId="11666" xr:uid="{B8A0ED1C-B231-43CE-BEBB-AD8019A3847B}"/>
    <cellStyle name="Normal 9 3 2 2 2 2 3" xfId="5310" xr:uid="{00000000-0005-0000-0000-0000AF1F0000}"/>
    <cellStyle name="Normal 9 3 2 2 2 2 3 2" xfId="13739" xr:uid="{3BBED043-2A55-4DB1-941A-FC93B64ADDB1}"/>
    <cellStyle name="Normal 9 3 2 2 2 2 4" xfId="9521" xr:uid="{42846770-6C61-4823-AD54-484B4DD54FD1}"/>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690D4354-C0DB-4299-B8DC-B6F82C2F47D6}"/>
    <cellStyle name="Normal 9 3 2 2 2 3 2 3" xfId="12079" xr:uid="{0907F9DA-5ED4-48F0-84A3-B7C42A079117}"/>
    <cellStyle name="Normal 9 3 2 2 2 3 3" xfId="5723" xr:uid="{00000000-0005-0000-0000-0000B31F0000}"/>
    <cellStyle name="Normal 9 3 2 2 2 3 3 2" xfId="14152" xr:uid="{EE508CD9-A8EA-461F-BB85-2286A51FFDC1}"/>
    <cellStyle name="Normal 9 3 2 2 2 3 4" xfId="9934" xr:uid="{D97E0494-EE3D-4725-A3B0-F0B38F41DFFF}"/>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08F33331-551F-4C79-8A67-87E32FE076E7}"/>
    <cellStyle name="Normal 9 3 2 2 2 4 2 3" xfId="12492" xr:uid="{D55597C9-EACB-436D-A315-E1B86D5A3007}"/>
    <cellStyle name="Normal 9 3 2 2 2 4 3" xfId="6136" xr:uid="{00000000-0005-0000-0000-0000B71F0000}"/>
    <cellStyle name="Normal 9 3 2 2 2 4 3 2" xfId="14565" xr:uid="{DB310BFB-6648-4A18-A073-B6D3E4C681F0}"/>
    <cellStyle name="Normal 9 3 2 2 2 4 4" xfId="10347" xr:uid="{C147BE2F-5329-423E-90F7-2598B59EC4EE}"/>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6E953FDE-F298-45AD-8010-C3AD1650C035}"/>
    <cellStyle name="Normal 9 3 2 2 2 5 2 3" xfId="12905" xr:uid="{AB7A5ACE-1F77-42C9-A20C-7F533A170564}"/>
    <cellStyle name="Normal 9 3 2 2 2 5 3" xfId="6549" xr:uid="{00000000-0005-0000-0000-0000BB1F0000}"/>
    <cellStyle name="Normal 9 3 2 2 2 5 3 2" xfId="14978" xr:uid="{44BE141E-156E-436E-B3B7-7D0CD2735666}"/>
    <cellStyle name="Normal 9 3 2 2 2 5 4" xfId="10760" xr:uid="{82D90F1B-6085-4EDC-A015-E6AC1BEFFE45}"/>
    <cellStyle name="Normal 9 3 2 2 2 6" xfId="2677" xr:uid="{00000000-0005-0000-0000-0000BC1F0000}"/>
    <cellStyle name="Normal 9 3 2 2 2 6 2" xfId="6962" xr:uid="{00000000-0005-0000-0000-0000BD1F0000}"/>
    <cellStyle name="Normal 9 3 2 2 2 6 2 2" xfId="15391" xr:uid="{4A6B0F46-FA40-4D94-B1CA-B0E0A5E3FE39}"/>
    <cellStyle name="Normal 9 3 2 2 2 6 3" xfId="11173" xr:uid="{0B78397E-C5E3-41A5-A663-A5704EEEB488}"/>
    <cellStyle name="Normal 9 3 2 2 2 7" xfId="4897" xr:uid="{00000000-0005-0000-0000-0000BE1F0000}"/>
    <cellStyle name="Normal 9 3 2 2 2 7 2" xfId="13326" xr:uid="{F498458A-9BFC-4F22-ABC2-D4495241AEB4}"/>
    <cellStyle name="Normal 9 3 2 2 2 8" xfId="9108" xr:uid="{11A5251C-74B6-4F54-8343-DA4D70E48432}"/>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0780AE3C-4DE1-4829-BC40-01D06D9519FC}"/>
    <cellStyle name="Normal 9 3 2 2 3 2 3" xfId="11665" xr:uid="{0D7D2400-C230-4BF9-9AC1-6F4CA6F8E800}"/>
    <cellStyle name="Normal 9 3 2 2 3 3" xfId="5309" xr:uid="{00000000-0005-0000-0000-0000C21F0000}"/>
    <cellStyle name="Normal 9 3 2 2 3 3 2" xfId="13738" xr:uid="{ABCA0525-C6A7-4CA9-AA83-1E5261B49A1E}"/>
    <cellStyle name="Normal 9 3 2 2 3 4" xfId="9520" xr:uid="{80D13094-8B33-43FC-9C8C-4B7293243732}"/>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FB69C47C-8DFC-4D7E-A403-DF4BADDF9CCB}"/>
    <cellStyle name="Normal 9 3 2 2 4 2 3" xfId="12078" xr:uid="{6F715DF1-9968-49F4-9CB2-5D745B08A415}"/>
    <cellStyle name="Normal 9 3 2 2 4 3" xfId="5722" xr:uid="{00000000-0005-0000-0000-0000C61F0000}"/>
    <cellStyle name="Normal 9 3 2 2 4 3 2" xfId="14151" xr:uid="{B9F7B26A-468D-4CE7-BE9D-411E6D35FFDB}"/>
    <cellStyle name="Normal 9 3 2 2 4 4" xfId="9933" xr:uid="{983F75FA-37CE-48ED-8F82-9DBC64E7BF5B}"/>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3390CDEB-AA73-49A3-90FA-CE45C48C1F2E}"/>
    <cellStyle name="Normal 9 3 2 2 5 2 3" xfId="12491" xr:uid="{4BD6D64F-A017-4676-BE03-990D28B3F654}"/>
    <cellStyle name="Normal 9 3 2 2 5 3" xfId="6135" xr:uid="{00000000-0005-0000-0000-0000CA1F0000}"/>
    <cellStyle name="Normal 9 3 2 2 5 3 2" xfId="14564" xr:uid="{10294F6B-A9C6-4950-9B0F-9AD8B4FC7399}"/>
    <cellStyle name="Normal 9 3 2 2 5 4" xfId="10346" xr:uid="{304C3A78-F44F-4948-AC00-49A68BFB2AB4}"/>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B2BF9BD7-E5EF-4F9B-9797-80419CE476CD}"/>
    <cellStyle name="Normal 9 3 2 2 6 2 3" xfId="12904" xr:uid="{C0FFE5B6-2F69-4260-97EC-4A560116BF93}"/>
    <cellStyle name="Normal 9 3 2 2 6 3" xfId="6548" xr:uid="{00000000-0005-0000-0000-0000CE1F0000}"/>
    <cellStyle name="Normal 9 3 2 2 6 3 2" xfId="14977" xr:uid="{2DED2DD4-A4E6-40FA-9281-6AC17B5F4A91}"/>
    <cellStyle name="Normal 9 3 2 2 6 4" xfId="10759" xr:uid="{B2F873BE-FC2D-46A0-9E12-083CC1280EED}"/>
    <cellStyle name="Normal 9 3 2 2 7" xfId="2676" xr:uid="{00000000-0005-0000-0000-0000CF1F0000}"/>
    <cellStyle name="Normal 9 3 2 2 7 2" xfId="6961" xr:uid="{00000000-0005-0000-0000-0000D01F0000}"/>
    <cellStyle name="Normal 9 3 2 2 7 2 2" xfId="15390" xr:uid="{CC934CD7-A4CB-41C5-9193-4F9123FC009C}"/>
    <cellStyle name="Normal 9 3 2 2 7 3" xfId="11172" xr:uid="{99D3DE6A-B811-41B1-8DA1-91278FEEB431}"/>
    <cellStyle name="Normal 9 3 2 2 8" xfId="4896" xr:uid="{00000000-0005-0000-0000-0000D11F0000}"/>
    <cellStyle name="Normal 9 3 2 2 8 2" xfId="13325" xr:uid="{F590D151-B1A0-46FE-9BF8-032C229F2244}"/>
    <cellStyle name="Normal 9 3 2 2 9" xfId="9107" xr:uid="{9A659F6E-738C-4EEF-B41A-9CD1EC8965F4}"/>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A5B168A3-CFC3-45B8-8337-E40028DC590A}"/>
    <cellStyle name="Normal 9 3 2 3 2 2 3" xfId="11667" xr:uid="{6A2808B5-0C1B-4761-B135-1977AA698C2F}"/>
    <cellStyle name="Normal 9 3 2 3 2 3" xfId="5311" xr:uid="{00000000-0005-0000-0000-0000D61F0000}"/>
    <cellStyle name="Normal 9 3 2 3 2 3 2" xfId="13740" xr:uid="{34A9902B-1E46-469D-9233-299B61AD11BF}"/>
    <cellStyle name="Normal 9 3 2 3 2 4" xfId="9522" xr:uid="{73566AD7-46DE-4645-BB6E-A598A6B30BAA}"/>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9DAFB440-5733-4373-8FF2-521AC81E2F39}"/>
    <cellStyle name="Normal 9 3 2 3 3 2 3" xfId="12080" xr:uid="{77BF2B58-9A4D-476F-B258-073F2EA95249}"/>
    <cellStyle name="Normal 9 3 2 3 3 3" xfId="5724" xr:uid="{00000000-0005-0000-0000-0000DA1F0000}"/>
    <cellStyle name="Normal 9 3 2 3 3 3 2" xfId="14153" xr:uid="{E1778F46-A696-4849-A364-64E8FE414D19}"/>
    <cellStyle name="Normal 9 3 2 3 3 4" xfId="9935" xr:uid="{A662AD6A-81A5-49FE-B44F-CC36B5CA405A}"/>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358C500B-62D1-4DD8-A3AF-751334F2811C}"/>
    <cellStyle name="Normal 9 3 2 3 4 2 3" xfId="12493" xr:uid="{4E13A727-963A-4369-BC61-49BC421A518E}"/>
    <cellStyle name="Normal 9 3 2 3 4 3" xfId="6137" xr:uid="{00000000-0005-0000-0000-0000DE1F0000}"/>
    <cellStyle name="Normal 9 3 2 3 4 3 2" xfId="14566" xr:uid="{DA436650-D497-41AA-BFBD-8363C0016CC6}"/>
    <cellStyle name="Normal 9 3 2 3 4 4" xfId="10348" xr:uid="{600184BF-69E7-4B9A-9BAD-3EA10DC2819E}"/>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9D9431D6-551A-4C25-B6EB-E5F29A4D1195}"/>
    <cellStyle name="Normal 9 3 2 3 5 2 3" xfId="12906" xr:uid="{D57FC868-1DD0-41DF-8BA1-F5D376A2F218}"/>
    <cellStyle name="Normal 9 3 2 3 5 3" xfId="6550" xr:uid="{00000000-0005-0000-0000-0000E21F0000}"/>
    <cellStyle name="Normal 9 3 2 3 5 3 2" xfId="14979" xr:uid="{ED9B3EB0-77BE-4032-8999-15FB4F21C1D0}"/>
    <cellStyle name="Normal 9 3 2 3 5 4" xfId="10761" xr:uid="{E5D6DB58-EFCE-4860-B32F-217DBD163C6D}"/>
    <cellStyle name="Normal 9 3 2 3 6" xfId="2678" xr:uid="{00000000-0005-0000-0000-0000E31F0000}"/>
    <cellStyle name="Normal 9 3 2 3 6 2" xfId="6963" xr:uid="{00000000-0005-0000-0000-0000E41F0000}"/>
    <cellStyle name="Normal 9 3 2 3 6 2 2" xfId="15392" xr:uid="{E46E543D-7BF8-4429-9D0C-0A0F2FE82E16}"/>
    <cellStyle name="Normal 9 3 2 3 6 3" xfId="11174" xr:uid="{C96BEB66-5FB0-49EE-AB86-6A222874467A}"/>
    <cellStyle name="Normal 9 3 2 3 7" xfId="4898" xr:uid="{00000000-0005-0000-0000-0000E51F0000}"/>
    <cellStyle name="Normal 9 3 2 3 7 2" xfId="13327" xr:uid="{F96DE7F2-DCE4-44D5-A1CB-CB167F7C44F4}"/>
    <cellStyle name="Normal 9 3 2 3 8" xfId="9109" xr:uid="{1C20FDDA-49BE-45C2-AA96-CBF917671171}"/>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80F442DB-E0E2-4B42-8E32-CBF56DB15A25}"/>
    <cellStyle name="Normal 9 3 2 4 2 3" xfId="11664" xr:uid="{7EB37975-64B9-4754-859F-7FAF7149CC87}"/>
    <cellStyle name="Normal 9 3 2 4 3" xfId="5308" xr:uid="{00000000-0005-0000-0000-0000E91F0000}"/>
    <cellStyle name="Normal 9 3 2 4 3 2" xfId="13737" xr:uid="{CC1789F3-3375-4E37-9DA1-BB808434B16C}"/>
    <cellStyle name="Normal 9 3 2 4 4" xfId="9519" xr:uid="{A1CC0A71-533D-47BB-A7A8-8E2421611033}"/>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EED763D4-14EF-47D3-BC72-1D93A9B1A72B}"/>
    <cellStyle name="Normal 9 3 2 5 2 3" xfId="12077" xr:uid="{F419BF51-E195-475A-95CA-F2ED571CB8FC}"/>
    <cellStyle name="Normal 9 3 2 5 3" xfId="5721" xr:uid="{00000000-0005-0000-0000-0000ED1F0000}"/>
    <cellStyle name="Normal 9 3 2 5 3 2" xfId="14150" xr:uid="{0B86CFB6-5A86-4BE2-B85F-E47D4688CDCA}"/>
    <cellStyle name="Normal 9 3 2 5 4" xfId="9932" xr:uid="{88613BAF-3D80-41A0-A147-6F62D0906EBF}"/>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A0B4AF80-F734-4A17-BFA9-08DB0CE49DEF}"/>
    <cellStyle name="Normal 9 3 2 6 2 3" xfId="12490" xr:uid="{E65E0B5F-57B6-4200-9FBE-71A25712EA00}"/>
    <cellStyle name="Normal 9 3 2 6 3" xfId="6134" xr:uid="{00000000-0005-0000-0000-0000F11F0000}"/>
    <cellStyle name="Normal 9 3 2 6 3 2" xfId="14563" xr:uid="{4FDC93E4-9D21-4C57-A058-98443BEA3A73}"/>
    <cellStyle name="Normal 9 3 2 6 4" xfId="10345" xr:uid="{E0231595-DE99-4090-A466-999F07C75F1F}"/>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F50E0B1C-FE7E-4165-98C3-92AEBFF5BFD7}"/>
    <cellStyle name="Normal 9 3 2 7 2 3" xfId="12903" xr:uid="{DE81869C-C1FC-46CD-9045-E2BB30648522}"/>
    <cellStyle name="Normal 9 3 2 7 3" xfId="6547" xr:uid="{00000000-0005-0000-0000-0000F51F0000}"/>
    <cellStyle name="Normal 9 3 2 7 3 2" xfId="14976" xr:uid="{D3EAD035-3980-47C6-9C27-6633FF6C1887}"/>
    <cellStyle name="Normal 9 3 2 7 4" xfId="10758" xr:uid="{110003F6-08BC-47E4-A0B5-3981AFCE225B}"/>
    <cellStyle name="Normal 9 3 2 8" xfId="2675" xr:uid="{00000000-0005-0000-0000-0000F61F0000}"/>
    <cellStyle name="Normal 9 3 2 8 2" xfId="6960" xr:uid="{00000000-0005-0000-0000-0000F71F0000}"/>
    <cellStyle name="Normal 9 3 2 8 2 2" xfId="15389" xr:uid="{C658421E-399A-4D70-843B-3A64F20003B5}"/>
    <cellStyle name="Normal 9 3 2 8 3" xfId="11171" xr:uid="{386FBE8F-60DF-4443-B68B-D2CDEC76CA07}"/>
    <cellStyle name="Normal 9 3 2 9" xfId="4895" xr:uid="{00000000-0005-0000-0000-0000F81F0000}"/>
    <cellStyle name="Normal 9 3 2 9 2" xfId="13324" xr:uid="{8E9BB449-870D-4572-9011-A5842BD178EC}"/>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0A8C4CCB-79FB-4EB3-9180-EFA5ECB55704}"/>
    <cellStyle name="Normal 9 3 3 2 2 2 3" xfId="11669" xr:uid="{13DDB0EC-A93D-4F3F-AF57-CAD572D2C3D0}"/>
    <cellStyle name="Normal 9 3 3 2 2 3" xfId="5313" xr:uid="{00000000-0005-0000-0000-0000FE1F0000}"/>
    <cellStyle name="Normal 9 3 3 2 2 3 2" xfId="13742" xr:uid="{376007EA-0B4E-4E8D-B0AE-319EC3A194D9}"/>
    <cellStyle name="Normal 9 3 3 2 2 4" xfId="9524" xr:uid="{E91C3629-6B3B-4D98-9FB7-EC0D1C578F44}"/>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7C1EEA29-A7E0-4CCD-AF34-A464C69BEC47}"/>
    <cellStyle name="Normal 9 3 3 2 3 2 3" xfId="12082" xr:uid="{AB593484-DC02-4B95-892C-EFF131D56D36}"/>
    <cellStyle name="Normal 9 3 3 2 3 3" xfId="5726" xr:uid="{00000000-0005-0000-0000-000002200000}"/>
    <cellStyle name="Normal 9 3 3 2 3 3 2" xfId="14155" xr:uid="{36A89B05-95A1-453A-B401-75FD5F43BC20}"/>
    <cellStyle name="Normal 9 3 3 2 3 4" xfId="9937" xr:uid="{6FBDB40B-47A2-438F-A1C0-F48550443F9B}"/>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D4A6D96B-A9A8-48AA-9D36-648B19CADE05}"/>
    <cellStyle name="Normal 9 3 3 2 4 2 3" xfId="12495" xr:uid="{00834F42-1EEF-4819-8FE3-61CF652389D1}"/>
    <cellStyle name="Normal 9 3 3 2 4 3" xfId="6139" xr:uid="{00000000-0005-0000-0000-000006200000}"/>
    <cellStyle name="Normal 9 3 3 2 4 3 2" xfId="14568" xr:uid="{6D07FFDF-8D7A-4C14-8820-54A287E80DAF}"/>
    <cellStyle name="Normal 9 3 3 2 4 4" xfId="10350" xr:uid="{D4DA5120-826E-4269-980D-FA3C9AB58CE6}"/>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15168C4F-4837-4056-A642-AF067324E5FF}"/>
    <cellStyle name="Normal 9 3 3 2 5 2 3" xfId="12908" xr:uid="{6C98C2BD-B4D6-4FF2-8DC9-BC48DBEE6DFA}"/>
    <cellStyle name="Normal 9 3 3 2 5 3" xfId="6552" xr:uid="{00000000-0005-0000-0000-00000A200000}"/>
    <cellStyle name="Normal 9 3 3 2 5 3 2" xfId="14981" xr:uid="{3BCDBE87-9EA3-417B-BC21-0E4B695E2220}"/>
    <cellStyle name="Normal 9 3 3 2 5 4" xfId="10763" xr:uid="{739EDF0B-B2AA-49A7-8C6F-0DDADF15B6D7}"/>
    <cellStyle name="Normal 9 3 3 2 6" xfId="2680" xr:uid="{00000000-0005-0000-0000-00000B200000}"/>
    <cellStyle name="Normal 9 3 3 2 6 2" xfId="6965" xr:uid="{00000000-0005-0000-0000-00000C200000}"/>
    <cellStyle name="Normal 9 3 3 2 6 2 2" xfId="15394" xr:uid="{2C7FBBCA-C778-403D-B338-71C7C67518E0}"/>
    <cellStyle name="Normal 9 3 3 2 6 3" xfId="11176" xr:uid="{646265FC-2DEB-4F5F-8520-D7E7A2A2256F}"/>
    <cellStyle name="Normal 9 3 3 2 7" xfId="4900" xr:uid="{00000000-0005-0000-0000-00000D200000}"/>
    <cellStyle name="Normal 9 3 3 2 7 2" xfId="13329" xr:uid="{41472825-54FA-4EC7-BF73-8FFB17865A4E}"/>
    <cellStyle name="Normal 9 3 3 2 8" xfId="9111" xr:uid="{2F4760B2-8EE3-4C83-B38D-5C07336276A5}"/>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17565481-5CA9-4301-A9D6-808BAC3DDF5A}"/>
    <cellStyle name="Normal 9 3 3 3 2 3" xfId="11668" xr:uid="{35CA2A0E-49D0-41CC-8C45-FE2A3E15D85E}"/>
    <cellStyle name="Normal 9 3 3 3 3" xfId="5312" xr:uid="{00000000-0005-0000-0000-000011200000}"/>
    <cellStyle name="Normal 9 3 3 3 3 2" xfId="13741" xr:uid="{3928BA40-9C4A-490F-A8E4-95C639ADACDA}"/>
    <cellStyle name="Normal 9 3 3 3 4" xfId="9523" xr:uid="{C67B710A-2F0D-4958-8DAA-AC7CF7961359}"/>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907B22AC-4B25-4A84-AC6B-6234956A9686}"/>
    <cellStyle name="Normal 9 3 3 4 2 3" xfId="12081" xr:uid="{2A7E3D06-1121-4F76-AEC5-37E0D4C05EDC}"/>
    <cellStyle name="Normal 9 3 3 4 3" xfId="5725" xr:uid="{00000000-0005-0000-0000-000015200000}"/>
    <cellStyle name="Normal 9 3 3 4 3 2" xfId="14154" xr:uid="{54857B9D-3985-4FFD-9695-032E27F468D6}"/>
    <cellStyle name="Normal 9 3 3 4 4" xfId="9936" xr:uid="{46A7F2A1-3A31-4FB8-98AC-D2DE159801C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CA06DA96-E55A-4756-81DB-80C396A1EB90}"/>
    <cellStyle name="Normal 9 3 3 5 2 3" xfId="12494" xr:uid="{55644EF7-0D7F-4E2F-A54B-F2DA3C6035C3}"/>
    <cellStyle name="Normal 9 3 3 5 3" xfId="6138" xr:uid="{00000000-0005-0000-0000-000019200000}"/>
    <cellStyle name="Normal 9 3 3 5 3 2" xfId="14567" xr:uid="{CEF2EABF-2508-4838-A485-0F5F3B358AF4}"/>
    <cellStyle name="Normal 9 3 3 5 4" xfId="10349" xr:uid="{A4CAAF80-2519-4B3B-9A03-FA165429D611}"/>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7750ED26-7285-4EF2-AA74-F568FA5B9303}"/>
    <cellStyle name="Normal 9 3 3 6 2 3" xfId="12907" xr:uid="{9F87DBAB-2903-4725-BCBA-FFD0EE4FC0E7}"/>
    <cellStyle name="Normal 9 3 3 6 3" xfId="6551" xr:uid="{00000000-0005-0000-0000-00001D200000}"/>
    <cellStyle name="Normal 9 3 3 6 3 2" xfId="14980" xr:uid="{FD20B00F-5C7A-4B40-967D-A4ECDDF8B562}"/>
    <cellStyle name="Normal 9 3 3 6 4" xfId="10762" xr:uid="{B0E52E52-49D9-45FF-A60D-272CACB210A5}"/>
    <cellStyle name="Normal 9 3 3 7" xfId="2679" xr:uid="{00000000-0005-0000-0000-00001E200000}"/>
    <cellStyle name="Normal 9 3 3 7 2" xfId="6964" xr:uid="{00000000-0005-0000-0000-00001F200000}"/>
    <cellStyle name="Normal 9 3 3 7 2 2" xfId="15393" xr:uid="{F5195F7C-7EF9-4564-B074-93F6849D182B}"/>
    <cellStyle name="Normal 9 3 3 7 3" xfId="11175" xr:uid="{3D47E531-635F-4FE0-9F3A-C9E9D56BB8E8}"/>
    <cellStyle name="Normal 9 3 3 8" xfId="4899" xr:uid="{00000000-0005-0000-0000-000020200000}"/>
    <cellStyle name="Normal 9 3 3 8 2" xfId="13328" xr:uid="{F4563174-44E1-4328-B87A-2F004F5F5C4D}"/>
    <cellStyle name="Normal 9 3 3 9" xfId="9110" xr:uid="{5ACC4BA9-8896-4133-8151-7E79D55EA35D}"/>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E530F3AF-3082-4230-9D4B-D4B527AA92B8}"/>
    <cellStyle name="Normal 9 3 4 2 2 3" xfId="11670" xr:uid="{7ADE606D-D3ED-4164-8B64-D29A50DF140E}"/>
    <cellStyle name="Normal 9 3 4 2 3" xfId="5314" xr:uid="{00000000-0005-0000-0000-000025200000}"/>
    <cellStyle name="Normal 9 3 4 2 3 2" xfId="13743" xr:uid="{2D42DE33-5C0F-4DE1-B9DF-A1DDA0707FD9}"/>
    <cellStyle name="Normal 9 3 4 2 4" xfId="9525" xr:uid="{3687AEC6-3561-4A31-933E-0E4307B13F97}"/>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D8367E00-5929-4CB8-BA7D-A7FC93D4E811}"/>
    <cellStyle name="Normal 9 3 4 3 2 3" xfId="12083" xr:uid="{63FDE3AF-C01E-432E-A8CB-6463D66CCF7E}"/>
    <cellStyle name="Normal 9 3 4 3 3" xfId="5727" xr:uid="{00000000-0005-0000-0000-000029200000}"/>
    <cellStyle name="Normal 9 3 4 3 3 2" xfId="14156" xr:uid="{3EF90529-0198-4AB6-ADA4-F0495B6FA849}"/>
    <cellStyle name="Normal 9 3 4 3 4" xfId="9938" xr:uid="{03896E76-F0BD-4398-B2A2-8C30FC9873ED}"/>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56C0E058-0588-4CA4-88E2-C55C62E57A62}"/>
    <cellStyle name="Normal 9 3 4 4 2 3" xfId="12496" xr:uid="{68489053-B28B-4BB9-A714-9B6578EF0AEE}"/>
    <cellStyle name="Normal 9 3 4 4 3" xfId="6140" xr:uid="{00000000-0005-0000-0000-00002D200000}"/>
    <cellStyle name="Normal 9 3 4 4 3 2" xfId="14569" xr:uid="{F1B6D319-60D8-4921-ABCC-91606EF5560C}"/>
    <cellStyle name="Normal 9 3 4 4 4" xfId="10351" xr:uid="{18C9C9A3-9D5F-4F47-85A8-26B1C401E7C1}"/>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A8F63473-1DC6-4222-9DED-1BF5333BB917}"/>
    <cellStyle name="Normal 9 3 4 5 2 3" xfId="12909" xr:uid="{2D2FABE5-3844-4A25-B846-A27760E56A89}"/>
    <cellStyle name="Normal 9 3 4 5 3" xfId="6553" xr:uid="{00000000-0005-0000-0000-000031200000}"/>
    <cellStyle name="Normal 9 3 4 5 3 2" xfId="14982" xr:uid="{0EC32603-53C0-4378-8ABB-671C832DCCE4}"/>
    <cellStyle name="Normal 9 3 4 5 4" xfId="10764" xr:uid="{1B586724-1D66-4667-8C9C-13FE4426187B}"/>
    <cellStyle name="Normal 9 3 4 6" xfId="2681" xr:uid="{00000000-0005-0000-0000-000032200000}"/>
    <cellStyle name="Normal 9 3 4 6 2" xfId="6966" xr:uid="{00000000-0005-0000-0000-000033200000}"/>
    <cellStyle name="Normal 9 3 4 6 2 2" xfId="15395" xr:uid="{28C63227-F1AF-4A41-B23E-0D2BC8942669}"/>
    <cellStyle name="Normal 9 3 4 6 3" xfId="11177" xr:uid="{DFEA4A35-9567-4B89-AE1D-5FE69834AEED}"/>
    <cellStyle name="Normal 9 3 4 7" xfId="4901" xr:uid="{00000000-0005-0000-0000-000034200000}"/>
    <cellStyle name="Normal 9 3 4 7 2" xfId="13330" xr:uid="{6380D278-237A-4455-AE95-849D5EE85996}"/>
    <cellStyle name="Normal 9 3 4 8" xfId="9112" xr:uid="{E328DD91-BD6F-4E65-BABA-A4C6BCAF5A18}"/>
    <cellStyle name="Normal 9 3 5" xfId="995" xr:uid="{00000000-0005-0000-0000-000035200000}"/>
    <cellStyle name="Normal 9 3 5 2" xfId="3228" xr:uid="{00000000-0005-0000-0000-000036200000}"/>
    <cellStyle name="Normal 9 3 5 2 2" xfId="7452" xr:uid="{00000000-0005-0000-0000-000037200000}"/>
    <cellStyle name="Normal 9 3 5 2 2 2" xfId="15881" xr:uid="{8516372B-CD3B-4A50-8B08-A0EA8521B785}"/>
    <cellStyle name="Normal 9 3 5 2 3" xfId="11663" xr:uid="{DA3CDDD3-3E06-42A7-A1F2-2272054DCC9E}"/>
    <cellStyle name="Normal 9 3 5 3" xfId="5307" xr:uid="{00000000-0005-0000-0000-000038200000}"/>
    <cellStyle name="Normal 9 3 5 3 2" xfId="13736" xr:uid="{EE52CE1A-EAD7-4364-BBE9-2EC0A5537996}"/>
    <cellStyle name="Normal 9 3 5 4" xfId="9518" xr:uid="{521E063D-AB30-4227-A50F-23E067C3B676}"/>
    <cellStyle name="Normal 9 3 6" xfId="1411" xr:uid="{00000000-0005-0000-0000-000039200000}"/>
    <cellStyle name="Normal 9 3 6 2" xfId="3641" xr:uid="{00000000-0005-0000-0000-00003A200000}"/>
    <cellStyle name="Normal 9 3 6 2 2" xfId="7865" xr:uid="{00000000-0005-0000-0000-00003B200000}"/>
    <cellStyle name="Normal 9 3 6 2 2 2" xfId="16294" xr:uid="{27AF20E7-5132-4349-8A9A-C5A02ADBA63F}"/>
    <cellStyle name="Normal 9 3 6 2 3" xfId="12076" xr:uid="{8452A4E1-0D85-42D1-BAEE-2FB7279BF9D9}"/>
    <cellStyle name="Normal 9 3 6 3" xfId="5720" xr:uid="{00000000-0005-0000-0000-00003C200000}"/>
    <cellStyle name="Normal 9 3 6 3 2" xfId="14149" xr:uid="{BE486C1D-8E42-4E4C-80E3-FC4493E6D97A}"/>
    <cellStyle name="Normal 9 3 6 4" xfId="9931" xr:uid="{EF3908AC-2AB0-4BA0-9E62-DFA83526A156}"/>
    <cellStyle name="Normal 9 3 7" xfId="1824" xr:uid="{00000000-0005-0000-0000-00003D200000}"/>
    <cellStyle name="Normal 9 3 7 2" xfId="4054" xr:uid="{00000000-0005-0000-0000-00003E200000}"/>
    <cellStyle name="Normal 9 3 7 2 2" xfId="8278" xr:uid="{00000000-0005-0000-0000-00003F200000}"/>
    <cellStyle name="Normal 9 3 7 2 2 2" xfId="16707" xr:uid="{665654F2-2390-4B43-B055-5815D0B6F875}"/>
    <cellStyle name="Normal 9 3 7 2 3" xfId="12489" xr:uid="{6FB96CDD-D4E0-4FD7-8EC5-2BC79E45247B}"/>
    <cellStyle name="Normal 9 3 7 3" xfId="6133" xr:uid="{00000000-0005-0000-0000-000040200000}"/>
    <cellStyle name="Normal 9 3 7 3 2" xfId="14562" xr:uid="{F2466ED5-FAF0-430C-9B0B-AA4C880B9A38}"/>
    <cellStyle name="Normal 9 3 7 4" xfId="10344" xr:uid="{01DBE509-1930-416A-B3A0-79B39331995E}"/>
    <cellStyle name="Normal 9 3 8" xfId="2238" xr:uid="{00000000-0005-0000-0000-000041200000}"/>
    <cellStyle name="Normal 9 3 8 2" xfId="4467" xr:uid="{00000000-0005-0000-0000-000042200000}"/>
    <cellStyle name="Normal 9 3 8 2 2" xfId="8691" xr:uid="{00000000-0005-0000-0000-000043200000}"/>
    <cellStyle name="Normal 9 3 8 2 2 2" xfId="17120" xr:uid="{841BE70F-5BE0-4ABD-9BB1-153EE35A3C4D}"/>
    <cellStyle name="Normal 9 3 8 2 3" xfId="12902" xr:uid="{15436AA6-53D0-45D2-ADB3-4985469D5A3E}"/>
    <cellStyle name="Normal 9 3 8 3" xfId="6546" xr:uid="{00000000-0005-0000-0000-000044200000}"/>
    <cellStyle name="Normal 9 3 8 3 2" xfId="14975" xr:uid="{17566B14-21B6-4433-96B4-8672F0ABBB6B}"/>
    <cellStyle name="Normal 9 3 8 4" xfId="10757" xr:uid="{A7F8B488-5339-4191-B17A-DCB8A771A637}"/>
    <cellStyle name="Normal 9 3 9" xfId="2674" xr:uid="{00000000-0005-0000-0000-000045200000}"/>
    <cellStyle name="Normal 9 3 9 2" xfId="6959" xr:uid="{00000000-0005-0000-0000-000046200000}"/>
    <cellStyle name="Normal 9 3 9 2 2" xfId="15388" xr:uid="{C6AFFC7F-B918-49F8-8300-7B45CF116761}"/>
    <cellStyle name="Normal 9 3 9 3" xfId="11170" xr:uid="{17D99E1A-60C6-48B7-9CA9-75C44092EFFE}"/>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97D6BB3D-E53E-448C-A3B6-990E5BB2E6D1}"/>
    <cellStyle name="Normal 9 5 2 2 2 3" xfId="11672" xr:uid="{8B4A2C8D-8BE9-47B2-AEDA-6EDFC949539A}"/>
    <cellStyle name="Normal 9 5 2 2 3" xfId="5316" xr:uid="{00000000-0005-0000-0000-00004E200000}"/>
    <cellStyle name="Normal 9 5 2 2 3 2" xfId="13745" xr:uid="{8A119E26-DB59-4CA6-8FC0-66790C6BA4FA}"/>
    <cellStyle name="Normal 9 5 2 2 4" xfId="9527" xr:uid="{5E949B9A-D5AC-4632-B2F9-E629C8875501}"/>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4B5A9AFD-D91B-491C-A1E2-D81A4B564960}"/>
    <cellStyle name="Normal 9 5 2 3 2 3" xfId="12085" xr:uid="{0BF25D49-2535-4E19-8119-3265653540A5}"/>
    <cellStyle name="Normal 9 5 2 3 3" xfId="5729" xr:uid="{00000000-0005-0000-0000-000052200000}"/>
    <cellStyle name="Normal 9 5 2 3 3 2" xfId="14158" xr:uid="{E68BE69C-BAFB-4141-8CDC-893512B63C4F}"/>
    <cellStyle name="Normal 9 5 2 3 4" xfId="9940" xr:uid="{52D47A30-6809-4153-B4F0-E3B54B381C73}"/>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0EFE71D6-5E05-4DA4-8249-941FD7B0CA7E}"/>
    <cellStyle name="Normal 9 5 2 4 2 3" xfId="12498" xr:uid="{A6F800A5-8765-4D71-9C3D-A4A2851724EF}"/>
    <cellStyle name="Normal 9 5 2 4 3" xfId="6142" xr:uid="{00000000-0005-0000-0000-000056200000}"/>
    <cellStyle name="Normal 9 5 2 4 3 2" xfId="14571" xr:uid="{E594D528-023D-401B-8B30-8F2BC97AF56C}"/>
    <cellStyle name="Normal 9 5 2 4 4" xfId="10353" xr:uid="{21B72339-BF21-4A2F-827A-00636B7C62C0}"/>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462B0641-3A43-4A47-8B2C-98CF89FF0FC5}"/>
    <cellStyle name="Normal 9 5 2 5 2 3" xfId="12911" xr:uid="{5E7CD0C6-7FC7-4533-BEEF-C174271AD0E8}"/>
    <cellStyle name="Normal 9 5 2 5 3" xfId="6555" xr:uid="{00000000-0005-0000-0000-00005A200000}"/>
    <cellStyle name="Normal 9 5 2 5 3 2" xfId="14984" xr:uid="{B0A3FF44-2199-46F1-A300-9708BDE2DE12}"/>
    <cellStyle name="Normal 9 5 2 5 4" xfId="10766" xr:uid="{67525438-C65B-4F56-9391-09799FEC5083}"/>
    <cellStyle name="Normal 9 5 2 6" xfId="2683" xr:uid="{00000000-0005-0000-0000-00005B200000}"/>
    <cellStyle name="Normal 9 5 2 6 2" xfId="6968" xr:uid="{00000000-0005-0000-0000-00005C200000}"/>
    <cellStyle name="Normal 9 5 2 6 2 2" xfId="15397" xr:uid="{FF9292D8-405E-4AE1-B0CB-72AF7114E97C}"/>
    <cellStyle name="Normal 9 5 2 6 3" xfId="11179" xr:uid="{6AE4AF6F-BD73-4220-8C81-325DDA9CDC5D}"/>
    <cellStyle name="Normal 9 5 2 7" xfId="4903" xr:uid="{00000000-0005-0000-0000-00005D200000}"/>
    <cellStyle name="Normal 9 5 2 7 2" xfId="13332" xr:uid="{DE9F4940-8A6C-4632-87DD-722807349AEC}"/>
    <cellStyle name="Normal 9 5 2 8" xfId="9114" xr:uid="{6FBB0134-931C-48AA-8E4E-72D24D231E89}"/>
    <cellStyle name="Normal 9 5 3" xfId="1004" xr:uid="{00000000-0005-0000-0000-00005E200000}"/>
    <cellStyle name="Normal 9 5 3 2" xfId="3236" xr:uid="{00000000-0005-0000-0000-00005F200000}"/>
    <cellStyle name="Normal 9 5 3 2 2" xfId="7460" xr:uid="{00000000-0005-0000-0000-000060200000}"/>
    <cellStyle name="Normal 9 5 3 2 2 2" xfId="15889" xr:uid="{96E214B3-24CA-4F36-BCA1-5E3F830C8039}"/>
    <cellStyle name="Normal 9 5 3 2 3" xfId="11671" xr:uid="{DD2F8946-0DF3-4604-B05C-18C56FC17324}"/>
    <cellStyle name="Normal 9 5 3 3" xfId="5315" xr:uid="{00000000-0005-0000-0000-000061200000}"/>
    <cellStyle name="Normal 9 5 3 3 2" xfId="13744" xr:uid="{094494A4-2175-4C5F-9A25-74B2BB5EA1F0}"/>
    <cellStyle name="Normal 9 5 3 4" xfId="9526" xr:uid="{90BE104E-66EC-4EBC-A2C7-C9CA2B2D3DC2}"/>
    <cellStyle name="Normal 9 5 4" xfId="1419" xr:uid="{00000000-0005-0000-0000-000062200000}"/>
    <cellStyle name="Normal 9 5 4 2" xfId="3649" xr:uid="{00000000-0005-0000-0000-000063200000}"/>
    <cellStyle name="Normal 9 5 4 2 2" xfId="7873" xr:uid="{00000000-0005-0000-0000-000064200000}"/>
    <cellStyle name="Normal 9 5 4 2 2 2" xfId="16302" xr:uid="{B4DAE521-4E75-4AEA-A280-875C123BF93C}"/>
    <cellStyle name="Normal 9 5 4 2 3" xfId="12084" xr:uid="{AF7BC497-63B1-4012-8B87-D1B455E36ECA}"/>
    <cellStyle name="Normal 9 5 4 3" xfId="5728" xr:uid="{00000000-0005-0000-0000-000065200000}"/>
    <cellStyle name="Normal 9 5 4 3 2" xfId="14157" xr:uid="{0358CD93-C98B-4154-A2CC-061EE40388F2}"/>
    <cellStyle name="Normal 9 5 4 4" xfId="9939" xr:uid="{0584A182-446E-45CA-B4FF-E251803D7250}"/>
    <cellStyle name="Normal 9 5 5" xfId="1832" xr:uid="{00000000-0005-0000-0000-000066200000}"/>
    <cellStyle name="Normal 9 5 5 2" xfId="4062" xr:uid="{00000000-0005-0000-0000-000067200000}"/>
    <cellStyle name="Normal 9 5 5 2 2" xfId="8286" xr:uid="{00000000-0005-0000-0000-000068200000}"/>
    <cellStyle name="Normal 9 5 5 2 2 2" xfId="16715" xr:uid="{BAA6CDB7-E1C0-47C4-8085-AAC05F7C5A68}"/>
    <cellStyle name="Normal 9 5 5 2 3" xfId="12497" xr:uid="{F357D395-F4DC-4ED6-BE47-9B489B4E7E73}"/>
    <cellStyle name="Normal 9 5 5 3" xfId="6141" xr:uid="{00000000-0005-0000-0000-000069200000}"/>
    <cellStyle name="Normal 9 5 5 3 2" xfId="14570" xr:uid="{ECB22A2A-0183-4861-876C-A210DE81456B}"/>
    <cellStyle name="Normal 9 5 5 4" xfId="10352" xr:uid="{1CCAEEA4-5C65-4620-883B-D319BD2336D8}"/>
    <cellStyle name="Normal 9 5 6" xfId="2246" xr:uid="{00000000-0005-0000-0000-00006A200000}"/>
    <cellStyle name="Normal 9 5 6 2" xfId="4475" xr:uid="{00000000-0005-0000-0000-00006B200000}"/>
    <cellStyle name="Normal 9 5 6 2 2" xfId="8699" xr:uid="{00000000-0005-0000-0000-00006C200000}"/>
    <cellStyle name="Normal 9 5 6 2 2 2" xfId="17128" xr:uid="{A399A5BA-5928-4D54-BFA2-7AFC5503FE87}"/>
    <cellStyle name="Normal 9 5 6 2 3" xfId="12910" xr:uid="{A96008A9-77A3-4222-99CE-7C1DFB8461AC}"/>
    <cellStyle name="Normal 9 5 6 3" xfId="6554" xr:uid="{00000000-0005-0000-0000-00006D200000}"/>
    <cellStyle name="Normal 9 5 6 3 2" xfId="14983" xr:uid="{AEBE2DA2-19AD-4815-805B-92C4629F277A}"/>
    <cellStyle name="Normal 9 5 6 4" xfId="10765" xr:uid="{6F7C4AB0-7259-4495-8B4D-16E2A5DA114B}"/>
    <cellStyle name="Normal 9 5 7" xfId="2682" xr:uid="{00000000-0005-0000-0000-00006E200000}"/>
    <cellStyle name="Normal 9 5 7 2" xfId="6967" xr:uid="{00000000-0005-0000-0000-00006F200000}"/>
    <cellStyle name="Normal 9 5 7 2 2" xfId="15396" xr:uid="{BED03C6A-8830-4F2C-BC3B-2E98EE539EF9}"/>
    <cellStyle name="Normal 9 5 7 3" xfId="11178" xr:uid="{059E1DE3-9BF6-4149-922E-6FCB3F29A660}"/>
    <cellStyle name="Normal 9 5 8" xfId="4902" xr:uid="{00000000-0005-0000-0000-000070200000}"/>
    <cellStyle name="Normal 9 5 8 2" xfId="13331" xr:uid="{75B5D67A-54AD-4196-A68D-B9EA7D0C2E49}"/>
    <cellStyle name="Normal 9 5 9" xfId="9113" xr:uid="{74DE25F5-A3CF-42C0-A5CC-033B41695326}"/>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0CD2C802-CFAD-418B-8517-080DF67EDD29}"/>
    <cellStyle name="Normal 9 6 2 2 3" xfId="11673" xr:uid="{EB3CF3B1-D4A0-43D2-8FBE-35C32B76C1DE}"/>
    <cellStyle name="Normal 9 6 2 3" xfId="5317" xr:uid="{00000000-0005-0000-0000-000075200000}"/>
    <cellStyle name="Normal 9 6 2 3 2" xfId="13746" xr:uid="{7808ADBE-9CBA-41B3-B9A1-5A275B08504E}"/>
    <cellStyle name="Normal 9 6 2 4" xfId="9528" xr:uid="{4ACCE9C8-FE23-4BB0-BF6F-451520539F75}"/>
    <cellStyle name="Normal 9 6 3" xfId="1421" xr:uid="{00000000-0005-0000-0000-000076200000}"/>
    <cellStyle name="Normal 9 6 3 2" xfId="3651" xr:uid="{00000000-0005-0000-0000-000077200000}"/>
    <cellStyle name="Normal 9 6 3 2 2" xfId="7875" xr:uid="{00000000-0005-0000-0000-000078200000}"/>
    <cellStyle name="Normal 9 6 3 2 2 2" xfId="16304" xr:uid="{B2D8540D-8492-4632-875D-E23A3F5BFA32}"/>
    <cellStyle name="Normal 9 6 3 2 3" xfId="12086" xr:uid="{F240D869-417B-46B1-8679-7B475A7701AB}"/>
    <cellStyle name="Normal 9 6 3 3" xfId="5730" xr:uid="{00000000-0005-0000-0000-000079200000}"/>
    <cellStyle name="Normal 9 6 3 3 2" xfId="14159" xr:uid="{1E3D29EF-88CB-4B0C-884E-D7F3C1DA12ED}"/>
    <cellStyle name="Normal 9 6 3 4" xfId="9941" xr:uid="{7EAE1242-9AAA-4CCD-9038-88D658AE341E}"/>
    <cellStyle name="Normal 9 6 4" xfId="1834" xr:uid="{00000000-0005-0000-0000-00007A200000}"/>
    <cellStyle name="Normal 9 6 4 2" xfId="4064" xr:uid="{00000000-0005-0000-0000-00007B200000}"/>
    <cellStyle name="Normal 9 6 4 2 2" xfId="8288" xr:uid="{00000000-0005-0000-0000-00007C200000}"/>
    <cellStyle name="Normal 9 6 4 2 2 2" xfId="16717" xr:uid="{8B9C796D-280B-4A26-ADC2-F9AFECA9A53C}"/>
    <cellStyle name="Normal 9 6 4 2 3" xfId="12499" xr:uid="{594665AE-54B8-49C3-8FC4-69B482E2195A}"/>
    <cellStyle name="Normal 9 6 4 3" xfId="6143" xr:uid="{00000000-0005-0000-0000-00007D200000}"/>
    <cellStyle name="Normal 9 6 4 3 2" xfId="14572" xr:uid="{7D70E49E-5DDA-4019-8199-7235843DB065}"/>
    <cellStyle name="Normal 9 6 4 4" xfId="10354" xr:uid="{816160CE-D2F9-4E94-9BF0-514D27C574D8}"/>
    <cellStyle name="Normal 9 6 5" xfId="2248" xr:uid="{00000000-0005-0000-0000-00007E200000}"/>
    <cellStyle name="Normal 9 6 5 2" xfId="4477" xr:uid="{00000000-0005-0000-0000-00007F200000}"/>
    <cellStyle name="Normal 9 6 5 2 2" xfId="8701" xr:uid="{00000000-0005-0000-0000-000080200000}"/>
    <cellStyle name="Normal 9 6 5 2 2 2" xfId="17130" xr:uid="{856A3AFF-E904-4F80-AC19-92CFFD6674FE}"/>
    <cellStyle name="Normal 9 6 5 2 3" xfId="12912" xr:uid="{F90B7B91-4CDB-4DEC-AEFC-F5F86442F0BC}"/>
    <cellStyle name="Normal 9 6 5 3" xfId="6556" xr:uid="{00000000-0005-0000-0000-000081200000}"/>
    <cellStyle name="Normal 9 6 5 3 2" xfId="14985" xr:uid="{2C9A9385-C0D8-4AD6-A2AA-98A5F30ACC2A}"/>
    <cellStyle name="Normal 9 6 5 4" xfId="10767" xr:uid="{00D7A35C-24C6-492E-8F8D-0699AB5F9B04}"/>
    <cellStyle name="Normal 9 6 6" xfId="2684" xr:uid="{00000000-0005-0000-0000-000082200000}"/>
    <cellStyle name="Normal 9 6 6 2" xfId="6969" xr:uid="{00000000-0005-0000-0000-000083200000}"/>
    <cellStyle name="Normal 9 6 6 2 2" xfId="15398" xr:uid="{B5184799-2908-4530-90B4-8A2CCC249CA2}"/>
    <cellStyle name="Normal 9 6 6 3" xfId="11180" xr:uid="{D1BF7784-4769-444E-8708-102B8720DDD6}"/>
    <cellStyle name="Normal 9 6 7" xfId="4904" xr:uid="{00000000-0005-0000-0000-000084200000}"/>
    <cellStyle name="Normal 9 6 7 2" xfId="13333" xr:uid="{EE5D3021-DD8D-495D-B85B-378BE589DFE8}"/>
    <cellStyle name="Normal 9 6 8" xfId="9115" xr:uid="{8B7592FF-CBB6-4652-8778-1D418A4AEB64}"/>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15B85A35-10C5-43A0-8882-0961B5ECC5AF}"/>
    <cellStyle name="Note 2 2 10 3" xfId="11261" xr:uid="{013392EA-5B11-4477-94CC-E8000D29CB74}"/>
    <cellStyle name="Note 2 2 11" xfId="4905" xr:uid="{00000000-0005-0000-0000-000093200000}"/>
    <cellStyle name="Note 2 2 11 2" xfId="13334" xr:uid="{CDA41A6E-0EFE-40E2-A7D8-A75403AD3B02}"/>
    <cellStyle name="Note 2 2 12" xfId="9116" xr:uid="{D3790D10-4701-4CDC-BF63-3F3075F30760}"/>
    <cellStyle name="Note 2 2 2" xfId="547" xr:uid="{00000000-0005-0000-0000-000094200000}"/>
    <cellStyle name="Note 2 2 2 10" xfId="4906" xr:uid="{00000000-0005-0000-0000-000095200000}"/>
    <cellStyle name="Note 2 2 2 10 2" xfId="13335" xr:uid="{2F202362-CAA0-4F9E-A7C4-D7A13233B132}"/>
    <cellStyle name="Note 2 2 2 11" xfId="9117" xr:uid="{6A204AAE-2F68-4C74-86E7-2BBE5FF2C529}"/>
    <cellStyle name="Note 2 2 2 2" xfId="548" xr:uid="{00000000-0005-0000-0000-000096200000}"/>
    <cellStyle name="Note 2 2 2 2 10" xfId="9118" xr:uid="{86601974-464C-4E7E-8BCF-91966C9446D3}"/>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AAE34650-146B-47E0-996C-D4A9035131EF}"/>
    <cellStyle name="Note 2 2 2 2 2 2 3" xfId="11676" xr:uid="{2D422FA3-8210-4803-B800-49CDE23CBEFC}"/>
    <cellStyle name="Note 2 2 2 2 2 3" xfId="5320" xr:uid="{00000000-0005-0000-0000-00009A200000}"/>
    <cellStyle name="Note 2 2 2 2 2 3 2" xfId="13749" xr:uid="{61ABBB96-27B0-4B04-993D-C2E927802436}"/>
    <cellStyle name="Note 2 2 2 2 2 4" xfId="9531" xr:uid="{265008ED-7962-4A7B-8962-186007E70560}"/>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0342DB70-4134-4C4E-B4F1-70D976DCB154}"/>
    <cellStyle name="Note 2 2 2 2 3 2 3" xfId="12089" xr:uid="{9427C67B-7DFC-45DA-A6CB-DEC9330B3EA8}"/>
    <cellStyle name="Note 2 2 2 2 3 3" xfId="5733" xr:uid="{00000000-0005-0000-0000-00009E200000}"/>
    <cellStyle name="Note 2 2 2 2 3 3 2" xfId="14162" xr:uid="{089FE532-919C-4677-B6A0-1915673D6C10}"/>
    <cellStyle name="Note 2 2 2 2 3 4" xfId="9944" xr:uid="{6A8C45EB-BE7F-4B67-95B2-6A1C3F5DAD72}"/>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0528993B-4F6F-4DD8-BC8F-00771F3F375E}"/>
    <cellStyle name="Note 2 2 2 2 4 2 3" xfId="12502" xr:uid="{3B0A4049-6970-4315-AFC6-9F6B6ED2E502}"/>
    <cellStyle name="Note 2 2 2 2 4 3" xfId="6146" xr:uid="{00000000-0005-0000-0000-0000A2200000}"/>
    <cellStyle name="Note 2 2 2 2 4 3 2" xfId="14575" xr:uid="{6E9F6BA5-173D-4566-9355-DED016145584}"/>
    <cellStyle name="Note 2 2 2 2 4 4" xfId="10357" xr:uid="{76AAAD91-D081-44B3-919C-C168C33D0FFD}"/>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397CC872-6F29-42DC-A547-83253364516C}"/>
    <cellStyle name="Note 2 2 2 2 5 2 3" xfId="12915" xr:uid="{64421ACB-8110-4203-9508-B305AA48F80A}"/>
    <cellStyle name="Note 2 2 2 2 5 3" xfId="6559" xr:uid="{00000000-0005-0000-0000-0000A6200000}"/>
    <cellStyle name="Note 2 2 2 2 5 3 2" xfId="14988" xr:uid="{CE445F41-4A8C-43C3-94D3-1AD2347562A1}"/>
    <cellStyle name="Note 2 2 2 2 5 4" xfId="10770" xr:uid="{125B1769-B8F4-428F-89D9-B85EFB7FF0C5}"/>
    <cellStyle name="Note 2 2 2 2 6" xfId="2687" xr:uid="{00000000-0005-0000-0000-0000A7200000}"/>
    <cellStyle name="Note 2 2 2 2 6 2" xfId="6972" xr:uid="{00000000-0005-0000-0000-0000A8200000}"/>
    <cellStyle name="Note 2 2 2 2 6 2 2" xfId="15401" xr:uid="{D32BFA5B-294A-4551-9307-D36E425F3E71}"/>
    <cellStyle name="Note 2 2 2 2 6 3" xfId="11183" xr:uid="{863B2343-E527-41E8-96F4-1597B1C817E9}"/>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096A397-9EAC-433A-9EB4-F590D0E1E2AB}"/>
    <cellStyle name="Note 2 2 2 2 8 3" xfId="11263" xr:uid="{00F39F6F-CF2A-4FED-A894-BC17CA48698E}"/>
    <cellStyle name="Note 2 2 2 2 9" xfId="4907" xr:uid="{00000000-0005-0000-0000-0000AC200000}"/>
    <cellStyle name="Note 2 2 2 2 9 2" xfId="13336" xr:uid="{562756AD-0AA5-47AC-B8B9-FDEF2DA65926}"/>
    <cellStyle name="Note 2 2 2 3" xfId="1008" xr:uid="{00000000-0005-0000-0000-0000AD200000}"/>
    <cellStyle name="Note 2 2 2 3 2" xfId="3240" xr:uid="{00000000-0005-0000-0000-0000AE200000}"/>
    <cellStyle name="Note 2 2 2 3 2 2" xfId="7464" xr:uid="{00000000-0005-0000-0000-0000AF200000}"/>
    <cellStyle name="Note 2 2 2 3 2 2 2" xfId="15893" xr:uid="{7018DC21-7562-41AA-A34F-A36B333A02C2}"/>
    <cellStyle name="Note 2 2 2 3 2 3" xfId="11675" xr:uid="{1BC6FBAB-F889-4BBA-A404-C4726F44E6E6}"/>
    <cellStyle name="Note 2 2 2 3 3" xfId="5319" xr:uid="{00000000-0005-0000-0000-0000B0200000}"/>
    <cellStyle name="Note 2 2 2 3 3 2" xfId="13748" xr:uid="{85615731-0FFF-4C23-89AA-29DA8F1ADF0C}"/>
    <cellStyle name="Note 2 2 2 3 4" xfId="9530" xr:uid="{624A4F45-64EF-476E-A4D7-E4F6C2B6EC15}"/>
    <cellStyle name="Note 2 2 2 4" xfId="1423" xr:uid="{00000000-0005-0000-0000-0000B1200000}"/>
    <cellStyle name="Note 2 2 2 4 2" xfId="3653" xr:uid="{00000000-0005-0000-0000-0000B2200000}"/>
    <cellStyle name="Note 2 2 2 4 2 2" xfId="7877" xr:uid="{00000000-0005-0000-0000-0000B3200000}"/>
    <cellStyle name="Note 2 2 2 4 2 2 2" xfId="16306" xr:uid="{A102C729-98BA-4E68-92B3-E6C876FF0FE8}"/>
    <cellStyle name="Note 2 2 2 4 2 3" xfId="12088" xr:uid="{F2DE2BE7-88A2-4689-9EAD-A7F91454129B}"/>
    <cellStyle name="Note 2 2 2 4 3" xfId="5732" xr:uid="{00000000-0005-0000-0000-0000B4200000}"/>
    <cellStyle name="Note 2 2 2 4 3 2" xfId="14161" xr:uid="{E6415826-28AF-4267-BD6B-E78DF8AD319C}"/>
    <cellStyle name="Note 2 2 2 4 4" xfId="9943" xr:uid="{08E3B067-4F90-4AEE-93D9-6C090BD1A41B}"/>
    <cellStyle name="Note 2 2 2 5" xfId="1837" xr:uid="{00000000-0005-0000-0000-0000B5200000}"/>
    <cellStyle name="Note 2 2 2 5 2" xfId="4066" xr:uid="{00000000-0005-0000-0000-0000B6200000}"/>
    <cellStyle name="Note 2 2 2 5 2 2" xfId="8290" xr:uid="{00000000-0005-0000-0000-0000B7200000}"/>
    <cellStyle name="Note 2 2 2 5 2 2 2" xfId="16719" xr:uid="{1F5A4428-8B0C-4A0E-8298-BDD5F6E3FFD6}"/>
    <cellStyle name="Note 2 2 2 5 2 3" xfId="12501" xr:uid="{ABACC7B3-8D6B-4EEB-8AD2-F0FA9874F958}"/>
    <cellStyle name="Note 2 2 2 5 3" xfId="6145" xr:uid="{00000000-0005-0000-0000-0000B8200000}"/>
    <cellStyle name="Note 2 2 2 5 3 2" xfId="14574" xr:uid="{624EC2B8-BDFC-4EAA-975F-D5F420F44697}"/>
    <cellStyle name="Note 2 2 2 5 4" xfId="10356" xr:uid="{D8BD8B35-66BB-4D78-9363-47EAC6C02375}"/>
    <cellStyle name="Note 2 2 2 6" xfId="2250" xr:uid="{00000000-0005-0000-0000-0000B9200000}"/>
    <cellStyle name="Note 2 2 2 6 2" xfId="4479" xr:uid="{00000000-0005-0000-0000-0000BA200000}"/>
    <cellStyle name="Note 2 2 2 6 2 2" xfId="8703" xr:uid="{00000000-0005-0000-0000-0000BB200000}"/>
    <cellStyle name="Note 2 2 2 6 2 2 2" xfId="17132" xr:uid="{3B74B366-B152-482D-9285-9DAFD1B66321}"/>
    <cellStyle name="Note 2 2 2 6 2 3" xfId="12914" xr:uid="{7045EB14-EE65-4BBD-8337-B6F609158985}"/>
    <cellStyle name="Note 2 2 2 6 3" xfId="6558" xr:uid="{00000000-0005-0000-0000-0000BC200000}"/>
    <cellStyle name="Note 2 2 2 6 3 2" xfId="14987" xr:uid="{7F8EA1BB-C233-40A7-96DF-559174971A61}"/>
    <cellStyle name="Note 2 2 2 6 4" xfId="10769" xr:uid="{FCF986F9-E376-47C2-A417-395374B3DB08}"/>
    <cellStyle name="Note 2 2 2 7" xfId="2686" xr:uid="{00000000-0005-0000-0000-0000BD200000}"/>
    <cellStyle name="Note 2 2 2 7 2" xfId="6971" xr:uid="{00000000-0005-0000-0000-0000BE200000}"/>
    <cellStyle name="Note 2 2 2 7 2 2" xfId="15400" xr:uid="{E439CE7E-DC5B-45E5-9A4C-1E25858DB897}"/>
    <cellStyle name="Note 2 2 2 7 3" xfId="11182" xr:uid="{0E675E3F-5664-42F0-BA22-E55B29400327}"/>
    <cellStyle name="Note 2 2 2 8" xfId="2745" xr:uid="{00000000-0005-0000-0000-0000BF200000}"/>
    <cellStyle name="Note 2 2 2 9" xfId="2826" xr:uid="{00000000-0005-0000-0000-0000C0200000}"/>
    <cellStyle name="Note 2 2 2 9 2" xfId="7051" xr:uid="{00000000-0005-0000-0000-0000C1200000}"/>
    <cellStyle name="Note 2 2 2 9 2 2" xfId="15480" xr:uid="{0DFACBCD-9BC8-4A20-BA28-2B1EA890DC95}"/>
    <cellStyle name="Note 2 2 2 9 3" xfId="11262" xr:uid="{70F2D50F-2DB3-4BED-8F4C-7C07B083AF54}"/>
    <cellStyle name="Note 2 2 3" xfId="549" xr:uid="{00000000-0005-0000-0000-0000C2200000}"/>
    <cellStyle name="Note 2 2 3 10" xfId="9119" xr:uid="{FD2A28EE-47F5-4A13-8E2B-246F48C81DE9}"/>
    <cellStyle name="Note 2 2 3 2" xfId="1010" xr:uid="{00000000-0005-0000-0000-0000C3200000}"/>
    <cellStyle name="Note 2 2 3 2 2" xfId="3242" xr:uid="{00000000-0005-0000-0000-0000C4200000}"/>
    <cellStyle name="Note 2 2 3 2 2 2" xfId="7466" xr:uid="{00000000-0005-0000-0000-0000C5200000}"/>
    <cellStyle name="Note 2 2 3 2 2 2 2" xfId="15895" xr:uid="{26E213EC-0265-421C-B1B0-A83AAEBC1636}"/>
    <cellStyle name="Note 2 2 3 2 2 3" xfId="11677" xr:uid="{4CA333E3-7FDA-4853-85CF-75E7AC8C482D}"/>
    <cellStyle name="Note 2 2 3 2 3" xfId="5321" xr:uid="{00000000-0005-0000-0000-0000C6200000}"/>
    <cellStyle name="Note 2 2 3 2 3 2" xfId="13750" xr:uid="{E7A4475C-72D1-4F95-975E-55E881DBF9FA}"/>
    <cellStyle name="Note 2 2 3 2 4" xfId="9532" xr:uid="{B50036AC-5E8E-4F19-B019-C6647DBDFF5B}"/>
    <cellStyle name="Note 2 2 3 3" xfId="1425" xr:uid="{00000000-0005-0000-0000-0000C7200000}"/>
    <cellStyle name="Note 2 2 3 3 2" xfId="3655" xr:uid="{00000000-0005-0000-0000-0000C8200000}"/>
    <cellStyle name="Note 2 2 3 3 2 2" xfId="7879" xr:uid="{00000000-0005-0000-0000-0000C9200000}"/>
    <cellStyle name="Note 2 2 3 3 2 2 2" xfId="16308" xr:uid="{BEA32B39-51E4-4C42-989E-E2AD99BA3774}"/>
    <cellStyle name="Note 2 2 3 3 2 3" xfId="12090" xr:uid="{33438BF1-CCAF-4082-B74A-9E59B29515F7}"/>
    <cellStyle name="Note 2 2 3 3 3" xfId="5734" xr:uid="{00000000-0005-0000-0000-0000CA200000}"/>
    <cellStyle name="Note 2 2 3 3 3 2" xfId="14163" xr:uid="{9E06AA6C-CCFD-4F52-A434-49AB7B31A750}"/>
    <cellStyle name="Note 2 2 3 3 4" xfId="9945" xr:uid="{AD90FCA9-7985-4DB3-AE53-A0D44E216FCB}"/>
    <cellStyle name="Note 2 2 3 4" xfId="1839" xr:uid="{00000000-0005-0000-0000-0000CB200000}"/>
    <cellStyle name="Note 2 2 3 4 2" xfId="4068" xr:uid="{00000000-0005-0000-0000-0000CC200000}"/>
    <cellStyle name="Note 2 2 3 4 2 2" xfId="8292" xr:uid="{00000000-0005-0000-0000-0000CD200000}"/>
    <cellStyle name="Note 2 2 3 4 2 2 2" xfId="16721" xr:uid="{4641C18C-021C-4914-9787-F25262E363DC}"/>
    <cellStyle name="Note 2 2 3 4 2 3" xfId="12503" xr:uid="{D49ACF10-293E-4F71-B749-17C4F5BD74FA}"/>
    <cellStyle name="Note 2 2 3 4 3" xfId="6147" xr:uid="{00000000-0005-0000-0000-0000CE200000}"/>
    <cellStyle name="Note 2 2 3 4 3 2" xfId="14576" xr:uid="{C0BB6365-C958-4B72-A601-6690EAC6B955}"/>
    <cellStyle name="Note 2 2 3 4 4" xfId="10358" xr:uid="{49251551-A015-4A18-98F0-C16D7C0B0995}"/>
    <cellStyle name="Note 2 2 3 5" xfId="2252" xr:uid="{00000000-0005-0000-0000-0000CF200000}"/>
    <cellStyle name="Note 2 2 3 5 2" xfId="4481" xr:uid="{00000000-0005-0000-0000-0000D0200000}"/>
    <cellStyle name="Note 2 2 3 5 2 2" xfId="8705" xr:uid="{00000000-0005-0000-0000-0000D1200000}"/>
    <cellStyle name="Note 2 2 3 5 2 2 2" xfId="17134" xr:uid="{371ACB23-60D5-4089-9666-7B836BB76F99}"/>
    <cellStyle name="Note 2 2 3 5 2 3" xfId="12916" xr:uid="{5B5D414D-20DC-40C0-9E8F-F45436B5D8F3}"/>
    <cellStyle name="Note 2 2 3 5 3" xfId="6560" xr:uid="{00000000-0005-0000-0000-0000D2200000}"/>
    <cellStyle name="Note 2 2 3 5 3 2" xfId="14989" xr:uid="{1A25C9BA-36BD-4A08-AD08-1A53478B207F}"/>
    <cellStyle name="Note 2 2 3 5 4" xfId="10771" xr:uid="{27F65474-E5B9-461D-9828-5218643BA512}"/>
    <cellStyle name="Note 2 2 3 6" xfId="2688" xr:uid="{00000000-0005-0000-0000-0000D3200000}"/>
    <cellStyle name="Note 2 2 3 6 2" xfId="6973" xr:uid="{00000000-0005-0000-0000-0000D4200000}"/>
    <cellStyle name="Note 2 2 3 6 2 2" xfId="15402" xr:uid="{859EFC02-9641-445C-B961-F7D0552A5256}"/>
    <cellStyle name="Note 2 2 3 6 3" xfId="11184" xr:uid="{43FE1B3E-9E1A-4FA5-84AD-CF72B236874D}"/>
    <cellStyle name="Note 2 2 3 7" xfId="2747" xr:uid="{00000000-0005-0000-0000-0000D5200000}"/>
    <cellStyle name="Note 2 2 3 8" xfId="2828" xr:uid="{00000000-0005-0000-0000-0000D6200000}"/>
    <cellStyle name="Note 2 2 3 8 2" xfId="7053" xr:uid="{00000000-0005-0000-0000-0000D7200000}"/>
    <cellStyle name="Note 2 2 3 8 2 2" xfId="15482" xr:uid="{FF5B8D16-A537-4289-AFF5-39CFCD1D1C3C}"/>
    <cellStyle name="Note 2 2 3 8 3" xfId="11264" xr:uid="{E83BE029-282D-4162-A3F1-185AA06B6D48}"/>
    <cellStyle name="Note 2 2 3 9" xfId="4908" xr:uid="{00000000-0005-0000-0000-0000D8200000}"/>
    <cellStyle name="Note 2 2 3 9 2" xfId="13337" xr:uid="{A5B14991-E6C4-4E00-9C8A-3BE099BDABAB}"/>
    <cellStyle name="Note 2 2 4" xfId="1007" xr:uid="{00000000-0005-0000-0000-0000D9200000}"/>
    <cellStyle name="Note 2 2 4 2" xfId="3239" xr:uid="{00000000-0005-0000-0000-0000DA200000}"/>
    <cellStyle name="Note 2 2 4 2 2" xfId="7463" xr:uid="{00000000-0005-0000-0000-0000DB200000}"/>
    <cellStyle name="Note 2 2 4 2 2 2" xfId="15892" xr:uid="{94C50FC5-B76D-4457-A46B-6E88007140FD}"/>
    <cellStyle name="Note 2 2 4 2 3" xfId="11674" xr:uid="{FD24CAAB-633D-4661-8E97-0D44BB5E9ABB}"/>
    <cellStyle name="Note 2 2 4 3" xfId="5318" xr:uid="{00000000-0005-0000-0000-0000DC200000}"/>
    <cellStyle name="Note 2 2 4 3 2" xfId="13747" xr:uid="{97DE00D9-2492-429A-8FE6-D5F2A13E4EEB}"/>
    <cellStyle name="Note 2 2 4 4" xfId="9529" xr:uid="{1D77D863-DEA8-4F98-8F5C-7159396EAA64}"/>
    <cellStyle name="Note 2 2 5" xfId="1422" xr:uid="{00000000-0005-0000-0000-0000DD200000}"/>
    <cellStyle name="Note 2 2 5 2" xfId="3652" xr:uid="{00000000-0005-0000-0000-0000DE200000}"/>
    <cellStyle name="Note 2 2 5 2 2" xfId="7876" xr:uid="{00000000-0005-0000-0000-0000DF200000}"/>
    <cellStyle name="Note 2 2 5 2 2 2" xfId="16305" xr:uid="{DBF931DA-EC94-4639-942C-7170339A4900}"/>
    <cellStyle name="Note 2 2 5 2 3" xfId="12087" xr:uid="{FA86176A-4953-4BA8-8858-77E0EE4C2BAB}"/>
    <cellStyle name="Note 2 2 5 3" xfId="5731" xr:uid="{00000000-0005-0000-0000-0000E0200000}"/>
    <cellStyle name="Note 2 2 5 3 2" xfId="14160" xr:uid="{F41C76E1-9713-4D7D-8706-03A88133D3DB}"/>
    <cellStyle name="Note 2 2 5 4" xfId="9942" xr:uid="{F2F581CD-8474-4F07-BB70-565E5BE7A019}"/>
    <cellStyle name="Note 2 2 6" xfId="1836" xr:uid="{00000000-0005-0000-0000-0000E1200000}"/>
    <cellStyle name="Note 2 2 6 2" xfId="4065" xr:uid="{00000000-0005-0000-0000-0000E2200000}"/>
    <cellStyle name="Note 2 2 6 2 2" xfId="8289" xr:uid="{00000000-0005-0000-0000-0000E3200000}"/>
    <cellStyle name="Note 2 2 6 2 2 2" xfId="16718" xr:uid="{1CAE2683-3F29-4081-97F6-29510BA5EBC4}"/>
    <cellStyle name="Note 2 2 6 2 3" xfId="12500" xr:uid="{035F0AB1-7B0E-4368-9A4A-46A066915A0C}"/>
    <cellStyle name="Note 2 2 6 3" xfId="6144" xr:uid="{00000000-0005-0000-0000-0000E4200000}"/>
    <cellStyle name="Note 2 2 6 3 2" xfId="14573" xr:uid="{BF8197C8-2E66-4AFE-87FF-D5FA14F2C704}"/>
    <cellStyle name="Note 2 2 6 4" xfId="10355" xr:uid="{ED075356-DB32-4372-AF4B-1D253F9BB9EE}"/>
    <cellStyle name="Note 2 2 7" xfId="2249" xr:uid="{00000000-0005-0000-0000-0000E5200000}"/>
    <cellStyle name="Note 2 2 7 2" xfId="4478" xr:uid="{00000000-0005-0000-0000-0000E6200000}"/>
    <cellStyle name="Note 2 2 7 2 2" xfId="8702" xr:uid="{00000000-0005-0000-0000-0000E7200000}"/>
    <cellStyle name="Note 2 2 7 2 2 2" xfId="17131" xr:uid="{8223CCE9-2FA5-44A0-B9AC-D89DD84EED72}"/>
    <cellStyle name="Note 2 2 7 2 3" xfId="12913" xr:uid="{144AFF76-8B8D-4F33-9F05-CC2BEEE07985}"/>
    <cellStyle name="Note 2 2 7 3" xfId="6557" xr:uid="{00000000-0005-0000-0000-0000E8200000}"/>
    <cellStyle name="Note 2 2 7 3 2" xfId="14986" xr:uid="{305A3373-34BD-438A-8259-C7AD07B46A18}"/>
    <cellStyle name="Note 2 2 7 4" xfId="10768" xr:uid="{CC5F43D5-11EB-4BEB-ACE8-09A2089F6177}"/>
    <cellStyle name="Note 2 2 8" xfId="2685" xr:uid="{00000000-0005-0000-0000-0000E9200000}"/>
    <cellStyle name="Note 2 2 8 2" xfId="6970" xr:uid="{00000000-0005-0000-0000-0000EA200000}"/>
    <cellStyle name="Note 2 2 8 2 2" xfId="15399" xr:uid="{26B02213-FAD9-4069-B018-F47571DE48EF}"/>
    <cellStyle name="Note 2 2 8 3" xfId="11181" xr:uid="{31868944-13D1-4B0F-BBC3-245F04C0ACFA}"/>
    <cellStyle name="Note 2 2 9" xfId="2744" xr:uid="{00000000-0005-0000-0000-0000EB200000}"/>
    <cellStyle name="Note 2 3" xfId="550" xr:uid="{00000000-0005-0000-0000-0000EC200000}"/>
    <cellStyle name="Note 2 3 10" xfId="4909" xr:uid="{00000000-0005-0000-0000-0000ED200000}"/>
    <cellStyle name="Note 2 3 10 2" xfId="13338" xr:uid="{385CA3BB-C53E-421A-ADEA-D2265C36F061}"/>
    <cellStyle name="Note 2 3 11" xfId="9120" xr:uid="{82A19026-1D56-44E4-BF22-B987CA9FCA27}"/>
    <cellStyle name="Note 2 3 2" xfId="551" xr:uid="{00000000-0005-0000-0000-0000EE200000}"/>
    <cellStyle name="Note 2 3 2 10" xfId="9121" xr:uid="{8AEFB327-08C8-4B3D-B442-09390BBA5F71}"/>
    <cellStyle name="Note 2 3 2 2" xfId="1012" xr:uid="{00000000-0005-0000-0000-0000EF200000}"/>
    <cellStyle name="Note 2 3 2 2 2" xfId="3244" xr:uid="{00000000-0005-0000-0000-0000F0200000}"/>
    <cellStyle name="Note 2 3 2 2 2 2" xfId="7468" xr:uid="{00000000-0005-0000-0000-0000F1200000}"/>
    <cellStyle name="Note 2 3 2 2 2 2 2" xfId="15897" xr:uid="{55859B99-2C13-4DB6-90F9-BF5D58E310DC}"/>
    <cellStyle name="Note 2 3 2 2 2 3" xfId="11679" xr:uid="{129BC510-636E-49CD-A047-9055045A5DDD}"/>
    <cellStyle name="Note 2 3 2 2 3" xfId="5323" xr:uid="{00000000-0005-0000-0000-0000F2200000}"/>
    <cellStyle name="Note 2 3 2 2 3 2" xfId="13752" xr:uid="{E7AAFDA9-6CFC-4B57-ADC7-F223DEC0CC44}"/>
    <cellStyle name="Note 2 3 2 2 4" xfId="9534" xr:uid="{0CA98585-2482-4392-905C-D31709CA9754}"/>
    <cellStyle name="Note 2 3 2 3" xfId="1427" xr:uid="{00000000-0005-0000-0000-0000F3200000}"/>
    <cellStyle name="Note 2 3 2 3 2" xfId="3657" xr:uid="{00000000-0005-0000-0000-0000F4200000}"/>
    <cellStyle name="Note 2 3 2 3 2 2" xfId="7881" xr:uid="{00000000-0005-0000-0000-0000F5200000}"/>
    <cellStyle name="Note 2 3 2 3 2 2 2" xfId="16310" xr:uid="{81676A3D-D804-4061-931A-BC2AEFD9DBDB}"/>
    <cellStyle name="Note 2 3 2 3 2 3" xfId="12092" xr:uid="{B7650FB0-9C5F-4CE8-ACD9-34027DDF2E0C}"/>
    <cellStyle name="Note 2 3 2 3 3" xfId="5736" xr:uid="{00000000-0005-0000-0000-0000F6200000}"/>
    <cellStyle name="Note 2 3 2 3 3 2" xfId="14165" xr:uid="{112EE471-7B47-476B-A580-9B583E96A8D4}"/>
    <cellStyle name="Note 2 3 2 3 4" xfId="9947" xr:uid="{1B754203-12A3-4C71-9739-F32262350BBA}"/>
    <cellStyle name="Note 2 3 2 4" xfId="1841" xr:uid="{00000000-0005-0000-0000-0000F7200000}"/>
    <cellStyle name="Note 2 3 2 4 2" xfId="4070" xr:uid="{00000000-0005-0000-0000-0000F8200000}"/>
    <cellStyle name="Note 2 3 2 4 2 2" xfId="8294" xr:uid="{00000000-0005-0000-0000-0000F9200000}"/>
    <cellStyle name="Note 2 3 2 4 2 2 2" xfId="16723" xr:uid="{E446891B-ECFE-4D97-8719-583D03BF26EC}"/>
    <cellStyle name="Note 2 3 2 4 2 3" xfId="12505" xr:uid="{45F78390-ABB2-4B82-85F7-544DE54120ED}"/>
    <cellStyle name="Note 2 3 2 4 3" xfId="6149" xr:uid="{00000000-0005-0000-0000-0000FA200000}"/>
    <cellStyle name="Note 2 3 2 4 3 2" xfId="14578" xr:uid="{1EDDF15F-7528-4E39-A590-C3F3961EB75C}"/>
    <cellStyle name="Note 2 3 2 4 4" xfId="10360" xr:uid="{ACD0BF7D-D23F-48C8-B1DF-E9C412D7545E}"/>
    <cellStyle name="Note 2 3 2 5" xfId="2254" xr:uid="{00000000-0005-0000-0000-0000FB200000}"/>
    <cellStyle name="Note 2 3 2 5 2" xfId="4483" xr:uid="{00000000-0005-0000-0000-0000FC200000}"/>
    <cellStyle name="Note 2 3 2 5 2 2" xfId="8707" xr:uid="{00000000-0005-0000-0000-0000FD200000}"/>
    <cellStyle name="Note 2 3 2 5 2 2 2" xfId="17136" xr:uid="{781317F5-0F20-4224-8018-A940591EC4B8}"/>
    <cellStyle name="Note 2 3 2 5 2 3" xfId="12918" xr:uid="{6F62E755-CC6D-4C4A-8983-8EC333A18F80}"/>
    <cellStyle name="Note 2 3 2 5 3" xfId="6562" xr:uid="{00000000-0005-0000-0000-0000FE200000}"/>
    <cellStyle name="Note 2 3 2 5 3 2" xfId="14991" xr:uid="{E58317C4-86AC-4425-82F8-D862924AF05D}"/>
    <cellStyle name="Note 2 3 2 5 4" xfId="10773" xr:uid="{D867E7C7-1C38-48EF-BB76-CFC9CB13A0DC}"/>
    <cellStyle name="Note 2 3 2 6" xfId="2690" xr:uid="{00000000-0005-0000-0000-0000FF200000}"/>
    <cellStyle name="Note 2 3 2 6 2" xfId="6975" xr:uid="{00000000-0005-0000-0000-000000210000}"/>
    <cellStyle name="Note 2 3 2 6 2 2" xfId="15404" xr:uid="{86FC1474-5B1E-45C1-BA8F-EF761D2EDB56}"/>
    <cellStyle name="Note 2 3 2 6 3" xfId="11186" xr:uid="{81126A65-83FF-405A-8F25-AA9975B34A75}"/>
    <cellStyle name="Note 2 3 2 7" xfId="2749" xr:uid="{00000000-0005-0000-0000-000001210000}"/>
    <cellStyle name="Note 2 3 2 8" xfId="2830" xr:uid="{00000000-0005-0000-0000-000002210000}"/>
    <cellStyle name="Note 2 3 2 8 2" xfId="7055" xr:uid="{00000000-0005-0000-0000-000003210000}"/>
    <cellStyle name="Note 2 3 2 8 2 2" xfId="15484" xr:uid="{0F9ED52B-6D5B-4B35-BD1D-3491C5095D00}"/>
    <cellStyle name="Note 2 3 2 8 3" xfId="11266" xr:uid="{7B5C3104-2C59-4B6D-B60C-FA89376CFB46}"/>
    <cellStyle name="Note 2 3 2 9" xfId="4910" xr:uid="{00000000-0005-0000-0000-000004210000}"/>
    <cellStyle name="Note 2 3 2 9 2" xfId="13339" xr:uid="{D764E576-8B81-40BA-B3E6-316060641B3F}"/>
    <cellStyle name="Note 2 3 3" xfId="1011" xr:uid="{00000000-0005-0000-0000-000005210000}"/>
    <cellStyle name="Note 2 3 3 2" xfId="3243" xr:uid="{00000000-0005-0000-0000-000006210000}"/>
    <cellStyle name="Note 2 3 3 2 2" xfId="7467" xr:uid="{00000000-0005-0000-0000-000007210000}"/>
    <cellStyle name="Note 2 3 3 2 2 2" xfId="15896" xr:uid="{E416CC2B-A1F3-4397-AA06-6F578836063F}"/>
    <cellStyle name="Note 2 3 3 2 3" xfId="11678" xr:uid="{93E6451B-DF1B-4B6E-9D4C-7DB98FCF71DA}"/>
    <cellStyle name="Note 2 3 3 3" xfId="5322" xr:uid="{00000000-0005-0000-0000-000008210000}"/>
    <cellStyle name="Note 2 3 3 3 2" xfId="13751" xr:uid="{63CD1A0E-BE62-4C5F-9B18-958E8631C987}"/>
    <cellStyle name="Note 2 3 3 4" xfId="9533" xr:uid="{280E2FE9-8644-4A9B-AB11-21AE9B1916F8}"/>
    <cellStyle name="Note 2 3 4" xfId="1426" xr:uid="{00000000-0005-0000-0000-000009210000}"/>
    <cellStyle name="Note 2 3 4 2" xfId="3656" xr:uid="{00000000-0005-0000-0000-00000A210000}"/>
    <cellStyle name="Note 2 3 4 2 2" xfId="7880" xr:uid="{00000000-0005-0000-0000-00000B210000}"/>
    <cellStyle name="Note 2 3 4 2 2 2" xfId="16309" xr:uid="{E38AF6F0-92AC-4B6F-9AA9-D3E167812C3A}"/>
    <cellStyle name="Note 2 3 4 2 3" xfId="12091" xr:uid="{B995DAF1-7857-4672-9144-970FC9B0494B}"/>
    <cellStyle name="Note 2 3 4 3" xfId="5735" xr:uid="{00000000-0005-0000-0000-00000C210000}"/>
    <cellStyle name="Note 2 3 4 3 2" xfId="14164" xr:uid="{89DBDB62-8332-452B-A102-8843FFEF9649}"/>
    <cellStyle name="Note 2 3 4 4" xfId="9946" xr:uid="{A42BBC63-7209-4842-86CC-15FA8C591B67}"/>
    <cellStyle name="Note 2 3 5" xfId="1840" xr:uid="{00000000-0005-0000-0000-00000D210000}"/>
    <cellStyle name="Note 2 3 5 2" xfId="4069" xr:uid="{00000000-0005-0000-0000-00000E210000}"/>
    <cellStyle name="Note 2 3 5 2 2" xfId="8293" xr:uid="{00000000-0005-0000-0000-00000F210000}"/>
    <cellStyle name="Note 2 3 5 2 2 2" xfId="16722" xr:uid="{70EF5ECE-5BB5-46E1-888A-2D8C1FD90731}"/>
    <cellStyle name="Note 2 3 5 2 3" xfId="12504" xr:uid="{544F7A2B-9DA1-4363-B21C-035495C81430}"/>
    <cellStyle name="Note 2 3 5 3" xfId="6148" xr:uid="{00000000-0005-0000-0000-000010210000}"/>
    <cellStyle name="Note 2 3 5 3 2" xfId="14577" xr:uid="{42BCFB15-C0EB-46B4-9A58-2451B49D334D}"/>
    <cellStyle name="Note 2 3 5 4" xfId="10359" xr:uid="{D49DD184-B7A2-4A54-94FF-57CEF97711D1}"/>
    <cellStyle name="Note 2 3 6" xfId="2253" xr:uid="{00000000-0005-0000-0000-000011210000}"/>
    <cellStyle name="Note 2 3 6 2" xfId="4482" xr:uid="{00000000-0005-0000-0000-000012210000}"/>
    <cellStyle name="Note 2 3 6 2 2" xfId="8706" xr:uid="{00000000-0005-0000-0000-000013210000}"/>
    <cellStyle name="Note 2 3 6 2 2 2" xfId="17135" xr:uid="{9A3B3ECE-30C4-4427-BFA5-61759730BCC0}"/>
    <cellStyle name="Note 2 3 6 2 3" xfId="12917" xr:uid="{F1C2DDD3-C364-4ABA-BE4B-F22BB22AE04A}"/>
    <cellStyle name="Note 2 3 6 3" xfId="6561" xr:uid="{00000000-0005-0000-0000-000014210000}"/>
    <cellStyle name="Note 2 3 6 3 2" xfId="14990" xr:uid="{3C49F828-2DD2-4C30-ADB6-707A8AE0A7D0}"/>
    <cellStyle name="Note 2 3 6 4" xfId="10772" xr:uid="{3051FE47-ADB1-4AAA-A417-4031DD1FB8E1}"/>
    <cellStyle name="Note 2 3 7" xfId="2689" xr:uid="{00000000-0005-0000-0000-000015210000}"/>
    <cellStyle name="Note 2 3 7 2" xfId="6974" xr:uid="{00000000-0005-0000-0000-000016210000}"/>
    <cellStyle name="Note 2 3 7 2 2" xfId="15403" xr:uid="{B579BF6E-022A-4F30-BCEA-0D440B697AB7}"/>
    <cellStyle name="Note 2 3 7 3" xfId="11185" xr:uid="{96263BF8-96AC-46DA-B15E-AAC45CCB253C}"/>
    <cellStyle name="Note 2 3 8" xfId="2748" xr:uid="{00000000-0005-0000-0000-000017210000}"/>
    <cellStyle name="Note 2 3 9" xfId="2829" xr:uid="{00000000-0005-0000-0000-000018210000}"/>
    <cellStyle name="Note 2 3 9 2" xfId="7054" xr:uid="{00000000-0005-0000-0000-000019210000}"/>
    <cellStyle name="Note 2 3 9 2 2" xfId="15483" xr:uid="{6E26E471-1680-41DF-AFBF-0F68C6B21D3D}"/>
    <cellStyle name="Note 2 3 9 3" xfId="11265" xr:uid="{B4BFC623-9C1A-4A07-B90D-425C7B06E46D}"/>
    <cellStyle name="Note 2 4" xfId="552" xr:uid="{00000000-0005-0000-0000-00001A210000}"/>
    <cellStyle name="Note 2 4 10" xfId="9122" xr:uid="{3143ED29-7F9A-4383-A9A8-0DFB196AC564}"/>
    <cellStyle name="Note 2 4 2" xfId="1013" xr:uid="{00000000-0005-0000-0000-00001B210000}"/>
    <cellStyle name="Note 2 4 2 2" xfId="3245" xr:uid="{00000000-0005-0000-0000-00001C210000}"/>
    <cellStyle name="Note 2 4 2 2 2" xfId="7469" xr:uid="{00000000-0005-0000-0000-00001D210000}"/>
    <cellStyle name="Note 2 4 2 2 2 2" xfId="15898" xr:uid="{9D6E0C50-A9FE-46B6-B9BB-90F7DE03B082}"/>
    <cellStyle name="Note 2 4 2 2 3" xfId="11680" xr:uid="{7900898A-C8CD-4284-AE85-9D458AD1267D}"/>
    <cellStyle name="Note 2 4 2 3" xfId="5324" xr:uid="{00000000-0005-0000-0000-00001E210000}"/>
    <cellStyle name="Note 2 4 2 3 2" xfId="13753" xr:uid="{6F67AF4D-A018-482B-A9B5-7DBAF65C2091}"/>
    <cellStyle name="Note 2 4 2 4" xfId="9535" xr:uid="{B73FEE40-003B-4330-A4CB-5FD49DAEB803}"/>
    <cellStyle name="Note 2 4 3" xfId="1428" xr:uid="{00000000-0005-0000-0000-00001F210000}"/>
    <cellStyle name="Note 2 4 3 2" xfId="3658" xr:uid="{00000000-0005-0000-0000-000020210000}"/>
    <cellStyle name="Note 2 4 3 2 2" xfId="7882" xr:uid="{00000000-0005-0000-0000-000021210000}"/>
    <cellStyle name="Note 2 4 3 2 2 2" xfId="16311" xr:uid="{B641B9D2-097B-46E5-A20A-3477E4915766}"/>
    <cellStyle name="Note 2 4 3 2 3" xfId="12093" xr:uid="{D6F3FAD3-0096-40A9-BFEB-006CEFC533B2}"/>
    <cellStyle name="Note 2 4 3 3" xfId="5737" xr:uid="{00000000-0005-0000-0000-000022210000}"/>
    <cellStyle name="Note 2 4 3 3 2" xfId="14166" xr:uid="{F8B1503D-6644-4939-86AA-9CD4E541DD93}"/>
    <cellStyle name="Note 2 4 3 4" xfId="9948" xr:uid="{04E5F4C7-F3E0-4B68-AA84-51DC398E26B8}"/>
    <cellStyle name="Note 2 4 4" xfId="1842" xr:uid="{00000000-0005-0000-0000-000023210000}"/>
    <cellStyle name="Note 2 4 4 2" xfId="4071" xr:uid="{00000000-0005-0000-0000-000024210000}"/>
    <cellStyle name="Note 2 4 4 2 2" xfId="8295" xr:uid="{00000000-0005-0000-0000-000025210000}"/>
    <cellStyle name="Note 2 4 4 2 2 2" xfId="16724" xr:uid="{D01C9B0C-5534-42ED-8843-DD6221FE8431}"/>
    <cellStyle name="Note 2 4 4 2 3" xfId="12506" xr:uid="{D4AC999E-F2D8-4EF8-A76A-49FFF4B75B6E}"/>
    <cellStyle name="Note 2 4 4 3" xfId="6150" xr:uid="{00000000-0005-0000-0000-000026210000}"/>
    <cellStyle name="Note 2 4 4 3 2" xfId="14579" xr:uid="{BCF5596A-C100-470E-88B2-8C7F37BDD271}"/>
    <cellStyle name="Note 2 4 4 4" xfId="10361" xr:uid="{C1F20225-7516-4C88-8978-A2857E5ABC2B}"/>
    <cellStyle name="Note 2 4 5" xfId="2255" xr:uid="{00000000-0005-0000-0000-000027210000}"/>
    <cellStyle name="Note 2 4 5 2" xfId="4484" xr:uid="{00000000-0005-0000-0000-000028210000}"/>
    <cellStyle name="Note 2 4 5 2 2" xfId="8708" xr:uid="{00000000-0005-0000-0000-000029210000}"/>
    <cellStyle name="Note 2 4 5 2 2 2" xfId="17137" xr:uid="{3E00357E-6C31-4A3C-BF29-02D9853AFD4C}"/>
    <cellStyle name="Note 2 4 5 2 3" xfId="12919" xr:uid="{0866C4DB-41C3-49A4-901D-9D58972AC62A}"/>
    <cellStyle name="Note 2 4 5 3" xfId="6563" xr:uid="{00000000-0005-0000-0000-00002A210000}"/>
    <cellStyle name="Note 2 4 5 3 2" xfId="14992" xr:uid="{661C56E5-21CB-40D5-8629-96D5398C1F24}"/>
    <cellStyle name="Note 2 4 5 4" xfId="10774" xr:uid="{81D8AD19-D58B-4A27-BECD-2BF8C77A845D}"/>
    <cellStyle name="Note 2 4 6" xfId="2691" xr:uid="{00000000-0005-0000-0000-00002B210000}"/>
    <cellStyle name="Note 2 4 6 2" xfId="6976" xr:uid="{00000000-0005-0000-0000-00002C210000}"/>
    <cellStyle name="Note 2 4 6 2 2" xfId="15405" xr:uid="{6B12FD1A-9CF6-46DA-9859-6C55F1A2BF33}"/>
    <cellStyle name="Note 2 4 6 3" xfId="11187" xr:uid="{5841785C-2419-4BF7-9E27-E72C270EF9F9}"/>
    <cellStyle name="Note 2 4 7" xfId="2750" xr:uid="{00000000-0005-0000-0000-00002D210000}"/>
    <cellStyle name="Note 2 4 8" xfId="2831" xr:uid="{00000000-0005-0000-0000-00002E210000}"/>
    <cellStyle name="Note 2 4 8 2" xfId="7056" xr:uid="{00000000-0005-0000-0000-00002F210000}"/>
    <cellStyle name="Note 2 4 8 2 2" xfId="15485" xr:uid="{6FD488A1-DB76-4B35-AE89-DB860750435C}"/>
    <cellStyle name="Note 2 4 8 3" xfId="11267" xr:uid="{2BF24364-C19D-4156-8CAD-284BEA326854}"/>
    <cellStyle name="Note 2 4 9" xfId="4911" xr:uid="{00000000-0005-0000-0000-000030210000}"/>
    <cellStyle name="Note 2 4 9 2" xfId="13340" xr:uid="{33D62939-F12D-4111-B49F-482A167DED7E}"/>
    <cellStyle name="Note 2 5" xfId="553" xr:uid="{00000000-0005-0000-0000-000031210000}"/>
    <cellStyle name="Note 2 5 10" xfId="9123" xr:uid="{06BB5508-EC59-435D-99DE-8FCF36651345}"/>
    <cellStyle name="Note 2 5 2" xfId="1014" xr:uid="{00000000-0005-0000-0000-000032210000}"/>
    <cellStyle name="Note 2 5 2 2" xfId="3246" xr:uid="{00000000-0005-0000-0000-000033210000}"/>
    <cellStyle name="Note 2 5 2 2 2" xfId="7470" xr:uid="{00000000-0005-0000-0000-000034210000}"/>
    <cellStyle name="Note 2 5 2 2 2 2" xfId="15899" xr:uid="{919C17BF-B42E-4525-A9D3-53BDCCC137B1}"/>
    <cellStyle name="Note 2 5 2 2 3" xfId="11681" xr:uid="{D1E75F12-E207-4B8F-BA07-39837B3748E2}"/>
    <cellStyle name="Note 2 5 2 3" xfId="5325" xr:uid="{00000000-0005-0000-0000-000035210000}"/>
    <cellStyle name="Note 2 5 2 3 2" xfId="13754" xr:uid="{C3D61684-9E36-4AC1-B635-B9F6263DAD66}"/>
    <cellStyle name="Note 2 5 2 4" xfId="9536" xr:uid="{26FD85D4-89A2-40A2-B993-42A11D3B0BB1}"/>
    <cellStyle name="Note 2 5 3" xfId="1429" xr:uid="{00000000-0005-0000-0000-000036210000}"/>
    <cellStyle name="Note 2 5 3 2" xfId="3659" xr:uid="{00000000-0005-0000-0000-000037210000}"/>
    <cellStyle name="Note 2 5 3 2 2" xfId="7883" xr:uid="{00000000-0005-0000-0000-000038210000}"/>
    <cellStyle name="Note 2 5 3 2 2 2" xfId="16312" xr:uid="{D482B619-B94E-4759-9080-CC0CB53366F2}"/>
    <cellStyle name="Note 2 5 3 2 3" xfId="12094" xr:uid="{339E9F04-B449-4987-A7DE-4F586EA07E31}"/>
    <cellStyle name="Note 2 5 3 3" xfId="5738" xr:uid="{00000000-0005-0000-0000-000039210000}"/>
    <cellStyle name="Note 2 5 3 3 2" xfId="14167" xr:uid="{E83A21BE-44BF-4A3F-888B-69E950A3A77F}"/>
    <cellStyle name="Note 2 5 3 4" xfId="9949" xr:uid="{891DBE18-A4DD-4E72-B4C5-D543815E20E9}"/>
    <cellStyle name="Note 2 5 4" xfId="1843" xr:uid="{00000000-0005-0000-0000-00003A210000}"/>
    <cellStyle name="Note 2 5 4 2" xfId="4072" xr:uid="{00000000-0005-0000-0000-00003B210000}"/>
    <cellStyle name="Note 2 5 4 2 2" xfId="8296" xr:uid="{00000000-0005-0000-0000-00003C210000}"/>
    <cellStyle name="Note 2 5 4 2 2 2" xfId="16725" xr:uid="{36922E74-D48B-447C-98FC-3DB1B67AEE04}"/>
    <cellStyle name="Note 2 5 4 2 3" xfId="12507" xr:uid="{8B847F6A-6EF2-4BB1-A85F-B7C8679D270B}"/>
    <cellStyle name="Note 2 5 4 3" xfId="6151" xr:uid="{00000000-0005-0000-0000-00003D210000}"/>
    <cellStyle name="Note 2 5 4 3 2" xfId="14580" xr:uid="{C5FD91A7-7DD7-4F54-ADB4-C9D705E0D710}"/>
    <cellStyle name="Note 2 5 4 4" xfId="10362" xr:uid="{B2874F25-83B2-4CC7-935B-285A0BD97B72}"/>
    <cellStyle name="Note 2 5 5" xfId="2256" xr:uid="{00000000-0005-0000-0000-00003E210000}"/>
    <cellStyle name="Note 2 5 5 2" xfId="4485" xr:uid="{00000000-0005-0000-0000-00003F210000}"/>
    <cellStyle name="Note 2 5 5 2 2" xfId="8709" xr:uid="{00000000-0005-0000-0000-000040210000}"/>
    <cellStyle name="Note 2 5 5 2 2 2" xfId="17138" xr:uid="{F5751219-CD9E-40F7-A00B-6E059C996378}"/>
    <cellStyle name="Note 2 5 5 2 3" xfId="12920" xr:uid="{00D6F4F2-0359-462C-AC2A-DC824F0EF6D4}"/>
    <cellStyle name="Note 2 5 5 3" xfId="6564" xr:uid="{00000000-0005-0000-0000-000041210000}"/>
    <cellStyle name="Note 2 5 5 3 2" xfId="14993" xr:uid="{CBE055DA-2F37-47EF-8EFD-4B88C07D4231}"/>
    <cellStyle name="Note 2 5 5 4" xfId="10775" xr:uid="{26D048C2-B07C-4E16-AEC4-B5D2D2EB7C1B}"/>
    <cellStyle name="Note 2 5 6" xfId="2692" xr:uid="{00000000-0005-0000-0000-000042210000}"/>
    <cellStyle name="Note 2 5 6 2" xfId="6977" xr:uid="{00000000-0005-0000-0000-000043210000}"/>
    <cellStyle name="Note 2 5 6 2 2" xfId="15406" xr:uid="{060AC65B-AAC0-4DBF-ACD5-5AAAD5D3B05F}"/>
    <cellStyle name="Note 2 5 6 3" xfId="11188" xr:uid="{4E488170-ABB9-489B-8A3F-154E9CE3C7CE}"/>
    <cellStyle name="Note 2 5 7" xfId="2751" xr:uid="{00000000-0005-0000-0000-000044210000}"/>
    <cellStyle name="Note 2 5 8" xfId="2832" xr:uid="{00000000-0005-0000-0000-000045210000}"/>
    <cellStyle name="Note 2 5 8 2" xfId="7057" xr:uid="{00000000-0005-0000-0000-000046210000}"/>
    <cellStyle name="Note 2 5 8 2 2" xfId="15486" xr:uid="{33852B52-9015-44AE-8E4A-D6C1B0C23749}"/>
    <cellStyle name="Note 2 5 8 3" xfId="11268" xr:uid="{309BE007-CDAC-42D0-86ED-6FFF9905F33F}"/>
    <cellStyle name="Note 2 5 9" xfId="4912" xr:uid="{00000000-0005-0000-0000-000047210000}"/>
    <cellStyle name="Note 2 5 9 2" xfId="13341" xr:uid="{5D12A833-0AFB-4D8A-B8B4-2F5580B525FB}"/>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D1A9A18A-28A3-4830-AE9D-64BEAF2C92BC}"/>
    <cellStyle name="Note 3 2 10 3" xfId="11269" xr:uid="{AC593418-2B50-4EB1-B0EF-0E9BC1A4BA21}"/>
    <cellStyle name="Note 3 2 11" xfId="4913" xr:uid="{00000000-0005-0000-0000-00004C210000}"/>
    <cellStyle name="Note 3 2 11 2" xfId="13342" xr:uid="{658AC675-3ED1-4EC3-B3DF-34FCFD17ABA9}"/>
    <cellStyle name="Note 3 2 12" xfId="9124" xr:uid="{E8BB5E89-947E-4955-A99F-63AEF189501B}"/>
    <cellStyle name="Note 3 2 2" xfId="556" xr:uid="{00000000-0005-0000-0000-00004D210000}"/>
    <cellStyle name="Note 3 2 2 10" xfId="4914" xr:uid="{00000000-0005-0000-0000-00004E210000}"/>
    <cellStyle name="Note 3 2 2 10 2" xfId="13343" xr:uid="{968AC4E4-386C-42E4-A90C-92B6D1AB8072}"/>
    <cellStyle name="Note 3 2 2 11" xfId="9125" xr:uid="{A3282EE1-D373-4168-9774-B38D191FBB1F}"/>
    <cellStyle name="Note 3 2 2 2" xfId="557" xr:uid="{00000000-0005-0000-0000-00004F210000}"/>
    <cellStyle name="Note 3 2 2 2 10" xfId="9126" xr:uid="{69D27C10-494B-413B-B996-210CB034AF8D}"/>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427E831B-118B-4D6E-8B07-D41FECD4FDB9}"/>
    <cellStyle name="Note 3 2 2 2 2 2 3" xfId="11684" xr:uid="{8CC95922-F853-4D17-B25C-8DC02FB4DD66}"/>
    <cellStyle name="Note 3 2 2 2 2 3" xfId="5328" xr:uid="{00000000-0005-0000-0000-000053210000}"/>
    <cellStyle name="Note 3 2 2 2 2 3 2" xfId="13757" xr:uid="{55DCF89F-AF62-438A-B24C-0B0B60F2985C}"/>
    <cellStyle name="Note 3 2 2 2 2 4" xfId="9539" xr:uid="{6BD663BE-2CFF-4C06-9882-104A6839B02A}"/>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39AB99CD-0393-4C3D-83FA-82DEBD3C0AB8}"/>
    <cellStyle name="Note 3 2 2 2 3 2 3" xfId="12097" xr:uid="{802D7F52-2E3B-42AF-9A7E-B35F20B56E75}"/>
    <cellStyle name="Note 3 2 2 2 3 3" xfId="5741" xr:uid="{00000000-0005-0000-0000-000057210000}"/>
    <cellStyle name="Note 3 2 2 2 3 3 2" xfId="14170" xr:uid="{4FE379A9-2584-4D5C-A9C1-7711AAE682E0}"/>
    <cellStyle name="Note 3 2 2 2 3 4" xfId="9952" xr:uid="{D2B80629-4794-4EFF-9945-44BD0D4D1066}"/>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2D4C0E75-DB85-41BF-8D2A-78F0C61C857C}"/>
    <cellStyle name="Note 3 2 2 2 4 2 3" xfId="12510" xr:uid="{AD673CD8-47EF-4638-9225-CC183A4CCF2E}"/>
    <cellStyle name="Note 3 2 2 2 4 3" xfId="6154" xr:uid="{00000000-0005-0000-0000-00005B210000}"/>
    <cellStyle name="Note 3 2 2 2 4 3 2" xfId="14583" xr:uid="{6100246C-74A5-4EA0-A0E4-4E155AE72AA5}"/>
    <cellStyle name="Note 3 2 2 2 4 4" xfId="10365" xr:uid="{D9669003-FAE2-46C6-A9A2-F43C176B84FE}"/>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E904A418-914D-4CC6-9450-7A76A932E3DD}"/>
    <cellStyle name="Note 3 2 2 2 5 2 3" xfId="12923" xr:uid="{B13A678C-4515-493C-902E-EA899F22153D}"/>
    <cellStyle name="Note 3 2 2 2 5 3" xfId="6567" xr:uid="{00000000-0005-0000-0000-00005F210000}"/>
    <cellStyle name="Note 3 2 2 2 5 3 2" xfId="14996" xr:uid="{CDC1266F-E35D-4305-830C-A1D7096698F8}"/>
    <cellStyle name="Note 3 2 2 2 5 4" xfId="10778" xr:uid="{491BB63D-1DEC-474D-BD6F-1A950388417E}"/>
    <cellStyle name="Note 3 2 2 2 6" xfId="2695" xr:uid="{00000000-0005-0000-0000-000060210000}"/>
    <cellStyle name="Note 3 2 2 2 6 2" xfId="6980" xr:uid="{00000000-0005-0000-0000-000061210000}"/>
    <cellStyle name="Note 3 2 2 2 6 2 2" xfId="15409" xr:uid="{04F63587-8F8C-4D26-B2D8-B1DAABDB85FF}"/>
    <cellStyle name="Note 3 2 2 2 6 3" xfId="11191" xr:uid="{41F9E1DE-424D-49D5-A506-D3CEFEA13B4A}"/>
    <cellStyle name="Note 3 2 2 2 7" xfId="2754" xr:uid="{00000000-0005-0000-0000-000062210000}"/>
    <cellStyle name="Note 3 2 2 2 8" xfId="2835" xr:uid="{00000000-0005-0000-0000-000063210000}"/>
    <cellStyle name="Note 3 2 2 2 8 2" xfId="7060" xr:uid="{00000000-0005-0000-0000-000064210000}"/>
    <cellStyle name="Note 3 2 2 2 8 2 2" xfId="15489" xr:uid="{3F02D35E-7FA4-4251-BFD3-E69BD1A9110C}"/>
    <cellStyle name="Note 3 2 2 2 8 3" xfId="11271" xr:uid="{9FE4A46C-E6B1-4F23-BBDC-02A9A8CCEF55}"/>
    <cellStyle name="Note 3 2 2 2 9" xfId="4915" xr:uid="{00000000-0005-0000-0000-000065210000}"/>
    <cellStyle name="Note 3 2 2 2 9 2" xfId="13344" xr:uid="{6AB86E7E-B803-4CE5-A230-CB839E1627B4}"/>
    <cellStyle name="Note 3 2 2 3" xfId="1016" xr:uid="{00000000-0005-0000-0000-000066210000}"/>
    <cellStyle name="Note 3 2 2 3 2" xfId="3248" xr:uid="{00000000-0005-0000-0000-000067210000}"/>
    <cellStyle name="Note 3 2 2 3 2 2" xfId="7472" xr:uid="{00000000-0005-0000-0000-000068210000}"/>
    <cellStyle name="Note 3 2 2 3 2 2 2" xfId="15901" xr:uid="{C64D28FB-75A3-4830-BC98-98B8A2DA60C6}"/>
    <cellStyle name="Note 3 2 2 3 2 3" xfId="11683" xr:uid="{E75E864E-D9D6-489D-BD67-E48E3B7DEA9A}"/>
    <cellStyle name="Note 3 2 2 3 3" xfId="5327" xr:uid="{00000000-0005-0000-0000-000069210000}"/>
    <cellStyle name="Note 3 2 2 3 3 2" xfId="13756" xr:uid="{00B8FD9A-E2C2-4206-8655-587C7E25B3C0}"/>
    <cellStyle name="Note 3 2 2 3 4" xfId="9538" xr:uid="{EFCBD72A-955F-4B42-9FAE-7AB241149207}"/>
    <cellStyle name="Note 3 2 2 4" xfId="1431" xr:uid="{00000000-0005-0000-0000-00006A210000}"/>
    <cellStyle name="Note 3 2 2 4 2" xfId="3661" xr:uid="{00000000-0005-0000-0000-00006B210000}"/>
    <cellStyle name="Note 3 2 2 4 2 2" xfId="7885" xr:uid="{00000000-0005-0000-0000-00006C210000}"/>
    <cellStyle name="Note 3 2 2 4 2 2 2" xfId="16314" xr:uid="{AF8436EE-B969-49CC-818E-64395B831F81}"/>
    <cellStyle name="Note 3 2 2 4 2 3" xfId="12096" xr:uid="{848AB1B7-EDFD-4F68-9B20-B4B737A337C8}"/>
    <cellStyle name="Note 3 2 2 4 3" xfId="5740" xr:uid="{00000000-0005-0000-0000-00006D210000}"/>
    <cellStyle name="Note 3 2 2 4 3 2" xfId="14169" xr:uid="{F2E0C709-23E2-4C1C-8458-9C6412E6C70F}"/>
    <cellStyle name="Note 3 2 2 4 4" xfId="9951" xr:uid="{8B8999BC-00EE-467C-AECC-D7B74A918801}"/>
    <cellStyle name="Note 3 2 2 5" xfId="1845" xr:uid="{00000000-0005-0000-0000-00006E210000}"/>
    <cellStyle name="Note 3 2 2 5 2" xfId="4074" xr:uid="{00000000-0005-0000-0000-00006F210000}"/>
    <cellStyle name="Note 3 2 2 5 2 2" xfId="8298" xr:uid="{00000000-0005-0000-0000-000070210000}"/>
    <cellStyle name="Note 3 2 2 5 2 2 2" xfId="16727" xr:uid="{533A6B9F-04CD-4452-91BC-4FE71BB6DA0B}"/>
    <cellStyle name="Note 3 2 2 5 2 3" xfId="12509" xr:uid="{3F30178C-D7C0-4BCF-A772-9111CC15EDE2}"/>
    <cellStyle name="Note 3 2 2 5 3" xfId="6153" xr:uid="{00000000-0005-0000-0000-000071210000}"/>
    <cellStyle name="Note 3 2 2 5 3 2" xfId="14582" xr:uid="{898ACA28-EEC8-48D3-8691-F08E87B51C19}"/>
    <cellStyle name="Note 3 2 2 5 4" xfId="10364" xr:uid="{91BBECFA-3558-4DCD-8E45-762E0E094176}"/>
    <cellStyle name="Note 3 2 2 6" xfId="2258" xr:uid="{00000000-0005-0000-0000-000072210000}"/>
    <cellStyle name="Note 3 2 2 6 2" xfId="4487" xr:uid="{00000000-0005-0000-0000-000073210000}"/>
    <cellStyle name="Note 3 2 2 6 2 2" xfId="8711" xr:uid="{00000000-0005-0000-0000-000074210000}"/>
    <cellStyle name="Note 3 2 2 6 2 2 2" xfId="17140" xr:uid="{A4F3990B-B7E3-46B7-89A5-95693AE7162D}"/>
    <cellStyle name="Note 3 2 2 6 2 3" xfId="12922" xr:uid="{50E3346E-4023-4F3C-B540-9F192A49924D}"/>
    <cellStyle name="Note 3 2 2 6 3" xfId="6566" xr:uid="{00000000-0005-0000-0000-000075210000}"/>
    <cellStyle name="Note 3 2 2 6 3 2" xfId="14995" xr:uid="{DB6A94D4-CA21-4376-B974-9CC581B446C1}"/>
    <cellStyle name="Note 3 2 2 6 4" xfId="10777" xr:uid="{1678F37B-2324-4D3A-9E9B-CE15286722D6}"/>
    <cellStyle name="Note 3 2 2 7" xfId="2694" xr:uid="{00000000-0005-0000-0000-000076210000}"/>
    <cellStyle name="Note 3 2 2 7 2" xfId="6979" xr:uid="{00000000-0005-0000-0000-000077210000}"/>
    <cellStyle name="Note 3 2 2 7 2 2" xfId="15408" xr:uid="{EA507C67-AA81-40CB-BA2B-8F84938D6F54}"/>
    <cellStyle name="Note 3 2 2 7 3" xfId="11190" xr:uid="{D5F405BA-06A0-4240-B834-90479C42805E}"/>
    <cellStyle name="Note 3 2 2 8" xfId="2753" xr:uid="{00000000-0005-0000-0000-000078210000}"/>
    <cellStyle name="Note 3 2 2 9" xfId="2834" xr:uid="{00000000-0005-0000-0000-000079210000}"/>
    <cellStyle name="Note 3 2 2 9 2" xfId="7059" xr:uid="{00000000-0005-0000-0000-00007A210000}"/>
    <cellStyle name="Note 3 2 2 9 2 2" xfId="15488" xr:uid="{01B68917-8CE3-4D5C-BD11-590330111249}"/>
    <cellStyle name="Note 3 2 2 9 3" xfId="11270" xr:uid="{D72B481D-7EFB-43FA-A040-11821BC6FC4B}"/>
    <cellStyle name="Note 3 2 3" xfId="558" xr:uid="{00000000-0005-0000-0000-00007B210000}"/>
    <cellStyle name="Note 3 2 3 10" xfId="9127" xr:uid="{FF15BD81-7A6F-46B1-A8EF-9E291ECDA0B3}"/>
    <cellStyle name="Note 3 2 3 2" xfId="1018" xr:uid="{00000000-0005-0000-0000-00007C210000}"/>
    <cellStyle name="Note 3 2 3 2 2" xfId="3250" xr:uid="{00000000-0005-0000-0000-00007D210000}"/>
    <cellStyle name="Note 3 2 3 2 2 2" xfId="7474" xr:uid="{00000000-0005-0000-0000-00007E210000}"/>
    <cellStyle name="Note 3 2 3 2 2 2 2" xfId="15903" xr:uid="{10C87E59-181C-4383-B8FD-77C0BF4EAC64}"/>
    <cellStyle name="Note 3 2 3 2 2 3" xfId="11685" xr:uid="{A745C20B-7408-41CA-AC23-30A09BC9B057}"/>
    <cellStyle name="Note 3 2 3 2 3" xfId="5329" xr:uid="{00000000-0005-0000-0000-00007F210000}"/>
    <cellStyle name="Note 3 2 3 2 3 2" xfId="13758" xr:uid="{755170BE-2563-43E0-B4D8-A73545DF4E15}"/>
    <cellStyle name="Note 3 2 3 2 4" xfId="9540" xr:uid="{96AE65E8-29A6-4657-90E6-47B646703A9D}"/>
    <cellStyle name="Note 3 2 3 3" xfId="1433" xr:uid="{00000000-0005-0000-0000-000080210000}"/>
    <cellStyle name="Note 3 2 3 3 2" xfId="3663" xr:uid="{00000000-0005-0000-0000-000081210000}"/>
    <cellStyle name="Note 3 2 3 3 2 2" xfId="7887" xr:uid="{00000000-0005-0000-0000-000082210000}"/>
    <cellStyle name="Note 3 2 3 3 2 2 2" xfId="16316" xr:uid="{25BE61F2-FAA7-4DCD-A43D-631771DD9AEF}"/>
    <cellStyle name="Note 3 2 3 3 2 3" xfId="12098" xr:uid="{386ECB79-B4A6-4766-B78C-650CFFC8DAF5}"/>
    <cellStyle name="Note 3 2 3 3 3" xfId="5742" xr:uid="{00000000-0005-0000-0000-000083210000}"/>
    <cellStyle name="Note 3 2 3 3 3 2" xfId="14171" xr:uid="{B6316A53-09C6-4FBC-8652-63EB438DC772}"/>
    <cellStyle name="Note 3 2 3 3 4" xfId="9953" xr:uid="{B97BCFCC-79E3-4845-B53C-C5C55460A697}"/>
    <cellStyle name="Note 3 2 3 4" xfId="1847" xr:uid="{00000000-0005-0000-0000-000084210000}"/>
    <cellStyle name="Note 3 2 3 4 2" xfId="4076" xr:uid="{00000000-0005-0000-0000-000085210000}"/>
    <cellStyle name="Note 3 2 3 4 2 2" xfId="8300" xr:uid="{00000000-0005-0000-0000-000086210000}"/>
    <cellStyle name="Note 3 2 3 4 2 2 2" xfId="16729" xr:uid="{D1DCDD84-58A1-4EE3-99FE-EABEAC6C2D7A}"/>
    <cellStyle name="Note 3 2 3 4 2 3" xfId="12511" xr:uid="{9D8E5B4D-0254-40FA-AF4B-2B5A7EF3818C}"/>
    <cellStyle name="Note 3 2 3 4 3" xfId="6155" xr:uid="{00000000-0005-0000-0000-000087210000}"/>
    <cellStyle name="Note 3 2 3 4 3 2" xfId="14584" xr:uid="{697F98BC-B927-489D-96A3-D6D034256050}"/>
    <cellStyle name="Note 3 2 3 4 4" xfId="10366" xr:uid="{A596881F-11B9-4FC6-B14A-A4E9A49AA1D5}"/>
    <cellStyle name="Note 3 2 3 5" xfId="2260" xr:uid="{00000000-0005-0000-0000-000088210000}"/>
    <cellStyle name="Note 3 2 3 5 2" xfId="4489" xr:uid="{00000000-0005-0000-0000-000089210000}"/>
    <cellStyle name="Note 3 2 3 5 2 2" xfId="8713" xr:uid="{00000000-0005-0000-0000-00008A210000}"/>
    <cellStyle name="Note 3 2 3 5 2 2 2" xfId="17142" xr:uid="{7F55D81B-8327-4840-A8D0-D3C72572AE87}"/>
    <cellStyle name="Note 3 2 3 5 2 3" xfId="12924" xr:uid="{0AD92572-1D30-4F7E-B188-A1CF599C48BB}"/>
    <cellStyle name="Note 3 2 3 5 3" xfId="6568" xr:uid="{00000000-0005-0000-0000-00008B210000}"/>
    <cellStyle name="Note 3 2 3 5 3 2" xfId="14997" xr:uid="{654A4804-CB80-440D-9F2F-D18C0D7B299A}"/>
    <cellStyle name="Note 3 2 3 5 4" xfId="10779" xr:uid="{8E82E263-FAE8-41CA-B42F-9BF8D27B4071}"/>
    <cellStyle name="Note 3 2 3 6" xfId="2696" xr:uid="{00000000-0005-0000-0000-00008C210000}"/>
    <cellStyle name="Note 3 2 3 6 2" xfId="6981" xr:uid="{00000000-0005-0000-0000-00008D210000}"/>
    <cellStyle name="Note 3 2 3 6 2 2" xfId="15410" xr:uid="{9387040D-BDAF-4ACB-8533-EC7D6DF6697B}"/>
    <cellStyle name="Note 3 2 3 6 3" xfId="11192" xr:uid="{418E379A-0FEB-45C7-A5DC-5B118924D2BD}"/>
    <cellStyle name="Note 3 2 3 7" xfId="2755" xr:uid="{00000000-0005-0000-0000-00008E210000}"/>
    <cellStyle name="Note 3 2 3 8" xfId="2836" xr:uid="{00000000-0005-0000-0000-00008F210000}"/>
    <cellStyle name="Note 3 2 3 8 2" xfId="7061" xr:uid="{00000000-0005-0000-0000-000090210000}"/>
    <cellStyle name="Note 3 2 3 8 2 2" xfId="15490" xr:uid="{9AFC2601-A528-4530-B2B4-D4EA06C80075}"/>
    <cellStyle name="Note 3 2 3 8 3" xfId="11272" xr:uid="{F2EAA08C-E39E-4BC4-99F7-5873F2CAE087}"/>
    <cellStyle name="Note 3 2 3 9" xfId="4916" xr:uid="{00000000-0005-0000-0000-000091210000}"/>
    <cellStyle name="Note 3 2 3 9 2" xfId="13345" xr:uid="{2A0E899B-4782-4F0E-8A93-A7676DAB7172}"/>
    <cellStyle name="Note 3 2 4" xfId="1015" xr:uid="{00000000-0005-0000-0000-000092210000}"/>
    <cellStyle name="Note 3 2 4 2" xfId="3247" xr:uid="{00000000-0005-0000-0000-000093210000}"/>
    <cellStyle name="Note 3 2 4 2 2" xfId="7471" xr:uid="{00000000-0005-0000-0000-000094210000}"/>
    <cellStyle name="Note 3 2 4 2 2 2" xfId="15900" xr:uid="{C7CC8BEE-FF74-4C11-9316-E7D9C339692B}"/>
    <cellStyle name="Note 3 2 4 2 3" xfId="11682" xr:uid="{601E2ABF-E4B5-404C-8FD5-EE82229951BA}"/>
    <cellStyle name="Note 3 2 4 3" xfId="5326" xr:uid="{00000000-0005-0000-0000-000095210000}"/>
    <cellStyle name="Note 3 2 4 3 2" xfId="13755" xr:uid="{33C64E1D-431A-4757-A0EB-E44028B59052}"/>
    <cellStyle name="Note 3 2 4 4" xfId="9537" xr:uid="{39C15B44-FB9C-4751-ABF9-75A7732E650A}"/>
    <cellStyle name="Note 3 2 5" xfId="1430" xr:uid="{00000000-0005-0000-0000-000096210000}"/>
    <cellStyle name="Note 3 2 5 2" xfId="3660" xr:uid="{00000000-0005-0000-0000-000097210000}"/>
    <cellStyle name="Note 3 2 5 2 2" xfId="7884" xr:uid="{00000000-0005-0000-0000-000098210000}"/>
    <cellStyle name="Note 3 2 5 2 2 2" xfId="16313" xr:uid="{537A0D94-CFD2-4B08-9804-BDA8078A227E}"/>
    <cellStyle name="Note 3 2 5 2 3" xfId="12095" xr:uid="{B31A2E76-29AE-46CB-92B1-1DD34F8ED429}"/>
    <cellStyle name="Note 3 2 5 3" xfId="5739" xr:uid="{00000000-0005-0000-0000-000099210000}"/>
    <cellStyle name="Note 3 2 5 3 2" xfId="14168" xr:uid="{8AE95352-E5D4-402E-B0D8-0ABC3DE9CA45}"/>
    <cellStyle name="Note 3 2 5 4" xfId="9950" xr:uid="{1E4607EC-F7ED-4EAF-B26B-A1BCA3904207}"/>
    <cellStyle name="Note 3 2 6" xfId="1844" xr:uid="{00000000-0005-0000-0000-00009A210000}"/>
    <cellStyle name="Note 3 2 6 2" xfId="4073" xr:uid="{00000000-0005-0000-0000-00009B210000}"/>
    <cellStyle name="Note 3 2 6 2 2" xfId="8297" xr:uid="{00000000-0005-0000-0000-00009C210000}"/>
    <cellStyle name="Note 3 2 6 2 2 2" xfId="16726" xr:uid="{74029F7D-919F-4422-962A-1A2167E11556}"/>
    <cellStyle name="Note 3 2 6 2 3" xfId="12508" xr:uid="{E3EAC100-E8E7-48C3-B26D-A96A88757BE2}"/>
    <cellStyle name="Note 3 2 6 3" xfId="6152" xr:uid="{00000000-0005-0000-0000-00009D210000}"/>
    <cellStyle name="Note 3 2 6 3 2" xfId="14581" xr:uid="{A2DAB7EB-673C-47A8-88B2-554E1E98A62D}"/>
    <cellStyle name="Note 3 2 6 4" xfId="10363" xr:uid="{0462271A-F1E4-4450-94A9-32CE4CF3FC41}"/>
    <cellStyle name="Note 3 2 7" xfId="2257" xr:uid="{00000000-0005-0000-0000-00009E210000}"/>
    <cellStyle name="Note 3 2 7 2" xfId="4486" xr:uid="{00000000-0005-0000-0000-00009F210000}"/>
    <cellStyle name="Note 3 2 7 2 2" xfId="8710" xr:uid="{00000000-0005-0000-0000-0000A0210000}"/>
    <cellStyle name="Note 3 2 7 2 2 2" xfId="17139" xr:uid="{D8E0242D-118A-40C0-A70F-DA8D56CC322F}"/>
    <cellStyle name="Note 3 2 7 2 3" xfId="12921" xr:uid="{1A9B70A3-6DDB-4357-AAF2-B7DCDD4B5788}"/>
    <cellStyle name="Note 3 2 7 3" xfId="6565" xr:uid="{00000000-0005-0000-0000-0000A1210000}"/>
    <cellStyle name="Note 3 2 7 3 2" xfId="14994" xr:uid="{0D9D264F-E2AE-45A2-8195-EFD23A43E348}"/>
    <cellStyle name="Note 3 2 7 4" xfId="10776" xr:uid="{F2670871-8D78-44F5-A42A-CEEF8C37FB64}"/>
    <cellStyle name="Note 3 2 8" xfId="2693" xr:uid="{00000000-0005-0000-0000-0000A2210000}"/>
    <cellStyle name="Note 3 2 8 2" xfId="6978" xr:uid="{00000000-0005-0000-0000-0000A3210000}"/>
    <cellStyle name="Note 3 2 8 2 2" xfId="15407" xr:uid="{AE00BB6C-9F37-4DCA-864C-D2126F957765}"/>
    <cellStyle name="Note 3 2 8 3" xfId="11189" xr:uid="{21FFACFD-91C8-43BA-B696-9486216AD4CB}"/>
    <cellStyle name="Note 3 2 9" xfId="2752" xr:uid="{00000000-0005-0000-0000-0000A4210000}"/>
    <cellStyle name="Note 3 3" xfId="559" xr:uid="{00000000-0005-0000-0000-0000A5210000}"/>
    <cellStyle name="Note 3 3 10" xfId="4917" xr:uid="{00000000-0005-0000-0000-0000A6210000}"/>
    <cellStyle name="Note 3 3 10 2" xfId="13346" xr:uid="{7897E814-7A9D-4195-88A6-BEB866D75241}"/>
    <cellStyle name="Note 3 3 11" xfId="9128" xr:uid="{9422233B-9180-4AD2-AF86-912E00A03605}"/>
    <cellStyle name="Note 3 3 2" xfId="560" xr:uid="{00000000-0005-0000-0000-0000A7210000}"/>
    <cellStyle name="Note 3 3 2 10" xfId="9129" xr:uid="{5EA11286-BF79-4110-A36D-144CBC34E71A}"/>
    <cellStyle name="Note 3 3 2 2" xfId="1020" xr:uid="{00000000-0005-0000-0000-0000A8210000}"/>
    <cellStyle name="Note 3 3 2 2 2" xfId="3252" xr:uid="{00000000-0005-0000-0000-0000A9210000}"/>
    <cellStyle name="Note 3 3 2 2 2 2" xfId="7476" xr:uid="{00000000-0005-0000-0000-0000AA210000}"/>
    <cellStyle name="Note 3 3 2 2 2 2 2" xfId="15905" xr:uid="{26D19B57-9E95-43E8-A114-37F0CB88E07E}"/>
    <cellStyle name="Note 3 3 2 2 2 3" xfId="11687" xr:uid="{301E676A-5E14-4A70-8D0A-47569E3B6C26}"/>
    <cellStyle name="Note 3 3 2 2 3" xfId="5331" xr:uid="{00000000-0005-0000-0000-0000AB210000}"/>
    <cellStyle name="Note 3 3 2 2 3 2" xfId="13760" xr:uid="{122BFB35-9845-4B7E-B421-FC00BA5FD341}"/>
    <cellStyle name="Note 3 3 2 2 4" xfId="9542" xr:uid="{A291DD95-3EDF-45E9-872B-F26BCA623F97}"/>
    <cellStyle name="Note 3 3 2 3" xfId="1435" xr:uid="{00000000-0005-0000-0000-0000AC210000}"/>
    <cellStyle name="Note 3 3 2 3 2" xfId="3665" xr:uid="{00000000-0005-0000-0000-0000AD210000}"/>
    <cellStyle name="Note 3 3 2 3 2 2" xfId="7889" xr:uid="{00000000-0005-0000-0000-0000AE210000}"/>
    <cellStyle name="Note 3 3 2 3 2 2 2" xfId="16318" xr:uid="{1D874A90-6EA6-4D64-97E2-4E275BA58C5E}"/>
    <cellStyle name="Note 3 3 2 3 2 3" xfId="12100" xr:uid="{712E4880-228D-45C0-9DE3-844A0ED3A029}"/>
    <cellStyle name="Note 3 3 2 3 3" xfId="5744" xr:uid="{00000000-0005-0000-0000-0000AF210000}"/>
    <cellStyle name="Note 3 3 2 3 3 2" xfId="14173" xr:uid="{0452CA7C-4408-4448-B96B-0448FBD42096}"/>
    <cellStyle name="Note 3 3 2 3 4" xfId="9955" xr:uid="{711FAAFD-DEE6-462C-8C0B-93140EBB595B}"/>
    <cellStyle name="Note 3 3 2 4" xfId="1849" xr:uid="{00000000-0005-0000-0000-0000B0210000}"/>
    <cellStyle name="Note 3 3 2 4 2" xfId="4078" xr:uid="{00000000-0005-0000-0000-0000B1210000}"/>
    <cellStyle name="Note 3 3 2 4 2 2" xfId="8302" xr:uid="{00000000-0005-0000-0000-0000B2210000}"/>
    <cellStyle name="Note 3 3 2 4 2 2 2" xfId="16731" xr:uid="{B5C37358-C1E1-4DD8-94F9-9907CD997ED0}"/>
    <cellStyle name="Note 3 3 2 4 2 3" xfId="12513" xr:uid="{CBD95F38-DE0E-4881-BBFF-2775B60DD75A}"/>
    <cellStyle name="Note 3 3 2 4 3" xfId="6157" xr:uid="{00000000-0005-0000-0000-0000B3210000}"/>
    <cellStyle name="Note 3 3 2 4 3 2" xfId="14586" xr:uid="{A828107D-2258-4DAA-ADBB-CA7139C9A97C}"/>
    <cellStyle name="Note 3 3 2 4 4" xfId="10368" xr:uid="{AB664873-1599-486B-BBF4-66C956D7CB70}"/>
    <cellStyle name="Note 3 3 2 5" xfId="2262" xr:uid="{00000000-0005-0000-0000-0000B4210000}"/>
    <cellStyle name="Note 3 3 2 5 2" xfId="4491" xr:uid="{00000000-0005-0000-0000-0000B5210000}"/>
    <cellStyle name="Note 3 3 2 5 2 2" xfId="8715" xr:uid="{00000000-0005-0000-0000-0000B6210000}"/>
    <cellStyle name="Note 3 3 2 5 2 2 2" xfId="17144" xr:uid="{65980688-BEFE-474C-B100-34E003784668}"/>
    <cellStyle name="Note 3 3 2 5 2 3" xfId="12926" xr:uid="{62B198F9-2CF1-4D34-8EC1-0EB15B00E973}"/>
    <cellStyle name="Note 3 3 2 5 3" xfId="6570" xr:uid="{00000000-0005-0000-0000-0000B7210000}"/>
    <cellStyle name="Note 3 3 2 5 3 2" xfId="14999" xr:uid="{F89D8669-E516-412F-A8E6-A755C0DDE927}"/>
    <cellStyle name="Note 3 3 2 5 4" xfId="10781" xr:uid="{8804BF0C-2BA5-44C1-83D9-DAC0BD52138D}"/>
    <cellStyle name="Note 3 3 2 6" xfId="2698" xr:uid="{00000000-0005-0000-0000-0000B8210000}"/>
    <cellStyle name="Note 3 3 2 6 2" xfId="6983" xr:uid="{00000000-0005-0000-0000-0000B9210000}"/>
    <cellStyle name="Note 3 3 2 6 2 2" xfId="15412" xr:uid="{E653295F-B899-4E07-A2F6-A259DF4878C5}"/>
    <cellStyle name="Note 3 3 2 6 3" xfId="11194" xr:uid="{9C15D560-F967-40A8-8EC3-90247BB5F1EE}"/>
    <cellStyle name="Note 3 3 2 7" xfId="2757" xr:uid="{00000000-0005-0000-0000-0000BA210000}"/>
    <cellStyle name="Note 3 3 2 8" xfId="2838" xr:uid="{00000000-0005-0000-0000-0000BB210000}"/>
    <cellStyle name="Note 3 3 2 8 2" xfId="7063" xr:uid="{00000000-0005-0000-0000-0000BC210000}"/>
    <cellStyle name="Note 3 3 2 8 2 2" xfId="15492" xr:uid="{59359EEB-3C4C-47D8-BF03-54C25CCC63D5}"/>
    <cellStyle name="Note 3 3 2 8 3" xfId="11274" xr:uid="{126F0CF5-EF4D-489D-A71B-1F086B02D2E6}"/>
    <cellStyle name="Note 3 3 2 9" xfId="4918" xr:uid="{00000000-0005-0000-0000-0000BD210000}"/>
    <cellStyle name="Note 3 3 2 9 2" xfId="13347" xr:uid="{C4E57614-C5A4-4555-B08E-62CD33C7F0D0}"/>
    <cellStyle name="Note 3 3 3" xfId="1019" xr:uid="{00000000-0005-0000-0000-0000BE210000}"/>
    <cellStyle name="Note 3 3 3 2" xfId="3251" xr:uid="{00000000-0005-0000-0000-0000BF210000}"/>
    <cellStyle name="Note 3 3 3 2 2" xfId="7475" xr:uid="{00000000-0005-0000-0000-0000C0210000}"/>
    <cellStyle name="Note 3 3 3 2 2 2" xfId="15904" xr:uid="{BB5B9D49-9B22-4905-83DE-C667321F6B2D}"/>
    <cellStyle name="Note 3 3 3 2 3" xfId="11686" xr:uid="{26C3560F-AD86-4413-9540-EF2B46FD77CA}"/>
    <cellStyle name="Note 3 3 3 3" xfId="5330" xr:uid="{00000000-0005-0000-0000-0000C1210000}"/>
    <cellStyle name="Note 3 3 3 3 2" xfId="13759" xr:uid="{1E9F83C5-87C8-4A20-8098-96F94BF82920}"/>
    <cellStyle name="Note 3 3 3 4" xfId="9541" xr:uid="{37F04832-55D7-4B7A-846E-9523676E2A67}"/>
    <cellStyle name="Note 3 3 4" xfId="1434" xr:uid="{00000000-0005-0000-0000-0000C2210000}"/>
    <cellStyle name="Note 3 3 4 2" xfId="3664" xr:uid="{00000000-0005-0000-0000-0000C3210000}"/>
    <cellStyle name="Note 3 3 4 2 2" xfId="7888" xr:uid="{00000000-0005-0000-0000-0000C4210000}"/>
    <cellStyle name="Note 3 3 4 2 2 2" xfId="16317" xr:uid="{83BFCF6B-6513-4916-9066-D3B6AD7F1E65}"/>
    <cellStyle name="Note 3 3 4 2 3" xfId="12099" xr:uid="{6F76D9B8-5EB3-4EB5-9A2D-23717134004B}"/>
    <cellStyle name="Note 3 3 4 3" xfId="5743" xr:uid="{00000000-0005-0000-0000-0000C5210000}"/>
    <cellStyle name="Note 3 3 4 3 2" xfId="14172" xr:uid="{98174B5E-DB3C-4C54-A9F0-8D835A859820}"/>
    <cellStyle name="Note 3 3 4 4" xfId="9954" xr:uid="{817826BF-F551-4468-ABCA-CDB4A521C343}"/>
    <cellStyle name="Note 3 3 5" xfId="1848" xr:uid="{00000000-0005-0000-0000-0000C6210000}"/>
    <cellStyle name="Note 3 3 5 2" xfId="4077" xr:uid="{00000000-0005-0000-0000-0000C7210000}"/>
    <cellStyle name="Note 3 3 5 2 2" xfId="8301" xr:uid="{00000000-0005-0000-0000-0000C8210000}"/>
    <cellStyle name="Note 3 3 5 2 2 2" xfId="16730" xr:uid="{169D7355-3C4D-4E3F-AD03-14FEE4B05B47}"/>
    <cellStyle name="Note 3 3 5 2 3" xfId="12512" xr:uid="{D2D31B17-D948-4717-8B76-70512814BCB9}"/>
    <cellStyle name="Note 3 3 5 3" xfId="6156" xr:uid="{00000000-0005-0000-0000-0000C9210000}"/>
    <cellStyle name="Note 3 3 5 3 2" xfId="14585" xr:uid="{15A63C19-8E1C-41B9-9CE8-DFAB000229AA}"/>
    <cellStyle name="Note 3 3 5 4" xfId="10367" xr:uid="{BB97EF9D-9595-4656-AB7C-C12803A6D197}"/>
    <cellStyle name="Note 3 3 6" xfId="2261" xr:uid="{00000000-0005-0000-0000-0000CA210000}"/>
    <cellStyle name="Note 3 3 6 2" xfId="4490" xr:uid="{00000000-0005-0000-0000-0000CB210000}"/>
    <cellStyle name="Note 3 3 6 2 2" xfId="8714" xr:uid="{00000000-0005-0000-0000-0000CC210000}"/>
    <cellStyle name="Note 3 3 6 2 2 2" xfId="17143" xr:uid="{C8A134E2-D7D3-4EB9-BA31-549448F0023B}"/>
    <cellStyle name="Note 3 3 6 2 3" xfId="12925" xr:uid="{18B139F5-BD6C-4CB7-A121-F1703A0FD92D}"/>
    <cellStyle name="Note 3 3 6 3" xfId="6569" xr:uid="{00000000-0005-0000-0000-0000CD210000}"/>
    <cellStyle name="Note 3 3 6 3 2" xfId="14998" xr:uid="{CCC6C887-237B-4969-B8FA-262688EE1207}"/>
    <cellStyle name="Note 3 3 6 4" xfId="10780" xr:uid="{C40D6DFD-E413-4B92-9616-8A1DBC1A2FC8}"/>
    <cellStyle name="Note 3 3 7" xfId="2697" xr:uid="{00000000-0005-0000-0000-0000CE210000}"/>
    <cellStyle name="Note 3 3 7 2" xfId="6982" xr:uid="{00000000-0005-0000-0000-0000CF210000}"/>
    <cellStyle name="Note 3 3 7 2 2" xfId="15411" xr:uid="{33872D49-37A0-467A-9CC0-A0B84629DB37}"/>
    <cellStyle name="Note 3 3 7 3" xfId="11193" xr:uid="{004EDBE8-D0FA-4F7C-9CB3-65362AFA1D7B}"/>
    <cellStyle name="Note 3 3 8" xfId="2756" xr:uid="{00000000-0005-0000-0000-0000D0210000}"/>
    <cellStyle name="Note 3 3 9" xfId="2837" xr:uid="{00000000-0005-0000-0000-0000D1210000}"/>
    <cellStyle name="Note 3 3 9 2" xfId="7062" xr:uid="{00000000-0005-0000-0000-0000D2210000}"/>
    <cellStyle name="Note 3 3 9 2 2" xfId="15491" xr:uid="{5E84D877-D353-487C-AF7C-B255026E0FB3}"/>
    <cellStyle name="Note 3 3 9 3" xfId="11273" xr:uid="{D1EE4AE9-6542-4CFE-959F-66F3CE13C052}"/>
    <cellStyle name="Note 3 4" xfId="561" xr:uid="{00000000-0005-0000-0000-0000D3210000}"/>
    <cellStyle name="Note 3 4 10" xfId="9130" xr:uid="{5246C9BD-BF78-4931-92B7-F055D796273B}"/>
    <cellStyle name="Note 3 4 2" xfId="1021" xr:uid="{00000000-0005-0000-0000-0000D4210000}"/>
    <cellStyle name="Note 3 4 2 2" xfId="3253" xr:uid="{00000000-0005-0000-0000-0000D5210000}"/>
    <cellStyle name="Note 3 4 2 2 2" xfId="7477" xr:uid="{00000000-0005-0000-0000-0000D6210000}"/>
    <cellStyle name="Note 3 4 2 2 2 2" xfId="15906" xr:uid="{8278570B-9360-44C5-AC0C-EBB1E344D18A}"/>
    <cellStyle name="Note 3 4 2 2 3" xfId="11688" xr:uid="{BA77447D-FF26-48E7-959F-E89064764F5B}"/>
    <cellStyle name="Note 3 4 2 3" xfId="5332" xr:uid="{00000000-0005-0000-0000-0000D7210000}"/>
    <cellStyle name="Note 3 4 2 3 2" xfId="13761" xr:uid="{B5DB37B1-B731-499A-8247-680E4FAD1993}"/>
    <cellStyle name="Note 3 4 2 4" xfId="9543" xr:uid="{84D203F4-BF40-4A82-B9FE-AD18EED0FA62}"/>
    <cellStyle name="Note 3 4 3" xfId="1436" xr:uid="{00000000-0005-0000-0000-0000D8210000}"/>
    <cellStyle name="Note 3 4 3 2" xfId="3666" xr:uid="{00000000-0005-0000-0000-0000D9210000}"/>
    <cellStyle name="Note 3 4 3 2 2" xfId="7890" xr:uid="{00000000-0005-0000-0000-0000DA210000}"/>
    <cellStyle name="Note 3 4 3 2 2 2" xfId="16319" xr:uid="{8DEA8C29-BDCE-48D6-A16F-67FD1CF5A5B2}"/>
    <cellStyle name="Note 3 4 3 2 3" xfId="12101" xr:uid="{A85D377B-763D-406F-89DD-7EAA06A69E1B}"/>
    <cellStyle name="Note 3 4 3 3" xfId="5745" xr:uid="{00000000-0005-0000-0000-0000DB210000}"/>
    <cellStyle name="Note 3 4 3 3 2" xfId="14174" xr:uid="{1AC4292E-5CE5-4858-9297-E94BCA7B834C}"/>
    <cellStyle name="Note 3 4 3 4" xfId="9956" xr:uid="{30D3E5B5-97CD-4BEE-8F17-9FC2D9632A0E}"/>
    <cellStyle name="Note 3 4 4" xfId="1850" xr:uid="{00000000-0005-0000-0000-0000DC210000}"/>
    <cellStyle name="Note 3 4 4 2" xfId="4079" xr:uid="{00000000-0005-0000-0000-0000DD210000}"/>
    <cellStyle name="Note 3 4 4 2 2" xfId="8303" xr:uid="{00000000-0005-0000-0000-0000DE210000}"/>
    <cellStyle name="Note 3 4 4 2 2 2" xfId="16732" xr:uid="{557583DA-6502-4404-A4FF-3F5280C5587C}"/>
    <cellStyle name="Note 3 4 4 2 3" xfId="12514" xr:uid="{AC5E4848-E649-46C6-8FA1-B027A4056517}"/>
    <cellStyle name="Note 3 4 4 3" xfId="6158" xr:uid="{00000000-0005-0000-0000-0000DF210000}"/>
    <cellStyle name="Note 3 4 4 3 2" xfId="14587" xr:uid="{513C9FF9-7A7E-42E7-81C4-022710C4D9A9}"/>
    <cellStyle name="Note 3 4 4 4" xfId="10369" xr:uid="{57653E5B-47AE-4B3E-A7CA-9313AB2977CC}"/>
    <cellStyle name="Note 3 4 5" xfId="2263" xr:uid="{00000000-0005-0000-0000-0000E0210000}"/>
    <cellStyle name="Note 3 4 5 2" xfId="4492" xr:uid="{00000000-0005-0000-0000-0000E1210000}"/>
    <cellStyle name="Note 3 4 5 2 2" xfId="8716" xr:uid="{00000000-0005-0000-0000-0000E2210000}"/>
    <cellStyle name="Note 3 4 5 2 2 2" xfId="17145" xr:uid="{3E347E40-F5A5-418B-BE8E-E2E7D3B2B38C}"/>
    <cellStyle name="Note 3 4 5 2 3" xfId="12927" xr:uid="{BF78E321-4DBB-4099-8B72-88706EE327BD}"/>
    <cellStyle name="Note 3 4 5 3" xfId="6571" xr:uid="{00000000-0005-0000-0000-0000E3210000}"/>
    <cellStyle name="Note 3 4 5 3 2" xfId="15000" xr:uid="{CCD92A0C-D096-43DA-9D93-445EDDE0F5D2}"/>
    <cellStyle name="Note 3 4 5 4" xfId="10782" xr:uid="{D3C99DE4-DFFD-45EC-8BA7-327E1A67FE9F}"/>
    <cellStyle name="Note 3 4 6" xfId="2699" xr:uid="{00000000-0005-0000-0000-0000E4210000}"/>
    <cellStyle name="Note 3 4 6 2" xfId="6984" xr:uid="{00000000-0005-0000-0000-0000E5210000}"/>
    <cellStyle name="Note 3 4 6 2 2" xfId="15413" xr:uid="{357DB633-4BB5-40AE-AA13-BED6F892E504}"/>
    <cellStyle name="Note 3 4 6 3" xfId="11195" xr:uid="{B3652C77-B48C-45AC-8445-715EE1E6F174}"/>
    <cellStyle name="Note 3 4 7" xfId="2758" xr:uid="{00000000-0005-0000-0000-0000E6210000}"/>
    <cellStyle name="Note 3 4 8" xfId="2839" xr:uid="{00000000-0005-0000-0000-0000E7210000}"/>
    <cellStyle name="Note 3 4 8 2" xfId="7064" xr:uid="{00000000-0005-0000-0000-0000E8210000}"/>
    <cellStyle name="Note 3 4 8 2 2" xfId="15493" xr:uid="{4A436278-8090-4042-941A-766AA14FAF6E}"/>
    <cellStyle name="Note 3 4 8 3" xfId="11275" xr:uid="{CAC49C2C-6000-46FA-AD07-814C152F21AA}"/>
    <cellStyle name="Note 3 4 9" xfId="4919" xr:uid="{00000000-0005-0000-0000-0000E9210000}"/>
    <cellStyle name="Note 3 4 9 2" xfId="13348" xr:uid="{7668E0BB-0264-461A-BA2A-BB54615CD03E}"/>
    <cellStyle name="Note 3 5" xfId="562" xr:uid="{00000000-0005-0000-0000-0000EA210000}"/>
    <cellStyle name="Note 3 5 10" xfId="9131" xr:uid="{A7A7B137-8DCE-44BF-8B26-618184903761}"/>
    <cellStyle name="Note 3 5 2" xfId="1022" xr:uid="{00000000-0005-0000-0000-0000EB210000}"/>
    <cellStyle name="Note 3 5 2 2" xfId="3254" xr:uid="{00000000-0005-0000-0000-0000EC210000}"/>
    <cellStyle name="Note 3 5 2 2 2" xfId="7478" xr:uid="{00000000-0005-0000-0000-0000ED210000}"/>
    <cellStyle name="Note 3 5 2 2 2 2" xfId="15907" xr:uid="{7BFBB9E2-DB73-42B5-931A-C6169628C7F8}"/>
    <cellStyle name="Note 3 5 2 2 3" xfId="11689" xr:uid="{D0F84943-921B-492C-8024-9B113D023BC7}"/>
    <cellStyle name="Note 3 5 2 3" xfId="5333" xr:uid="{00000000-0005-0000-0000-0000EE210000}"/>
    <cellStyle name="Note 3 5 2 3 2" xfId="13762" xr:uid="{C4AD3E88-CA0E-4F2B-BA4E-D0E5EC412023}"/>
    <cellStyle name="Note 3 5 2 4" xfId="9544" xr:uid="{3CADAEF6-FE42-4176-8546-B02F8434F29C}"/>
    <cellStyle name="Note 3 5 3" xfId="1437" xr:uid="{00000000-0005-0000-0000-0000EF210000}"/>
    <cellStyle name="Note 3 5 3 2" xfId="3667" xr:uid="{00000000-0005-0000-0000-0000F0210000}"/>
    <cellStyle name="Note 3 5 3 2 2" xfId="7891" xr:uid="{00000000-0005-0000-0000-0000F1210000}"/>
    <cellStyle name="Note 3 5 3 2 2 2" xfId="16320" xr:uid="{506D4259-194B-40B6-B3BC-8A4509BAB230}"/>
    <cellStyle name="Note 3 5 3 2 3" xfId="12102" xr:uid="{C7613634-0702-40C5-AFF9-DB858A42E226}"/>
    <cellStyle name="Note 3 5 3 3" xfId="5746" xr:uid="{00000000-0005-0000-0000-0000F2210000}"/>
    <cellStyle name="Note 3 5 3 3 2" xfId="14175" xr:uid="{04FCAB73-E30C-4F59-AF6A-0F791CAE0368}"/>
    <cellStyle name="Note 3 5 3 4" xfId="9957" xr:uid="{C7A4D62F-F296-43FE-BF41-8D9073FC5FA6}"/>
    <cellStyle name="Note 3 5 4" xfId="1851" xr:uid="{00000000-0005-0000-0000-0000F3210000}"/>
    <cellStyle name="Note 3 5 4 2" xfId="4080" xr:uid="{00000000-0005-0000-0000-0000F4210000}"/>
    <cellStyle name="Note 3 5 4 2 2" xfId="8304" xr:uid="{00000000-0005-0000-0000-0000F5210000}"/>
    <cellStyle name="Note 3 5 4 2 2 2" xfId="16733" xr:uid="{809A7FFD-C12C-4783-8445-7540DABF8BE6}"/>
    <cellStyle name="Note 3 5 4 2 3" xfId="12515" xr:uid="{7269EDBE-7196-4563-A27B-B2C733ABE637}"/>
    <cellStyle name="Note 3 5 4 3" xfId="6159" xr:uid="{00000000-0005-0000-0000-0000F6210000}"/>
    <cellStyle name="Note 3 5 4 3 2" xfId="14588" xr:uid="{9958A784-15D8-419A-BE07-83D3F69797B9}"/>
    <cellStyle name="Note 3 5 4 4" xfId="10370" xr:uid="{6E8B1547-28E9-4DA5-B76B-7D5431DEC46C}"/>
    <cellStyle name="Note 3 5 5" xfId="2264" xr:uid="{00000000-0005-0000-0000-0000F7210000}"/>
    <cellStyle name="Note 3 5 5 2" xfId="4493" xr:uid="{00000000-0005-0000-0000-0000F8210000}"/>
    <cellStyle name="Note 3 5 5 2 2" xfId="8717" xr:uid="{00000000-0005-0000-0000-0000F9210000}"/>
    <cellStyle name="Note 3 5 5 2 2 2" xfId="17146" xr:uid="{9EB78213-5984-46CE-97D0-F60E30374AD1}"/>
    <cellStyle name="Note 3 5 5 2 3" xfId="12928" xr:uid="{676FD5BA-8670-4FE9-8F45-90C9019A44A6}"/>
    <cellStyle name="Note 3 5 5 3" xfId="6572" xr:uid="{00000000-0005-0000-0000-0000FA210000}"/>
    <cellStyle name="Note 3 5 5 3 2" xfId="15001" xr:uid="{4C4305D1-DDF2-4D6E-85BD-5D0041544E60}"/>
    <cellStyle name="Note 3 5 5 4" xfId="10783" xr:uid="{DE6D067F-D01B-4049-8465-831FF2DA4F58}"/>
    <cellStyle name="Note 3 5 6" xfId="2700" xr:uid="{00000000-0005-0000-0000-0000FB210000}"/>
    <cellStyle name="Note 3 5 6 2" xfId="6985" xr:uid="{00000000-0005-0000-0000-0000FC210000}"/>
    <cellStyle name="Note 3 5 6 2 2" xfId="15414" xr:uid="{E3516C56-0494-40E2-B28A-C7F216AA6C8C}"/>
    <cellStyle name="Note 3 5 6 3" xfId="11196" xr:uid="{D846080D-417F-4D54-AFF1-05D0E4666622}"/>
    <cellStyle name="Note 3 5 7" xfId="2759" xr:uid="{00000000-0005-0000-0000-0000FD210000}"/>
    <cellStyle name="Note 3 5 8" xfId="2840" xr:uid="{00000000-0005-0000-0000-0000FE210000}"/>
    <cellStyle name="Note 3 5 8 2" xfId="7065" xr:uid="{00000000-0005-0000-0000-0000FF210000}"/>
    <cellStyle name="Note 3 5 8 2 2" xfId="15494" xr:uid="{57E18882-9073-4D93-9846-C75F07383D0F}"/>
    <cellStyle name="Note 3 5 8 3" xfId="11276" xr:uid="{1417EDF1-8E2B-4F62-90B8-08C005A64A1D}"/>
    <cellStyle name="Note 3 5 9" xfId="4920" xr:uid="{00000000-0005-0000-0000-000000220000}"/>
    <cellStyle name="Note 3 5 9 2" xfId="13349" xr:uid="{777266DD-9D56-4E79-9230-006955903919}"/>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5DD8572E-0FBE-4A42-A59A-F605069B0749}"/>
    <cellStyle name="Percent 4" xfId="4503" xr:uid="{00000000-0005-0000-0000-000006220000}"/>
    <cellStyle name="Percent 4 2" xfId="12935" xr:uid="{38BA9260-9F2A-43F4-85BC-B12792AAF147}"/>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3" t="s">
        <v>582</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5"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5" t="s">
        <v>1389</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5" t="s">
        <v>1393</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15" customHeight="1">
      <c r="A14" s="327"/>
      <c r="B14" s="325"/>
      <c r="C14" s="326"/>
      <c r="E14" s="1861" t="s">
        <v>2169</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1521</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2170</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2409</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2410</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689</v>
      </c>
      <c r="F42" s="1861" t="s">
        <v>1359</v>
      </c>
    </row>
    <row r="43" spans="1:38" s="1861"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8" t="s">
        <v>1473</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1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1474</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7" t="s">
        <v>1475</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1" t="s">
        <v>1361</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541</v>
      </c>
      <c r="G69" s="1861" t="s">
        <v>1362</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1" t="s">
        <v>1363</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541</v>
      </c>
      <c r="G74" s="1861" t="s">
        <v>1364</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1365</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1366</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1367</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1368</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1369</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1370</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1" t="s">
        <v>1371</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1" t="s">
        <v>1346</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1451</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1450</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0" t="s">
        <v>1440</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1489</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4" t="s">
        <v>1878</v>
      </c>
      <c r="B1" s="3264"/>
      <c r="C1" s="3264"/>
      <c r="D1" s="3264"/>
      <c r="E1" s="3264"/>
      <c r="F1" s="3264"/>
      <c r="G1" s="3264"/>
      <c r="H1" s="3264"/>
      <c r="I1" s="3264"/>
    </row>
    <row r="2" spans="1:11" ht="15">
      <c r="A2" s="1336"/>
      <c r="B2" s="1336"/>
      <c r="E2" s="1337"/>
      <c r="I2" s="1339"/>
      <c r="K2" s="1340"/>
    </row>
    <row r="3" spans="1:11">
      <c r="A3" s="1341" t="s">
        <v>1585</v>
      </c>
      <c r="B3" s="1341"/>
      <c r="C3" s="1334" t="s">
        <v>2181</v>
      </c>
      <c r="E3" s="1826">
        <f>ROUND(Application!AM564+'Basis &amp; Credits'!AB77,0)</f>
        <v>50842825</v>
      </c>
      <c r="F3" s="1342"/>
      <c r="K3" s="1413"/>
    </row>
    <row r="4" spans="1:11" s="1343" customFormat="1" ht="15" customHeight="1">
      <c r="C4" s="1343" t="s">
        <v>1879</v>
      </c>
      <c r="E4" s="1419">
        <f>Application!AD1037</f>
        <v>6.1403508771929821E-2</v>
      </c>
      <c r="F4" s="1344"/>
      <c r="H4" s="1345"/>
      <c r="K4" s="1632"/>
    </row>
    <row r="5" spans="1:11" s="1346" customFormat="1" ht="15" customHeight="1">
      <c r="A5" s="3265"/>
      <c r="B5" s="3265"/>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37552332.149122804</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72</v>
      </c>
      <c r="G12" s="1361">
        <v>1</v>
      </c>
      <c r="H12" s="1362"/>
      <c r="I12" s="1363">
        <f>E12*G12</f>
        <v>72</v>
      </c>
      <c r="J12" s="1354"/>
    </row>
    <row r="13" spans="1:11" ht="15">
      <c r="A13" s="1336"/>
      <c r="B13" s="1336"/>
      <c r="C13" s="1354" t="s">
        <v>1888</v>
      </c>
      <c r="D13" s="1354"/>
      <c r="E13" s="1414">
        <f>Application!BX635+Application!BX644+Application!DC658</f>
        <v>144</v>
      </c>
      <c r="G13" s="1361">
        <v>1.25</v>
      </c>
      <c r="H13" s="1362"/>
      <c r="I13" s="1363">
        <f>E13*G13</f>
        <v>180</v>
      </c>
      <c r="J13" s="1354"/>
    </row>
    <row r="14" spans="1:11" ht="15">
      <c r="A14" s="1336"/>
      <c r="B14" s="1336"/>
      <c r="C14" s="1354" t="s">
        <v>1889</v>
      </c>
      <c r="D14" s="1354"/>
      <c r="E14" s="1414">
        <f>Application!CC635+Application!CC644+Application!DH658</f>
        <v>72</v>
      </c>
      <c r="G14" s="1361">
        <f>1.5+0.25*0</f>
        <v>1.5</v>
      </c>
      <c r="H14" s="1362"/>
      <c r="I14" s="1363">
        <f>IF(E14/E16&lt;=30%,E14*G14,TRUNC(0.3*E16)*G14+(E14-TRUNC(0.3*E16))*G13)</f>
        <v>108</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288</v>
      </c>
      <c r="G16" s="1337"/>
      <c r="I16" s="1418">
        <f>SUM(I11:I15)</f>
        <v>360</v>
      </c>
    </row>
    <row r="17" spans="1:9" ht="15">
      <c r="A17" s="1336"/>
      <c r="B17" s="1336"/>
      <c r="E17" s="1337"/>
      <c r="I17" s="1365"/>
    </row>
    <row r="18" spans="1:9" ht="15">
      <c r="A18" s="1341" t="s">
        <v>1590</v>
      </c>
      <c r="B18" s="1341"/>
      <c r="C18" s="1366" t="s">
        <v>1891</v>
      </c>
      <c r="D18" s="1338"/>
      <c r="E18" s="1367">
        <f>E7/I16</f>
        <v>104312.03374756334</v>
      </c>
      <c r="F18" s="1368"/>
      <c r="G18" s="1369"/>
      <c r="H18" s="1370"/>
      <c r="I18" s="1365"/>
    </row>
    <row r="21" spans="1:9" ht="14.25" customHeight="1">
      <c r="A21" s="3266" t="s">
        <v>2180</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Y38" sqref="Y38:AC38"/>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9" t="s">
        <v>1522</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1"/>
      <c r="U8" s="3311"/>
      <c r="V8" s="3311"/>
      <c r="W8" s="3311"/>
      <c r="X8" s="3311"/>
      <c r="Y8" s="3311"/>
      <c r="Z8" s="3311"/>
      <c r="AA8" s="3311"/>
      <c r="AB8" s="3311"/>
      <c r="AC8" s="3311"/>
      <c r="AD8" s="3311"/>
      <c r="AE8" s="3311"/>
      <c r="AF8" s="3311"/>
      <c r="AG8" s="3311"/>
      <c r="AH8" s="3311"/>
      <c r="AI8" s="3311"/>
      <c r="AJ8" s="3311"/>
      <c r="AK8" s="3311"/>
      <c r="AL8" s="3311"/>
      <c r="AM8" s="331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1"/>
      <c r="U9" s="3311"/>
      <c r="V9" s="3311"/>
      <c r="W9" s="3311"/>
      <c r="X9" s="3311"/>
      <c r="Y9" s="3311"/>
      <c r="Z9" s="3311"/>
      <c r="AA9" s="3311"/>
      <c r="AB9" s="3311"/>
      <c r="AC9" s="3311"/>
      <c r="AD9" s="3311"/>
      <c r="AE9" s="3311"/>
      <c r="AF9" s="3311"/>
      <c r="AG9" s="3311"/>
      <c r="AH9" s="3311"/>
      <c r="AI9" s="3311"/>
      <c r="AJ9" s="3311"/>
      <c r="AK9" s="3311"/>
      <c r="AL9" s="3311"/>
      <c r="AM9" s="331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91478376</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4" t="s">
        <v>529</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7" t="s">
        <v>530</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7" t="s">
        <v>531</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7" t="s">
        <v>532</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7" t="s">
        <v>863</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7" t="s">
        <v>533</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2" t="s">
        <v>1038</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2" t="s">
        <v>1038</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9" t="s">
        <v>534</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9" t="s">
        <v>1494</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9" t="s">
        <v>535</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2" t="s">
        <v>536</v>
      </c>
      <c r="C23" s="3283"/>
      <c r="D23" s="3283"/>
      <c r="E23" s="3283"/>
      <c r="F23" s="3283"/>
      <c r="G23" s="3283"/>
      <c r="H23" s="3283"/>
      <c r="I23" s="3283"/>
      <c r="J23" s="3283"/>
      <c r="K23" s="3283"/>
      <c r="L23" s="3283"/>
      <c r="M23" s="3283"/>
      <c r="N23" s="3283"/>
      <c r="O23" s="3283"/>
      <c r="P23" s="3283"/>
      <c r="Q23" s="3283"/>
      <c r="R23" s="3283"/>
      <c r="S23" s="3284"/>
      <c r="T23" s="3272">
        <f>T11+T22</f>
        <v>91478376</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9" t="s">
        <v>1039</v>
      </c>
      <c r="C24" s="3280"/>
      <c r="D24" s="3280"/>
      <c r="E24" s="3280"/>
      <c r="F24" s="3280"/>
      <c r="G24" s="3280"/>
      <c r="H24" s="3280"/>
      <c r="I24" s="3280"/>
      <c r="J24" s="3280"/>
      <c r="K24" s="3280"/>
      <c r="L24" s="3280"/>
      <c r="M24" s="3280"/>
      <c r="N24" s="3280"/>
      <c r="O24" s="3280"/>
      <c r="P24" s="3280"/>
      <c r="Q24" s="3280"/>
      <c r="R24" s="3280"/>
      <c r="S24" s="3281"/>
      <c r="T24" s="3274">
        <f>Application!AJ1032</f>
        <v>183803433.59999999</v>
      </c>
      <c r="U24" s="3275"/>
      <c r="V24" s="3275"/>
      <c r="W24" s="3275"/>
      <c r="X24" s="3275"/>
      <c r="Y24" s="3275"/>
      <c r="Z24" s="3275"/>
      <c r="AA24" s="3275"/>
      <c r="AB24" s="3275"/>
      <c r="AC24" s="3275"/>
      <c r="AD24" s="3275"/>
      <c r="AE24" s="3275"/>
      <c r="AF24" s="3275"/>
      <c r="AG24" s="3275"/>
      <c r="AH24" s="3275"/>
      <c r="AI24" s="3275"/>
      <c r="AJ24" s="3275"/>
      <c r="AK24" s="3275"/>
      <c r="AL24" s="3275"/>
      <c r="AM24" s="327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6" t="s">
        <v>1495</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9" t="s">
        <v>537</v>
      </c>
      <c r="C26" s="3280"/>
      <c r="D26" s="3280"/>
      <c r="E26" s="3280"/>
      <c r="F26" s="3280"/>
      <c r="G26" s="3280"/>
      <c r="H26" s="3280"/>
      <c r="I26" s="3280"/>
      <c r="J26" s="3280"/>
      <c r="K26" s="3280"/>
      <c r="L26" s="3280"/>
      <c r="M26" s="3280"/>
      <c r="N26" s="3280"/>
      <c r="O26" s="3280"/>
      <c r="P26" s="3280"/>
      <c r="Q26" s="3280"/>
      <c r="R26" s="3280"/>
      <c r="S26" s="3281"/>
      <c r="T26" s="3323">
        <f>T23*T25</f>
        <v>118921888.8</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9" t="s">
        <v>538</v>
      </c>
      <c r="C28" s="3280"/>
      <c r="D28" s="3280"/>
      <c r="E28" s="3280"/>
      <c r="F28" s="3280"/>
      <c r="G28" s="3280"/>
      <c r="H28" s="3280"/>
      <c r="I28" s="3280"/>
      <c r="J28" s="3280"/>
      <c r="K28" s="3280"/>
      <c r="L28" s="3280"/>
      <c r="M28" s="3280"/>
      <c r="N28" s="3280"/>
      <c r="O28" s="3280"/>
      <c r="P28" s="3280"/>
      <c r="Q28" s="3280"/>
      <c r="R28" s="3280"/>
      <c r="S28" s="3281"/>
      <c r="T28" s="3292">
        <f>IF(ISERROR((T26*T27)),0,(T26*T27))</f>
        <v>118921888.8</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9" t="s">
        <v>555</v>
      </c>
      <c r="C29" s="3280"/>
      <c r="D29" s="3280"/>
      <c r="E29" s="3280"/>
      <c r="F29" s="3280"/>
      <c r="G29" s="3280"/>
      <c r="H29" s="3280"/>
      <c r="I29" s="3280"/>
      <c r="J29" s="3280"/>
      <c r="K29" s="3280"/>
      <c r="L29" s="3280"/>
      <c r="M29" s="3280"/>
      <c r="N29" s="3280"/>
      <c r="O29" s="3280"/>
      <c r="P29" s="3280"/>
      <c r="Q29" s="3280"/>
      <c r="R29" s="3280"/>
      <c r="S29" s="3281"/>
      <c r="T29" s="3274">
        <f>T28+Y28+AD28+AI28</f>
        <v>118921888.8</v>
      </c>
      <c r="U29" s="3275"/>
      <c r="V29" s="3275"/>
      <c r="W29" s="3275"/>
      <c r="X29" s="3275"/>
      <c r="Y29" s="3275"/>
      <c r="Z29" s="3275"/>
      <c r="AA29" s="3275"/>
      <c r="AB29" s="3275"/>
      <c r="AC29" s="3275"/>
      <c r="AD29" s="3275"/>
      <c r="AE29" s="3275"/>
      <c r="AF29" s="3275"/>
      <c r="AG29" s="3275"/>
      <c r="AH29" s="3275"/>
      <c r="AI29" s="3275"/>
      <c r="AJ29" s="3275"/>
      <c r="AK29" s="3275"/>
      <c r="AL29" s="3275"/>
      <c r="AM29" s="327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5" t="s">
        <v>1497</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5" t="s">
        <v>1496</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1" t="s">
        <v>1345</v>
      </c>
      <c r="Z35" s="3311"/>
      <c r="AA35" s="3311"/>
      <c r="AB35" s="3311"/>
      <c r="AC35" s="3311"/>
      <c r="AD35" s="3337" t="s">
        <v>380</v>
      </c>
      <c r="AE35" s="3337"/>
      <c r="AF35" s="3337"/>
      <c r="AG35" s="3337"/>
      <c r="AH35" s="333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1"/>
      <c r="Z36" s="3311"/>
      <c r="AA36" s="3311"/>
      <c r="AB36" s="3311"/>
      <c r="AC36" s="3311"/>
      <c r="AD36" s="3337"/>
      <c r="AE36" s="3337"/>
      <c r="AF36" s="3337"/>
      <c r="AG36" s="3337"/>
      <c r="AH36" s="333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1"/>
      <c r="Z37" s="3311"/>
      <c r="AA37" s="3311"/>
      <c r="AB37" s="3311"/>
      <c r="AC37" s="3311"/>
      <c r="AD37" s="3337"/>
      <c r="AE37" s="3337"/>
      <c r="AF37" s="3337"/>
      <c r="AG37" s="3337"/>
      <c r="AH37" s="333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9" t="s">
        <v>538</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118921888.8</v>
      </c>
      <c r="Z38" s="3273"/>
      <c r="AA38" s="3273"/>
      <c r="AB38" s="3273"/>
      <c r="AC38" s="3273"/>
      <c r="AD38" s="3273">
        <f>IF(T24&gt;=(T23+Y23+AD23+AI23),AD28+AI28,0)</f>
        <v>0</v>
      </c>
      <c r="AE38" s="3273"/>
      <c r="AF38" s="3273"/>
      <c r="AG38" s="3273"/>
      <c r="AH38" s="327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9" t="s">
        <v>2179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9" t="s">
        <v>676</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4756876</v>
      </c>
      <c r="Z40" s="3273"/>
      <c r="AA40" s="3273"/>
      <c r="AB40" s="3273"/>
      <c r="AC40" s="3273"/>
      <c r="AD40" s="3272">
        <f>ROUND(AD38*AD39,0)</f>
        <v>0</v>
      </c>
      <c r="AE40" s="3273"/>
      <c r="AF40" s="3273"/>
      <c r="AG40" s="3273"/>
      <c r="AH40" s="327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9" t="s">
        <v>677</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4756876</v>
      </c>
      <c r="Z41" s="3295"/>
      <c r="AA41" s="3295"/>
      <c r="AB41" s="3295"/>
      <c r="AC41" s="3295"/>
      <c r="AD41" s="3295"/>
      <c r="AE41" s="3295"/>
      <c r="AF41" s="3295"/>
      <c r="AG41" s="3295"/>
      <c r="AH41" s="329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7" t="s">
        <v>1511</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7">
        <f>'Sources and Uses Budget'!B105-'Sources and Uses Budget'!B15</f>
        <v>94342704</v>
      </c>
      <c r="AC47" s="3298"/>
      <c r="AD47" s="3298"/>
      <c r="AE47" s="3298"/>
      <c r="AF47" s="329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7">
        <f>Application!AO649-MIN('Sources and Uses Budget'!B15,Application!AG394)</f>
        <v>50350076</v>
      </c>
      <c r="AC48" s="3298"/>
      <c r="AD48" s="3298"/>
      <c r="AE48" s="3298"/>
      <c r="AF48" s="329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7">
        <f>AB47-AB48</f>
        <v>43992628</v>
      </c>
      <c r="AC49" s="3298"/>
      <c r="AD49" s="3298"/>
      <c r="AE49" s="3298"/>
      <c r="AF49" s="329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0">
        <v>0.88</v>
      </c>
      <c r="AC50" s="3331"/>
      <c r="AD50" s="3331"/>
      <c r="AE50" s="3331"/>
      <c r="AF50" s="333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3" t="s">
        <v>2375</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7">
        <f>ROUND(IF(ISERROR((AB49/AB50)),0,(AB49/AB50)),0)</f>
        <v>49991623</v>
      </c>
      <c r="AC54" s="3298"/>
      <c r="AD54" s="3298"/>
      <c r="AE54" s="3298"/>
      <c r="AF54" s="329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7">
        <f>(AB54/10)</f>
        <v>4999162.3</v>
      </c>
      <c r="AC55" s="3298"/>
      <c r="AD55" s="3298"/>
      <c r="AE55" s="3298"/>
      <c r="AF55" s="329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4">
        <f>(IF((Y41&lt;AB55),Y41,AB55))</f>
        <v>4756876</v>
      </c>
      <c r="AC56" s="3335"/>
      <c r="AD56" s="3335"/>
      <c r="AE56" s="3335"/>
      <c r="AF56" s="333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7">
        <f>ROUND((10*AB56*AB50),0)</f>
        <v>41860509</v>
      </c>
      <c r="AC57" s="3298"/>
      <c r="AD57" s="3298"/>
      <c r="AE57" s="3298"/>
      <c r="AF57" s="329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5">
        <f>AB49-AB57</f>
        <v>2132119</v>
      </c>
      <c r="AC59" s="3325"/>
      <c r="AD59" s="3325"/>
      <c r="AE59" s="3325"/>
      <c r="AF59" s="332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6" t="s">
        <v>1067</v>
      </c>
      <c r="Z63" s="3326"/>
      <c r="AA63" s="3326"/>
      <c r="AB63" s="3326"/>
      <c r="AC63" s="3326"/>
      <c r="AD63" s="3326" t="s">
        <v>380</v>
      </c>
      <c r="AE63" s="3326"/>
      <c r="AF63" s="3326"/>
      <c r="AG63" s="3326"/>
      <c r="AH63" s="332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7">
        <f>IF(Application!Z204="(select)",0,((T23*T27)+Y28))</f>
        <v>91478376</v>
      </c>
      <c r="Z64" s="3328"/>
      <c r="AA64" s="3328"/>
      <c r="AB64" s="3328"/>
      <c r="AC64" s="3329"/>
      <c r="AD64" s="3327">
        <f>IF(AND(Application!AP204="yes",Application!M357="yes"),AD28+AI28,0)</f>
        <v>0</v>
      </c>
      <c r="AE64" s="3328"/>
      <c r="AF64" s="3328"/>
      <c r="AG64" s="3328"/>
      <c r="AH64" s="332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45">
        <f>ROUND(Y64*Y67,0)</f>
        <v>27443513</v>
      </c>
      <c r="Z68" s="3346"/>
      <c r="AA68" s="3346"/>
      <c r="AB68" s="3346"/>
      <c r="AC68" s="3346"/>
      <c r="AD68" s="3345" t="str">
        <f>IF(Application!D210="At-Risk",AD64*AD67,"$0")</f>
        <v>$0</v>
      </c>
      <c r="AE68" s="3346"/>
      <c r="AF68" s="3346"/>
      <c r="AG68" s="3346"/>
      <c r="AH68" s="334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0">
        <v>0.75</v>
      </c>
      <c r="AC71" s="3331"/>
      <c r="AD71" s="3331"/>
      <c r="AE71" s="3331"/>
      <c r="AF71" s="333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7" t="s">
        <v>1482</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9">
        <f>ROUND(IF(ISERROR((AB59/AB71)),0,(AB59/AB71)),0)</f>
        <v>2842825</v>
      </c>
      <c r="AC76" s="3339"/>
      <c r="AD76" s="3339"/>
      <c r="AE76" s="3339"/>
      <c r="AF76" s="333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0">
        <f>IF((Y68+AD68&lt;AB76),Y68+AD68,AB76)</f>
        <v>2842825</v>
      </c>
      <c r="AC77" s="3341"/>
      <c r="AD77" s="3341"/>
      <c r="AE77" s="3341"/>
      <c r="AF77" s="334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3">
        <f>AB77*AB71</f>
        <v>2132118.75</v>
      </c>
      <c r="AC78" s="3343"/>
      <c r="AD78" s="3343"/>
      <c r="AE78" s="3343"/>
      <c r="AF78" s="334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5">
        <f>AB49-(AB57+AB78)</f>
        <v>0.25</v>
      </c>
      <c r="AC80" s="3325"/>
      <c r="AD80" s="3325"/>
      <c r="AE80" s="3325"/>
      <c r="AF80" s="332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4"/>
      <c r="C85" s="334"/>
      <c r="Z85" s="619"/>
      <c r="AA85" s="619"/>
      <c r="AB85" s="619"/>
      <c r="AC85" s="619"/>
      <c r="AD85" s="619"/>
      <c r="AE85" s="619"/>
      <c r="AF85" s="619"/>
      <c r="AG85" s="619"/>
      <c r="AH85" s="619"/>
    </row>
    <row r="86" spans="1:98" ht="12.75">
      <c r="D86" s="334"/>
      <c r="Z86" s="619"/>
      <c r="AA86" s="619"/>
      <c r="AB86" s="3278"/>
      <c r="AC86" s="3278"/>
      <c r="AD86" s="3278"/>
      <c r="AE86" s="3278"/>
      <c r="AF86" s="3278"/>
      <c r="AG86" s="619"/>
      <c r="AH86" s="619"/>
    </row>
    <row r="87" spans="1:98" ht="13.5" thickBot="1">
      <c r="D87" s="334"/>
      <c r="Z87" s="619"/>
      <c r="AA87" s="619"/>
      <c r="AB87" s="3276"/>
      <c r="AC87" s="3276"/>
      <c r="AD87" s="3276"/>
      <c r="AE87" s="3276"/>
      <c r="AF87" s="327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G17" sqref="G17:G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0" t="s">
        <v>1935</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1936</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1937</v>
      </c>
      <c r="D7" s="1426"/>
      <c r="E7" s="3352" t="str">
        <f>Application!H16</f>
        <v>USA Properties Fund, Inc.</v>
      </c>
      <c r="F7" s="3352"/>
      <c r="G7" s="3352"/>
      <c r="H7" s="1426"/>
      <c r="I7" s="1427" t="s">
        <v>1938</v>
      </c>
      <c r="J7" s="1428">
        <f>Application!AG437+Application!AG439</f>
        <v>285</v>
      </c>
    </row>
    <row r="8" spans="1:33">
      <c r="C8" s="1427" t="s">
        <v>1939</v>
      </c>
      <c r="D8" s="1426"/>
      <c r="E8" s="3352" t="str">
        <f>Application!H18</f>
        <v>Terracina at Whitney Ranch</v>
      </c>
      <c r="F8" s="3352"/>
      <c r="G8" s="3352"/>
      <c r="H8" s="1426"/>
      <c r="I8" s="1427" t="s">
        <v>1940</v>
      </c>
      <c r="J8" s="1429">
        <f>Application!CS663</f>
        <v>570</v>
      </c>
    </row>
    <row r="9" spans="1:33" ht="14.25" customHeight="1">
      <c r="C9" s="1427" t="s">
        <v>1941</v>
      </c>
      <c r="D9" s="1426"/>
      <c r="E9" s="3353" t="str">
        <f>Application!D210</f>
        <v>Large Family</v>
      </c>
      <c r="F9" s="3353"/>
      <c r="G9" s="3353"/>
      <c r="H9" s="1426"/>
      <c r="I9" s="1427" t="s">
        <v>1942</v>
      </c>
      <c r="J9" s="1430"/>
      <c r="N9" s="1431"/>
    </row>
    <row r="10" spans="1:33" ht="26.85" customHeight="1">
      <c r="C10" s="3351" t="s">
        <v>1943</v>
      </c>
      <c r="D10" s="3351"/>
      <c r="E10" s="3354" t="str">
        <f>Application!D213</f>
        <v>N/A</v>
      </c>
      <c r="F10" s="3354"/>
      <c r="G10" s="3354"/>
      <c r="H10" s="1426"/>
      <c r="I10" s="1432" t="s">
        <v>1944</v>
      </c>
      <c r="J10" s="1433">
        <f>IF(J9&gt;0,J8-J9,J8)</f>
        <v>570</v>
      </c>
      <c r="N10" s="1431"/>
    </row>
    <row r="11" spans="1:33">
      <c r="C11" s="1434"/>
      <c r="N11" s="1431"/>
    </row>
    <row r="12" spans="1:33" ht="15" customHeight="1">
      <c r="C12" s="3355" t="s">
        <v>1945</v>
      </c>
      <c r="D12" s="3356"/>
      <c r="E12" s="3357"/>
      <c r="F12" s="3348" t="s">
        <v>1946</v>
      </c>
      <c r="G12" s="3348" t="s">
        <v>1947</v>
      </c>
      <c r="H12" s="3361" t="s">
        <v>2161</v>
      </c>
      <c r="I12" s="3348" t="s">
        <v>2160</v>
      </c>
      <c r="J12" s="3348" t="s">
        <v>1948</v>
      </c>
      <c r="N12" s="1431"/>
    </row>
    <row r="13" spans="1:33" ht="68.25" customHeight="1">
      <c r="C13" s="3358"/>
      <c r="D13" s="3359"/>
      <c r="E13" s="3360"/>
      <c r="F13" s="3349"/>
      <c r="G13" s="3349"/>
      <c r="H13" s="3362"/>
      <c r="I13" s="3349"/>
      <c r="J13" s="3349"/>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858" t="s">
        <v>2640</v>
      </c>
      <c r="G17" s="1860">
        <v>6700</v>
      </c>
      <c r="H17" s="1442" t="s">
        <v>2221</v>
      </c>
      <c r="I17" s="1442" t="s">
        <v>2634</v>
      </c>
      <c r="J17" s="1442" t="s">
        <v>2635</v>
      </c>
    </row>
    <row r="18" spans="3:10">
      <c r="C18" s="1439" t="s">
        <v>1955</v>
      </c>
      <c r="D18" s="1425" t="s">
        <v>1956</v>
      </c>
      <c r="E18" s="1425"/>
      <c r="F18" s="1858" t="s">
        <v>2641</v>
      </c>
      <c r="G18" s="1859">
        <v>18500</v>
      </c>
      <c r="H18" s="1442" t="s">
        <v>2221</v>
      </c>
      <c r="I18" s="1442" t="s">
        <v>2634</v>
      </c>
      <c r="J18" s="1442" t="s">
        <v>2635</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25200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3960768</v>
      </c>
      <c r="G4" s="354">
        <f>E4*$C$4</f>
        <v>4059787.1999999997</v>
      </c>
      <c r="I4" s="354">
        <f>G4*$C$4</f>
        <v>4161281.8799999994</v>
      </c>
      <c r="K4" s="354">
        <f>I4*$C$4</f>
        <v>4265313.9269999992</v>
      </c>
      <c r="M4" s="354">
        <f>K4*$C$4</f>
        <v>4371946.7751749987</v>
      </c>
      <c r="O4" s="354">
        <f>M4*$C$4</f>
        <v>4481245.4445543736</v>
      </c>
      <c r="Q4" s="354">
        <f>O4*$C$4</f>
        <v>4593276.5806682324</v>
      </c>
      <c r="S4" s="354">
        <f>Q4*$C$4</f>
        <v>4708108.4951849375</v>
      </c>
      <c r="U4" s="354">
        <f>S4*$C$4</f>
        <v>4825811.2075645607</v>
      </c>
      <c r="W4" s="354">
        <f>U4*$C$4</f>
        <v>4946456.4877536744</v>
      </c>
      <c r="Y4" s="354">
        <f>W4*$C$4</f>
        <v>5070117.8999475157</v>
      </c>
      <c r="AA4" s="354">
        <f>Y4*$C$4</f>
        <v>5196870.8474462032</v>
      </c>
      <c r="AC4" s="354">
        <f>AA4*$C$4</f>
        <v>5326792.6186323576</v>
      </c>
      <c r="AE4" s="354">
        <f>AC4*$C$4</f>
        <v>5459962.4340981664</v>
      </c>
      <c r="AG4" s="354">
        <f>AE4*$C$4</f>
        <v>5596461.4949506205</v>
      </c>
    </row>
    <row r="5" spans="1:34" s="339" customFormat="1" ht="14.25">
      <c r="B5" s="339" t="s">
        <v>900</v>
      </c>
      <c r="C5" s="375">
        <f>IF(Application!$D$210="Special Needs",0.1,0.05)</f>
        <v>0.05</v>
      </c>
      <c r="E5" s="356">
        <f>-E4*$C$5</f>
        <v>-198038.40000000002</v>
      </c>
      <c r="F5" s="356"/>
      <c r="G5" s="356">
        <f>-G4*$C$5</f>
        <v>-202989.36</v>
      </c>
      <c r="H5" s="356"/>
      <c r="I5" s="356">
        <f>-I4*$C$5</f>
        <v>-208064.09399999998</v>
      </c>
      <c r="J5" s="356"/>
      <c r="K5" s="356">
        <f>-K4*$C$5</f>
        <v>-213265.69634999998</v>
      </c>
      <c r="L5" s="356"/>
      <c r="M5" s="356">
        <f>-M4*$C$5</f>
        <v>-218597.33875874995</v>
      </c>
      <c r="N5" s="356"/>
      <c r="O5" s="356">
        <f>-O4*$C$5</f>
        <v>-224062.2722277187</v>
      </c>
      <c r="P5" s="356"/>
      <c r="Q5" s="356">
        <f>-Q4*$C$5</f>
        <v>-229663.82903341163</v>
      </c>
      <c r="R5" s="356"/>
      <c r="S5" s="356">
        <f>-S4*$C$5</f>
        <v>-235405.42475924687</v>
      </c>
      <c r="T5" s="356"/>
      <c r="U5" s="356">
        <f>-U4*$C$5</f>
        <v>-241290.56037822805</v>
      </c>
      <c r="V5" s="356"/>
      <c r="W5" s="356">
        <f>-W4*$C$5</f>
        <v>-247322.82438768374</v>
      </c>
      <c r="X5" s="356"/>
      <c r="Y5" s="356">
        <f>-Y4*$C$5</f>
        <v>-253505.89499737578</v>
      </c>
      <c r="Z5" s="356"/>
      <c r="AA5" s="356">
        <f>-AA4*$C$5</f>
        <v>-259843.54237231018</v>
      </c>
      <c r="AB5" s="356"/>
      <c r="AC5" s="356">
        <f>-AC4*$C$5</f>
        <v>-266339.63093161787</v>
      </c>
      <c r="AD5" s="356"/>
      <c r="AE5" s="356">
        <f>-AE4*$C$5</f>
        <v>-272998.12170490832</v>
      </c>
      <c r="AF5" s="356"/>
      <c r="AG5" s="356">
        <f>-AG4*$C$5</f>
        <v>-279823.07474753103</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104545</v>
      </c>
      <c r="F8" s="357"/>
      <c r="G8" s="357">
        <f>E8*$C$8</f>
        <v>107158.62499999999</v>
      </c>
      <c r="H8" s="357"/>
      <c r="I8" s="357">
        <f>G8*$C$8</f>
        <v>109837.59062499998</v>
      </c>
      <c r="J8" s="357"/>
      <c r="K8" s="357">
        <f>I8*$C$8</f>
        <v>112583.53039062498</v>
      </c>
      <c r="L8" s="357"/>
      <c r="M8" s="357">
        <f>K8*$C$8</f>
        <v>115398.11865039059</v>
      </c>
      <c r="N8" s="357"/>
      <c r="O8" s="357">
        <f>M8*$C$8</f>
        <v>118283.07161665034</v>
      </c>
      <c r="P8" s="357"/>
      <c r="Q8" s="357">
        <f>O8*$C$8</f>
        <v>121240.14840706659</v>
      </c>
      <c r="R8" s="357"/>
      <c r="S8" s="357">
        <f>Q8*$C$8</f>
        <v>124271.15211724324</v>
      </c>
      <c r="T8" s="357"/>
      <c r="U8" s="357">
        <f>S8*$C$8</f>
        <v>127377.93092017432</v>
      </c>
      <c r="V8" s="357"/>
      <c r="W8" s="357">
        <f>U8*$C$8</f>
        <v>130562.37919317867</v>
      </c>
      <c r="X8" s="357"/>
      <c r="Y8" s="357">
        <f>W8*$C$8</f>
        <v>133826.43867300812</v>
      </c>
      <c r="Z8" s="357"/>
      <c r="AA8" s="357">
        <f>Y8*$C$8</f>
        <v>137172.09963983329</v>
      </c>
      <c r="AB8" s="357"/>
      <c r="AC8" s="357">
        <f>AA8*$C$8</f>
        <v>140601.40213082911</v>
      </c>
      <c r="AD8" s="357"/>
      <c r="AE8" s="357">
        <f>AC8*$C$8</f>
        <v>144116.43718409984</v>
      </c>
      <c r="AF8" s="357"/>
      <c r="AG8" s="357">
        <f>AE8*$C$8</f>
        <v>147719.34811370232</v>
      </c>
    </row>
    <row r="9" spans="1:34" s="339" customFormat="1" ht="14.25">
      <c r="B9" s="339" t="s">
        <v>900</v>
      </c>
      <c r="C9" s="375">
        <f>IF(Application!$D$210="Special Needs",0.1,0.05)</f>
        <v>0.05</v>
      </c>
      <c r="E9" s="373">
        <f>-E8*$C$9</f>
        <v>-5227.25</v>
      </c>
      <c r="F9" s="356"/>
      <c r="G9" s="373">
        <f>-G8*$C$9</f>
        <v>-5357.9312499999996</v>
      </c>
      <c r="H9" s="356"/>
      <c r="I9" s="373">
        <f>-I8*$C$9</f>
        <v>-5491.8795312499997</v>
      </c>
      <c r="J9" s="356"/>
      <c r="K9" s="373">
        <f>-K8*$C$9</f>
        <v>-5629.1765195312491</v>
      </c>
      <c r="L9" s="356"/>
      <c r="M9" s="373">
        <f>-M8*$C$9</f>
        <v>-5769.9059325195303</v>
      </c>
      <c r="N9" s="356"/>
      <c r="O9" s="373">
        <f>-O8*$C$9</f>
        <v>-5914.153580832517</v>
      </c>
      <c r="P9" s="356"/>
      <c r="Q9" s="373">
        <f>-Q8*$C$9</f>
        <v>-6062.0074203533295</v>
      </c>
      <c r="R9" s="356"/>
      <c r="S9" s="373">
        <f>-S8*$C$9</f>
        <v>-6213.5576058621627</v>
      </c>
      <c r="T9" s="356"/>
      <c r="U9" s="373">
        <f>-U8*$C$9</f>
        <v>-6368.8965460087165</v>
      </c>
      <c r="V9" s="356"/>
      <c r="W9" s="373">
        <f>-W8*$C$9</f>
        <v>-6528.1189596589338</v>
      </c>
      <c r="X9" s="356"/>
      <c r="Y9" s="373">
        <f>-Y8*$C$9</f>
        <v>-6691.3219336504062</v>
      </c>
      <c r="Z9" s="356"/>
      <c r="AA9" s="373">
        <f>-AA8*$C$9</f>
        <v>-6858.6049819916652</v>
      </c>
      <c r="AB9" s="356"/>
      <c r="AC9" s="373">
        <f>-AC8*$C$9</f>
        <v>-7030.070106541456</v>
      </c>
      <c r="AD9" s="356"/>
      <c r="AE9" s="373">
        <f>-AE8*$C$9</f>
        <v>-7205.8218592049925</v>
      </c>
      <c r="AF9" s="356"/>
      <c r="AG9" s="373">
        <f>-AG8*$C$9</f>
        <v>-7385.9674056851163</v>
      </c>
    </row>
    <row r="10" spans="1:34" s="358" customFormat="1" ht="15">
      <c r="A10" s="358" t="s">
        <v>921</v>
      </c>
      <c r="C10" s="349"/>
      <c r="E10" s="358">
        <f>SUM(E4:E9)</f>
        <v>3862047.35</v>
      </c>
      <c r="G10" s="358">
        <f>SUM(G4:G9)</f>
        <v>3958598.5337499999</v>
      </c>
      <c r="I10" s="358">
        <f>SUM(I4:I9)</f>
        <v>4057563.4970937497</v>
      </c>
      <c r="K10" s="358">
        <f>SUM(K4:K9)</f>
        <v>4159002.5845210929</v>
      </c>
      <c r="M10" s="358">
        <f>SUM(M4:M9)</f>
        <v>4262977.64913412</v>
      </c>
      <c r="O10" s="358">
        <f>SUM(O4:O9)</f>
        <v>4369552.0903624734</v>
      </c>
      <c r="Q10" s="358">
        <f>SUM(Q4:Q9)</f>
        <v>4478790.892621533</v>
      </c>
      <c r="S10" s="358">
        <f>SUM(S4:S9)</f>
        <v>4590760.6649370715</v>
      </c>
      <c r="U10" s="358">
        <f>SUM(U4:U9)</f>
        <v>4705529.6815604977</v>
      </c>
      <c r="W10" s="358">
        <f>SUM(W4:W9)</f>
        <v>4823167.9235995105</v>
      </c>
      <c r="Y10" s="358">
        <f>SUM(Y4:Y9)</f>
        <v>4943747.1216894975</v>
      </c>
      <c r="AA10" s="358">
        <f>SUM(AA4:AA9)</f>
        <v>5067340.7997317342</v>
      </c>
      <c r="AC10" s="358">
        <f>SUM(AC4:AC9)</f>
        <v>5194024.3197250273</v>
      </c>
      <c r="AE10" s="358">
        <f>SUM(AE4:AE9)</f>
        <v>5323874.9277181532</v>
      </c>
      <c r="AG10" s="358">
        <f>SUM(AG4:AG9)</f>
        <v>5456971.8009111071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75664</v>
      </c>
      <c r="G14" s="354">
        <f>E14*$C$13</f>
        <v>78312.239999999991</v>
      </c>
      <c r="I14" s="354">
        <f>G14*$C$13</f>
        <v>81053.16839999998</v>
      </c>
      <c r="K14" s="354">
        <f>I14*$C$13</f>
        <v>83890.029293999978</v>
      </c>
      <c r="M14" s="354">
        <f>K14*$C$13</f>
        <v>86826.180319289968</v>
      </c>
      <c r="O14" s="354">
        <f>M14*$C$13</f>
        <v>89865.096630465108</v>
      </c>
      <c r="Q14" s="354">
        <f>O14*$C$13</f>
        <v>93010.375012531382</v>
      </c>
      <c r="S14" s="354">
        <f>Q14*$C$13</f>
        <v>96265.738137969965</v>
      </c>
      <c r="U14" s="354">
        <f>S14*$C$13</f>
        <v>99635.03897279891</v>
      </c>
      <c r="W14" s="354">
        <f>U14*$C$13</f>
        <v>103122.26533684686</v>
      </c>
      <c r="Y14" s="354">
        <f>W14*$C$13</f>
        <v>106731.5446236365</v>
      </c>
      <c r="AA14" s="354">
        <f>Y14*$C$13</f>
        <v>110467.14868546376</v>
      </c>
      <c r="AC14" s="354">
        <f>AA14*$C$13</f>
        <v>114333.49888945499</v>
      </c>
      <c r="AE14" s="354">
        <f>AC14*$C$13</f>
        <v>118335.17135058591</v>
      </c>
      <c r="AG14" s="354">
        <f>AE14*$C$13</f>
        <v>122476.9023478564</v>
      </c>
    </row>
    <row r="15" spans="1:34" s="339" customFormat="1" ht="14.25">
      <c r="A15" s="339" t="s">
        <v>354</v>
      </c>
      <c r="C15" s="368"/>
      <c r="E15" s="357">
        <f>Application!W847</f>
        <v>135180</v>
      </c>
      <c r="F15" s="357"/>
      <c r="G15" s="357">
        <f t="shared" ref="G15:AG20" si="0">E15*$C$13</f>
        <v>139911.29999999999</v>
      </c>
      <c r="H15" s="357"/>
      <c r="I15" s="357">
        <f t="shared" si="0"/>
        <v>144808.19549999997</v>
      </c>
      <c r="J15" s="357"/>
      <c r="K15" s="357">
        <f t="shared" si="0"/>
        <v>149876.48234249995</v>
      </c>
      <c r="L15" s="357"/>
      <c r="M15" s="357">
        <f t="shared" si="0"/>
        <v>155122.15922448743</v>
      </c>
      <c r="N15" s="357"/>
      <c r="O15" s="357">
        <f t="shared" si="0"/>
        <v>160551.43479734447</v>
      </c>
      <c r="P15" s="357"/>
      <c r="Q15" s="357">
        <f t="shared" si="0"/>
        <v>166170.7350152515</v>
      </c>
      <c r="R15" s="357"/>
      <c r="S15" s="357">
        <f t="shared" si="0"/>
        <v>171986.71074078529</v>
      </c>
      <c r="T15" s="357"/>
      <c r="U15" s="357">
        <f t="shared" si="0"/>
        <v>178006.24561671275</v>
      </c>
      <c r="V15" s="357"/>
      <c r="W15" s="357">
        <f t="shared" si="0"/>
        <v>184236.46421329767</v>
      </c>
      <c r="X15" s="357"/>
      <c r="Y15" s="357">
        <f t="shared" si="0"/>
        <v>190684.74046076307</v>
      </c>
      <c r="Z15" s="357"/>
      <c r="AA15" s="357">
        <f t="shared" si="0"/>
        <v>197358.70637688978</v>
      </c>
      <c r="AB15" s="357"/>
      <c r="AC15" s="357">
        <f t="shared" si="0"/>
        <v>204266.26110008091</v>
      </c>
      <c r="AD15" s="357"/>
      <c r="AE15" s="357">
        <f t="shared" si="0"/>
        <v>211415.58023858373</v>
      </c>
      <c r="AF15" s="357"/>
      <c r="AG15" s="357">
        <f t="shared" si="0"/>
        <v>218815.12554693414</v>
      </c>
    </row>
    <row r="16" spans="1:34" s="339" customFormat="1" ht="14.25">
      <c r="A16" s="339" t="s">
        <v>593</v>
      </c>
      <c r="C16" s="368"/>
      <c r="E16" s="357">
        <f>Application!W853</f>
        <v>354418</v>
      </c>
      <c r="F16" s="357"/>
      <c r="G16" s="357">
        <f t="shared" si="0"/>
        <v>366822.62999999995</v>
      </c>
      <c r="H16" s="357"/>
      <c r="I16" s="357">
        <f t="shared" si="0"/>
        <v>379661.42204999994</v>
      </c>
      <c r="J16" s="357"/>
      <c r="K16" s="357">
        <f t="shared" si="0"/>
        <v>392949.57182174991</v>
      </c>
      <c r="L16" s="357"/>
      <c r="M16" s="357">
        <f t="shared" si="0"/>
        <v>406702.80683551112</v>
      </c>
      <c r="N16" s="357"/>
      <c r="O16" s="357">
        <f t="shared" si="0"/>
        <v>420937.40507475397</v>
      </c>
      <c r="P16" s="357"/>
      <c r="Q16" s="357">
        <f t="shared" si="0"/>
        <v>435670.21425237035</v>
      </c>
      <c r="R16" s="357"/>
      <c r="S16" s="357">
        <f t="shared" si="0"/>
        <v>450918.67175120331</v>
      </c>
      <c r="T16" s="357"/>
      <c r="U16" s="357">
        <f t="shared" si="0"/>
        <v>466700.82526249537</v>
      </c>
      <c r="V16" s="357"/>
      <c r="W16" s="357">
        <f t="shared" si="0"/>
        <v>483035.35414668266</v>
      </c>
      <c r="X16" s="357"/>
      <c r="Y16" s="357">
        <f t="shared" si="0"/>
        <v>499941.59154181654</v>
      </c>
      <c r="Z16" s="357"/>
      <c r="AA16" s="357">
        <f t="shared" si="0"/>
        <v>517439.54724578006</v>
      </c>
      <c r="AB16" s="357"/>
      <c r="AC16" s="357">
        <f t="shared" si="0"/>
        <v>535549.9313993823</v>
      </c>
      <c r="AD16" s="357"/>
      <c r="AE16" s="357">
        <f t="shared" si="0"/>
        <v>554294.17899836064</v>
      </c>
      <c r="AF16" s="357"/>
      <c r="AG16" s="357">
        <f t="shared" si="0"/>
        <v>573694.47526330326</v>
      </c>
    </row>
    <row r="17" spans="1:33" s="339" customFormat="1" ht="14.25">
      <c r="A17" s="339" t="s">
        <v>904</v>
      </c>
      <c r="C17" s="368"/>
      <c r="E17" s="357">
        <f>Application!W860</f>
        <v>391816</v>
      </c>
      <c r="F17" s="357"/>
      <c r="G17" s="357">
        <f t="shared" si="0"/>
        <v>405529.56</v>
      </c>
      <c r="H17" s="357"/>
      <c r="I17" s="357">
        <f t="shared" si="0"/>
        <v>419723.09459999995</v>
      </c>
      <c r="J17" s="357"/>
      <c r="K17" s="357">
        <f t="shared" si="0"/>
        <v>434413.4029109999</v>
      </c>
      <c r="L17" s="357"/>
      <c r="M17" s="357">
        <f t="shared" si="0"/>
        <v>449617.87201288488</v>
      </c>
      <c r="N17" s="357"/>
      <c r="O17" s="357">
        <f t="shared" si="0"/>
        <v>465354.49753333582</v>
      </c>
      <c r="P17" s="357"/>
      <c r="Q17" s="357">
        <f t="shared" si="0"/>
        <v>481641.90494700253</v>
      </c>
      <c r="R17" s="357"/>
      <c r="S17" s="357">
        <f t="shared" si="0"/>
        <v>498499.37162014761</v>
      </c>
      <c r="T17" s="357"/>
      <c r="U17" s="357">
        <f t="shared" si="0"/>
        <v>515946.84962685272</v>
      </c>
      <c r="V17" s="357"/>
      <c r="W17" s="357">
        <f t="shared" si="0"/>
        <v>534004.98936379259</v>
      </c>
      <c r="X17" s="357"/>
      <c r="Y17" s="357">
        <f t="shared" si="0"/>
        <v>552695.1639915253</v>
      </c>
      <c r="Z17" s="357"/>
      <c r="AA17" s="357">
        <f t="shared" si="0"/>
        <v>572039.49473122868</v>
      </c>
      <c r="AB17" s="357"/>
      <c r="AC17" s="357">
        <f t="shared" si="0"/>
        <v>592060.87704682164</v>
      </c>
      <c r="AD17" s="357"/>
      <c r="AE17" s="357">
        <f t="shared" si="0"/>
        <v>612783.00774346036</v>
      </c>
      <c r="AF17" s="357"/>
      <c r="AG17" s="357">
        <f t="shared" si="0"/>
        <v>634230.41301448143</v>
      </c>
    </row>
    <row r="18" spans="1:33" s="339" customFormat="1" ht="14.25">
      <c r="A18" s="339" t="s">
        <v>160</v>
      </c>
      <c r="C18" s="368"/>
      <c r="E18" s="357">
        <f>Application!W861</f>
        <v>106560</v>
      </c>
      <c r="F18" s="357"/>
      <c r="G18" s="357">
        <f t="shared" si="0"/>
        <v>110289.59999999999</v>
      </c>
      <c r="H18" s="357"/>
      <c r="I18" s="357">
        <f t="shared" si="0"/>
        <v>114149.73599999998</v>
      </c>
      <c r="J18" s="357"/>
      <c r="K18" s="357">
        <f t="shared" si="0"/>
        <v>118144.97675999996</v>
      </c>
      <c r="L18" s="357"/>
      <c r="M18" s="357">
        <f t="shared" si="0"/>
        <v>122280.05094659995</v>
      </c>
      <c r="N18" s="357"/>
      <c r="O18" s="357">
        <f t="shared" si="0"/>
        <v>126559.85272973093</v>
      </c>
      <c r="P18" s="357"/>
      <c r="Q18" s="357">
        <f t="shared" si="0"/>
        <v>130989.44757527151</v>
      </c>
      <c r="R18" s="357"/>
      <c r="S18" s="357">
        <f t="shared" si="0"/>
        <v>135574.078240406</v>
      </c>
      <c r="T18" s="357"/>
      <c r="U18" s="357">
        <f t="shared" si="0"/>
        <v>140319.17097882021</v>
      </c>
      <c r="V18" s="357"/>
      <c r="W18" s="357">
        <f t="shared" si="0"/>
        <v>145230.34196307891</v>
      </c>
      <c r="X18" s="357"/>
      <c r="Y18" s="357">
        <f t="shared" si="0"/>
        <v>150313.40393178666</v>
      </c>
      <c r="Z18" s="357"/>
      <c r="AA18" s="357">
        <f t="shared" si="0"/>
        <v>155574.37306939918</v>
      </c>
      <c r="AB18" s="357"/>
      <c r="AC18" s="357">
        <f t="shared" si="0"/>
        <v>161019.47612682814</v>
      </c>
      <c r="AD18" s="357"/>
      <c r="AE18" s="357">
        <f t="shared" si="0"/>
        <v>166655.15779126712</v>
      </c>
      <c r="AF18" s="357"/>
      <c r="AG18" s="357">
        <f t="shared" si="0"/>
        <v>172488.08831396146</v>
      </c>
    </row>
    <row r="19" spans="1:33" s="339" customFormat="1" ht="14.25">
      <c r="A19" s="339" t="s">
        <v>409</v>
      </c>
      <c r="C19" s="368"/>
      <c r="E19" s="357">
        <f>Application!W870</f>
        <v>157536</v>
      </c>
      <c r="F19" s="357"/>
      <c r="G19" s="357">
        <f t="shared" si="0"/>
        <v>163049.75999999998</v>
      </c>
      <c r="H19" s="357"/>
      <c r="I19" s="357">
        <f t="shared" si="0"/>
        <v>168756.50159999996</v>
      </c>
      <c r="J19" s="357"/>
      <c r="K19" s="357">
        <f t="shared" si="0"/>
        <v>174662.97915599996</v>
      </c>
      <c r="L19" s="357"/>
      <c r="M19" s="357">
        <f t="shared" si="0"/>
        <v>180776.18342645993</v>
      </c>
      <c r="N19" s="357"/>
      <c r="O19" s="357">
        <f t="shared" si="0"/>
        <v>187103.349846386</v>
      </c>
      <c r="P19" s="357"/>
      <c r="Q19" s="357">
        <f t="shared" si="0"/>
        <v>193651.96709100949</v>
      </c>
      <c r="R19" s="357"/>
      <c r="S19" s="357">
        <f t="shared" si="0"/>
        <v>200429.78593919482</v>
      </c>
      <c r="T19" s="357"/>
      <c r="U19" s="357">
        <f t="shared" si="0"/>
        <v>207444.82844706663</v>
      </c>
      <c r="V19" s="357"/>
      <c r="W19" s="357">
        <f t="shared" si="0"/>
        <v>214705.39744271393</v>
      </c>
      <c r="X19" s="357"/>
      <c r="Y19" s="357">
        <f t="shared" si="0"/>
        <v>222220.0863532089</v>
      </c>
      <c r="Z19" s="357"/>
      <c r="AA19" s="357">
        <f t="shared" si="0"/>
        <v>229997.78937557118</v>
      </c>
      <c r="AB19" s="357"/>
      <c r="AC19" s="357">
        <f t="shared" si="0"/>
        <v>238047.71200371615</v>
      </c>
      <c r="AD19" s="357"/>
      <c r="AE19" s="357">
        <f t="shared" si="0"/>
        <v>246379.3819238462</v>
      </c>
      <c r="AF19" s="357"/>
      <c r="AG19" s="357">
        <f t="shared" si="0"/>
        <v>255002.6602911808</v>
      </c>
    </row>
    <row r="20" spans="1:33" s="339" customFormat="1" ht="14.25">
      <c r="A20" s="361" t="s">
        <v>1040</v>
      </c>
      <c r="B20" s="361"/>
      <c r="C20" s="368"/>
      <c r="E20" s="367">
        <f>Application!W877</f>
        <v>11520</v>
      </c>
      <c r="F20" s="357"/>
      <c r="G20" s="367">
        <f t="shared" si="0"/>
        <v>11923.199999999999</v>
      </c>
      <c r="H20" s="357"/>
      <c r="I20" s="367">
        <f t="shared" si="0"/>
        <v>12340.511999999999</v>
      </c>
      <c r="J20" s="357"/>
      <c r="K20" s="367">
        <f t="shared" si="0"/>
        <v>12772.429919999999</v>
      </c>
      <c r="L20" s="357"/>
      <c r="M20" s="367">
        <f t="shared" si="0"/>
        <v>13219.464967199998</v>
      </c>
      <c r="N20" s="357"/>
      <c r="O20" s="367">
        <f t="shared" si="0"/>
        <v>13682.146241051996</v>
      </c>
      <c r="P20" s="357"/>
      <c r="Q20" s="367">
        <f t="shared" si="0"/>
        <v>14161.021359488816</v>
      </c>
      <c r="R20" s="357"/>
      <c r="S20" s="367">
        <f t="shared" si="0"/>
        <v>14656.657107070923</v>
      </c>
      <c r="T20" s="357"/>
      <c r="U20" s="367">
        <f t="shared" si="0"/>
        <v>15169.640105818404</v>
      </c>
      <c r="V20" s="357"/>
      <c r="W20" s="367">
        <f t="shared" si="0"/>
        <v>15700.577509522047</v>
      </c>
      <c r="X20" s="357"/>
      <c r="Y20" s="367">
        <f t="shared" si="0"/>
        <v>16250.097722355318</v>
      </c>
      <c r="Z20" s="357"/>
      <c r="AA20" s="367">
        <f t="shared" si="0"/>
        <v>16818.851142637752</v>
      </c>
      <c r="AB20" s="357"/>
      <c r="AC20" s="367">
        <f t="shared" si="0"/>
        <v>17407.510932630074</v>
      </c>
      <c r="AD20" s="357"/>
      <c r="AE20" s="367">
        <f t="shared" si="0"/>
        <v>18016.773815272125</v>
      </c>
      <c r="AF20" s="357"/>
      <c r="AG20" s="367">
        <f t="shared" si="0"/>
        <v>18647.360898806648</v>
      </c>
    </row>
    <row r="21" spans="1:33" s="358" customFormat="1" ht="15">
      <c r="A21" s="358" t="s">
        <v>905</v>
      </c>
      <c r="C21" s="368"/>
      <c r="E21" s="358">
        <f>SUM(E14:E20)</f>
        <v>1232694</v>
      </c>
      <c r="G21" s="358">
        <f>SUM(G14:G20)</f>
        <v>1275838.29</v>
      </c>
      <c r="I21" s="358">
        <f>SUM(I14:I20)</f>
        <v>1320492.6301500001</v>
      </c>
      <c r="K21" s="358">
        <f>SUM(K14:K20)</f>
        <v>1366709.8722052495</v>
      </c>
      <c r="M21" s="358">
        <f>SUM(M14:M20)</f>
        <v>1414544.7177324335</v>
      </c>
      <c r="O21" s="358">
        <f>SUM(O14:O20)</f>
        <v>1464053.7828530683</v>
      </c>
      <c r="Q21" s="358">
        <f>SUM(Q14:Q20)</f>
        <v>1515295.6652529258</v>
      </c>
      <c r="S21" s="358">
        <f>SUM(S14:S20)</f>
        <v>1568331.013536778</v>
      </c>
      <c r="U21" s="358">
        <f>SUM(U14:U20)</f>
        <v>1623222.5990105651</v>
      </c>
      <c r="W21" s="358">
        <f>SUM(W14:W20)</f>
        <v>1680035.3899759343</v>
      </c>
      <c r="Y21" s="358">
        <f>SUM(Y14:Y20)</f>
        <v>1738836.6286250921</v>
      </c>
      <c r="AA21" s="358">
        <f>SUM(AA14:AA20)</f>
        <v>1799695.9106269705</v>
      </c>
      <c r="AC21" s="358">
        <f>SUM(AC14:AC20)</f>
        <v>1862685.2674989144</v>
      </c>
      <c r="AE21" s="358">
        <f>SUM(AE14:AE20)</f>
        <v>1927879.2518613762</v>
      </c>
      <c r="AG21" s="358">
        <f>SUM(AG14:AG20)</f>
        <v>1995355.025676524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25200</v>
      </c>
      <c r="F26" s="357"/>
      <c r="G26" s="357">
        <f>E26*$C$26</f>
        <v>26081.999999999996</v>
      </c>
      <c r="H26" s="357"/>
      <c r="I26" s="357">
        <f>G26*$C$26</f>
        <v>26994.869999999995</v>
      </c>
      <c r="J26" s="357"/>
      <c r="K26" s="357">
        <f>I26*$C$26</f>
        <v>27939.690449999995</v>
      </c>
      <c r="L26" s="357"/>
      <c r="M26" s="357">
        <f>K26*$C$26</f>
        <v>28917.579615749994</v>
      </c>
      <c r="N26" s="357"/>
      <c r="O26" s="357">
        <f>M26*$C$26</f>
        <v>29929.694902301242</v>
      </c>
      <c r="P26" s="357"/>
      <c r="Q26" s="357">
        <f>O26*$C$26</f>
        <v>30977.234223881784</v>
      </c>
      <c r="R26" s="357"/>
      <c r="S26" s="357">
        <f>Q26*$C$26</f>
        <v>32061.437421717645</v>
      </c>
      <c r="T26" s="357"/>
      <c r="U26" s="357">
        <f>S26*$C$26</f>
        <v>33183.587731477761</v>
      </c>
      <c r="V26" s="357"/>
      <c r="W26" s="357">
        <f>U26*$C$26</f>
        <v>34345.013302079482</v>
      </c>
      <c r="X26" s="357"/>
      <c r="Y26" s="357">
        <f>W26*$C$26</f>
        <v>35547.088767652262</v>
      </c>
      <c r="Z26" s="357"/>
      <c r="AA26" s="357">
        <f>Y26*$C$26</f>
        <v>36791.236874520087</v>
      </c>
      <c r="AB26" s="357"/>
      <c r="AC26" s="357">
        <f>AA26*$C$26</f>
        <v>38078.930165128288</v>
      </c>
      <c r="AD26" s="357"/>
      <c r="AE26" s="357">
        <f>AC26*$C$26</f>
        <v>39411.692720907777</v>
      </c>
      <c r="AF26" s="357"/>
      <c r="AG26" s="357">
        <f>AE26*$C$26</f>
        <v>40791.101966139548</v>
      </c>
    </row>
    <row r="27" spans="1:33" s="339" customFormat="1" ht="14.25">
      <c r="A27" s="339" t="s">
        <v>908</v>
      </c>
      <c r="C27" s="376"/>
      <c r="E27" s="357">
        <f>Application!AC887</f>
        <v>86400</v>
      </c>
      <c r="F27" s="357"/>
      <c r="G27" s="357">
        <f>$E$27</f>
        <v>86400</v>
      </c>
      <c r="H27" s="357"/>
      <c r="I27" s="357">
        <f>$E$27</f>
        <v>86400</v>
      </c>
      <c r="J27" s="357"/>
      <c r="K27" s="357">
        <f>$E$27</f>
        <v>86400</v>
      </c>
      <c r="L27" s="357"/>
      <c r="M27" s="357">
        <f>$E$27</f>
        <v>86400</v>
      </c>
      <c r="N27" s="357"/>
      <c r="O27" s="357">
        <f>$E$27</f>
        <v>86400</v>
      </c>
      <c r="P27" s="357"/>
      <c r="Q27" s="357">
        <f>$E$27</f>
        <v>86400</v>
      </c>
      <c r="R27" s="357"/>
      <c r="S27" s="357">
        <f>$E$27</f>
        <v>86400</v>
      </c>
      <c r="T27" s="357"/>
      <c r="U27" s="357">
        <f>$E$27</f>
        <v>86400</v>
      </c>
      <c r="V27" s="357"/>
      <c r="W27" s="357">
        <f>$E$27</f>
        <v>86400</v>
      </c>
      <c r="X27" s="357"/>
      <c r="Y27" s="357">
        <f>$E$27</f>
        <v>86400</v>
      </c>
      <c r="Z27" s="357"/>
      <c r="AA27" s="357">
        <f>$E$27</f>
        <v>86400</v>
      </c>
      <c r="AB27" s="357"/>
      <c r="AC27" s="357">
        <f>$E$27</f>
        <v>86400</v>
      </c>
      <c r="AD27" s="357"/>
      <c r="AE27" s="357">
        <f>$E$27</f>
        <v>86400</v>
      </c>
      <c r="AF27" s="357"/>
      <c r="AG27" s="357">
        <f>$E$27</f>
        <v>86400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148032</v>
      </c>
      <c r="F30" s="357"/>
      <c r="G30" s="357">
        <f>E30*$C$30</f>
        <v>150992.64000000001</v>
      </c>
      <c r="H30" s="357"/>
      <c r="I30" s="357">
        <f>G30*$C$30</f>
        <v>154012.49280000001</v>
      </c>
      <c r="J30" s="357"/>
      <c r="K30" s="357">
        <f>I30*$C$30</f>
        <v>157092.74265600002</v>
      </c>
      <c r="L30" s="357"/>
      <c r="M30" s="357">
        <f>K30*$C$30</f>
        <v>160234.59750912001</v>
      </c>
      <c r="N30" s="357"/>
      <c r="O30" s="357">
        <f>M30*$C$30</f>
        <v>163439.28945930241</v>
      </c>
      <c r="P30" s="357"/>
      <c r="Q30" s="357">
        <f>O30*$C$30</f>
        <v>166708.07524848846</v>
      </c>
      <c r="R30" s="357"/>
      <c r="S30" s="357">
        <f>Q30*$C$30</f>
        <v>170042.23675345824</v>
      </c>
      <c r="T30" s="357"/>
      <c r="U30" s="357">
        <f>S30*$C$30</f>
        <v>173443.08148852742</v>
      </c>
      <c r="V30" s="357"/>
      <c r="W30" s="357">
        <f>U30*$C$30</f>
        <v>176911.94311829796</v>
      </c>
      <c r="X30" s="357"/>
      <c r="Y30" s="357">
        <f>W30*$C$30</f>
        <v>180450.18198066391</v>
      </c>
      <c r="Z30" s="357"/>
      <c r="AA30" s="357">
        <f>Y30*$C$30</f>
        <v>184059.18562027719</v>
      </c>
      <c r="AB30" s="357"/>
      <c r="AC30" s="357">
        <f>AA30*$C$30</f>
        <v>187740.36933268275</v>
      </c>
      <c r="AD30" s="357"/>
      <c r="AE30" s="357">
        <f>AC30*$C$30</f>
        <v>191495.17671933642</v>
      </c>
      <c r="AF30" s="357"/>
      <c r="AG30" s="357">
        <f>AE30*$C$30</f>
        <v>195325.08025372316</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1492326</v>
      </c>
      <c r="G34" s="358">
        <f>SUM(G21:G32)</f>
        <v>1539312.9300000002</v>
      </c>
      <c r="I34" s="358">
        <f>SUM(I21:I32)</f>
        <v>1587899.9929500003</v>
      </c>
      <c r="K34" s="358">
        <f>SUM(K21:K32)</f>
        <v>1638142.3053112496</v>
      </c>
      <c r="M34" s="358">
        <f>SUM(M21:M32)</f>
        <v>1690096.8948573032</v>
      </c>
      <c r="O34" s="358">
        <f>SUM(O21:O32)</f>
        <v>1743822.7672146719</v>
      </c>
      <c r="Q34" s="358">
        <f>SUM(Q21:Q32)</f>
        <v>1799380.974725296</v>
      </c>
      <c r="S34" s="358">
        <f>SUM(S21:S32)</f>
        <v>1856834.6877119539</v>
      </c>
      <c r="U34" s="358">
        <f>SUM(U21:U32)</f>
        <v>1916249.2682305702</v>
      </c>
      <c r="W34" s="358">
        <f>SUM(W21:W32)</f>
        <v>1977692.3463963117</v>
      </c>
      <c r="Y34" s="358">
        <f>SUM(Y21:Y32)</f>
        <v>2041233.8993734082</v>
      </c>
      <c r="AA34" s="358">
        <f>SUM(AA21:AA32)</f>
        <v>2106946.3331217677</v>
      </c>
      <c r="AC34" s="358">
        <f>SUM(AC21:AC32)</f>
        <v>2174904.5669967253</v>
      </c>
      <c r="AE34" s="358">
        <f>SUM(AE21:AE32)</f>
        <v>2245186.1213016203</v>
      </c>
      <c r="AG34" s="358">
        <f>SUM(AG21:AG32)</f>
        <v>2317871.2078963867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2369721.35</v>
      </c>
      <c r="G36" s="358">
        <f>G10-G34</f>
        <v>2419285.6037499998</v>
      </c>
      <c r="I36" s="358">
        <f>I10-I34</f>
        <v>2469663.5041437494</v>
      </c>
      <c r="K36" s="358">
        <f>K10-K34</f>
        <v>2520860.2792098434</v>
      </c>
      <c r="M36" s="358">
        <f>M10-M34</f>
        <v>2572880.7542768167</v>
      </c>
      <c r="O36" s="358">
        <f>O10-O34</f>
        <v>2625729.3231478017</v>
      </c>
      <c r="Q36" s="358">
        <f>Q10-Q34</f>
        <v>2679409.9178962372</v>
      </c>
      <c r="S36" s="358">
        <f>S10-S34</f>
        <v>2733925.9772251174</v>
      </c>
      <c r="U36" s="358">
        <f>U10-U34</f>
        <v>2789280.4133299273</v>
      </c>
      <c r="W36" s="358">
        <f>W10-W34</f>
        <v>2845475.5772031988</v>
      </c>
      <c r="Y36" s="358">
        <f>Y10-Y34</f>
        <v>2902513.2223160891</v>
      </c>
      <c r="AA36" s="358">
        <f>AA10-AA34</f>
        <v>2960394.4666099665</v>
      </c>
      <c r="AC36" s="358">
        <f>AC10-AC34</f>
        <v>3019119.752728302</v>
      </c>
      <c r="AE36" s="358">
        <f>AE10-AE34</f>
        <v>3078688.806416533</v>
      </c>
      <c r="AG36" s="358">
        <f>AG10-AG34</f>
        <v>3139100.5930147204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-Tranche A - Tax-Exempt</v>
      </c>
      <c r="B39" s="361"/>
      <c r="C39" s="355"/>
      <c r="E39" s="357">
        <f>Application!AF637</f>
        <v>2034730</v>
      </c>
      <c r="F39" s="357"/>
      <c r="G39" s="357">
        <f>$E$39</f>
        <v>2034730</v>
      </c>
      <c r="H39" s="357"/>
      <c r="I39" s="357">
        <f>$E$39</f>
        <v>2034730</v>
      </c>
      <c r="J39" s="357"/>
      <c r="K39" s="357">
        <f>$E$39</f>
        <v>2034730</v>
      </c>
      <c r="L39" s="357"/>
      <c r="M39" s="357">
        <f>$E$39</f>
        <v>2034730</v>
      </c>
      <c r="N39" s="357"/>
      <c r="O39" s="357">
        <f>$E$39</f>
        <v>2034730</v>
      </c>
      <c r="P39" s="357"/>
      <c r="Q39" s="357">
        <f>$E$39</f>
        <v>2034730</v>
      </c>
      <c r="R39" s="357"/>
      <c r="S39" s="357">
        <f>$E$39</f>
        <v>2034730</v>
      </c>
      <c r="T39" s="357"/>
      <c r="U39" s="357">
        <f>$E$39</f>
        <v>2034730</v>
      </c>
      <c r="V39" s="357"/>
      <c r="W39" s="357">
        <f>$E$39</f>
        <v>2034730</v>
      </c>
      <c r="X39" s="357"/>
      <c r="Y39" s="357">
        <f>$E$39</f>
        <v>2034730</v>
      </c>
      <c r="Z39" s="357"/>
      <c r="AA39" s="357">
        <f>$E$39</f>
        <v>2034730</v>
      </c>
      <c r="AB39" s="357"/>
      <c r="AC39" s="357">
        <f>$E$39</f>
        <v>2034730</v>
      </c>
      <c r="AD39" s="357"/>
      <c r="AE39" s="357">
        <f>$E$39</f>
        <v>2034730</v>
      </c>
      <c r="AF39" s="357"/>
      <c r="AG39" s="357">
        <f>$E$39</f>
        <v>2034730</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2034730</v>
      </c>
      <c r="G42" s="358">
        <f>SUM(G39:G41)</f>
        <v>2034730</v>
      </c>
      <c r="I42" s="358">
        <f>SUM(I39:I41)</f>
        <v>2034730</v>
      </c>
      <c r="K42" s="358">
        <f>SUM(K39:K41)</f>
        <v>2034730</v>
      </c>
      <c r="M42" s="358">
        <f>SUM(M39:M41)</f>
        <v>2034730</v>
      </c>
      <c r="O42" s="358">
        <f>SUM(O39:O41)</f>
        <v>2034730</v>
      </c>
      <c r="Q42" s="358">
        <f>SUM(Q39:Q41)</f>
        <v>2034730</v>
      </c>
      <c r="S42" s="358">
        <f>SUM(S39:S41)</f>
        <v>2034730</v>
      </c>
      <c r="U42" s="358">
        <f>SUM(U39:U41)</f>
        <v>2034730</v>
      </c>
      <c r="W42" s="358">
        <f>SUM(W39:W41)</f>
        <v>2034730</v>
      </c>
      <c r="Y42" s="358">
        <f>SUM(Y39:Y41)</f>
        <v>2034730</v>
      </c>
      <c r="AA42" s="358">
        <f>SUM(AA39:AA41)</f>
        <v>2034730</v>
      </c>
      <c r="AC42" s="358">
        <f>SUM(AC39:AC41)</f>
        <v>2034730</v>
      </c>
      <c r="AE42" s="358">
        <f>SUM(AE39:AE41)</f>
        <v>2034730</v>
      </c>
      <c r="AG42" s="358">
        <f>SUM(AG39:AG41)</f>
        <v>2034730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334991.35000000009</v>
      </c>
      <c r="G44" s="358">
        <f>G36-G42</f>
        <v>384555.60374999978</v>
      </c>
      <c r="I44" s="358">
        <f>I36-I42</f>
        <v>434933.50414374936</v>
      </c>
      <c r="K44" s="358">
        <f>K36-K42</f>
        <v>486130.27920984337</v>
      </c>
      <c r="M44" s="358">
        <f>M36-M42</f>
        <v>538150.75427681673</v>
      </c>
      <c r="O44" s="358">
        <f>O36-O42</f>
        <v>590999.32314780168</v>
      </c>
      <c r="Q44" s="358">
        <f>Q36-Q42</f>
        <v>644679.91789623722</v>
      </c>
      <c r="S44" s="358">
        <f>S36-S42</f>
        <v>699195.97722511739</v>
      </c>
      <c r="U44" s="358">
        <f>U36-U42</f>
        <v>754550.41332992725</v>
      </c>
      <c r="W44" s="358">
        <f>W36-W42</f>
        <v>810745.5772031988</v>
      </c>
      <c r="Y44" s="358">
        <f>Y36-Y42</f>
        <v>867783.22231608909</v>
      </c>
      <c r="AA44" s="358">
        <f>AA36-AA42</f>
        <v>925664.46660996648</v>
      </c>
      <c r="AC44" s="358">
        <f>AC36-AC42</f>
        <v>984389.75272830203</v>
      </c>
      <c r="AE44" s="358">
        <f>AE36-AE42</f>
        <v>1043958.806416533</v>
      </c>
      <c r="AG44" s="358">
        <f>AG36-AG42</f>
        <v>1104370.5930147204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8.2402351307267141E-2</v>
      </c>
      <c r="G46" s="362">
        <f>G44/(G4+G6+G8)</f>
        <v>9.2287161844730681E-2</v>
      </c>
      <c r="I46" s="362">
        <f>I44/(I4+I6+I8)</f>
        <v>0.10183126628394333</v>
      </c>
      <c r="K46" s="362">
        <f>K44/(K4+K6+K8)</f>
        <v>0.111041951973812</v>
      </c>
      <c r="M46" s="362">
        <f>M44/(M4+M6+M8)</f>
        <v>0.11992631879428636</v>
      </c>
      <c r="O46" s="362">
        <f>O44/(O4+O6+O8)</f>
        <v>0.12849128363265191</v>
      </c>
      <c r="Q46" s="362">
        <f>Q44/(Q4+Q6+Q8)</f>
        <v>0.13674358474971074</v>
      </c>
      <c r="S46" s="362">
        <f>S44/(S4+S6+S8)</f>
        <v>0.14468978603853369</v>
      </c>
      <c r="U46" s="362">
        <f>U44/(U4+U6+U8)</f>
        <v>0.1523362811783838</v>
      </c>
      <c r="W46" s="362">
        <f>W44/(W4+W6+W8)</f>
        <v>0.15968929768637116</v>
      </c>
      <c r="Y46" s="362">
        <f>Y44/(Y4+Y6+Y8)</f>
        <v>0.16675490086931319</v>
      </c>
      <c r="AA46" s="362">
        <f>AA44/(AA4+AA6+AA8)</f>
        <v>0.17353899767823444</v>
      </c>
      <c r="AC46" s="362">
        <f>AC44/(AC4+AC6+AC8)</f>
        <v>0.18004734046786192</v>
      </c>
      <c r="AE46" s="362">
        <f>AE44/(AE4+AE6+AE8)</f>
        <v>0.18628553066343001</v>
      </c>
      <c r="AG46" s="362">
        <f>AG44/(AG4+AG6+AG8)</f>
        <v>0.19225902233704337</v>
      </c>
    </row>
    <row r="47" spans="1:33" s="362" customFormat="1" ht="14.25">
      <c r="A47" s="362" t="s">
        <v>914</v>
      </c>
      <c r="C47" s="355"/>
      <c r="E47" s="362">
        <f>E44/E42</f>
        <v>0.16463675770249619</v>
      </c>
      <c r="G47" s="362">
        <f>G44/G42</f>
        <v>0.18899588827510272</v>
      </c>
      <c r="I47" s="362">
        <f>I44/I42</f>
        <v>0.2137548982635285</v>
      </c>
      <c r="K47" s="362">
        <f>K44/K42</f>
        <v>0.23891635706449671</v>
      </c>
      <c r="M47" s="362">
        <f>M44/M42</f>
        <v>0.26448263616146456</v>
      </c>
      <c r="O47" s="362">
        <f>O44/O42</f>
        <v>0.29045589495795593</v>
      </c>
      <c r="Q47" s="362">
        <f>Q44/Q42</f>
        <v>0.31683806593318881</v>
      </c>
      <c r="S47" s="362">
        <f>S44/S42</f>
        <v>0.34363083909173081</v>
      </c>
      <c r="U47" s="362">
        <f>U44/U42</f>
        <v>0.37083564567776917</v>
      </c>
      <c r="W47" s="362">
        <f>W44/W42</f>
        <v>0.39845364112349002</v>
      </c>
      <c r="Y47" s="362">
        <f>Y44/Y42</f>
        <v>0.42648568719981966</v>
      </c>
      <c r="AA47" s="362">
        <f>AA44/AA42</f>
        <v>0.45493233333659328</v>
      </c>
      <c r="AC47" s="362">
        <f>AC44/AC42</f>
        <v>0.48379379707789338</v>
      </c>
      <c r="AE47" s="362">
        <f>AE44/AE42</f>
        <v>0.51306994363700975</v>
      </c>
      <c r="AG47" s="362">
        <f>AG44/AG42</f>
        <v>0.54276026451407333</v>
      </c>
    </row>
    <row r="48" spans="1:33" s="363" customFormat="1" ht="14.25">
      <c r="A48" s="363" t="s">
        <v>912</v>
      </c>
      <c r="C48" s="364"/>
      <c r="E48" s="363">
        <f>E36/E42</f>
        <v>1.1646367577024963</v>
      </c>
      <c r="G48" s="363">
        <f>G36/G42</f>
        <v>1.1889958882751028</v>
      </c>
      <c r="I48" s="363">
        <f>I36/I42</f>
        <v>1.2137548982635284</v>
      </c>
      <c r="K48" s="363">
        <f>K36/K42</f>
        <v>1.2389163570644968</v>
      </c>
      <c r="M48" s="363">
        <f>M36/M42</f>
        <v>1.2644826361614645</v>
      </c>
      <c r="O48" s="363">
        <f>O36/O42</f>
        <v>1.2904558949579559</v>
      </c>
      <c r="Q48" s="363">
        <f>Q36/Q42</f>
        <v>1.3168380659331889</v>
      </c>
      <c r="S48" s="363">
        <f>S36/S42</f>
        <v>1.3436308390917309</v>
      </c>
      <c r="U48" s="363">
        <f>U36/U42</f>
        <v>1.3708356456777691</v>
      </c>
      <c r="W48" s="363">
        <f>W36/W42</f>
        <v>1.39845364112349</v>
      </c>
      <c r="Y48" s="363">
        <f>Y36/Y42</f>
        <v>1.4264856871998197</v>
      </c>
      <c r="AA48" s="363">
        <f>AA36/AA42</f>
        <v>1.4549323333365933</v>
      </c>
      <c r="AC48" s="363">
        <f>AC36/AC42</f>
        <v>1.4837937970778934</v>
      </c>
      <c r="AE48" s="363">
        <f>AE36/AE42</f>
        <v>1.5130699436370099</v>
      </c>
      <c r="AG48" s="363">
        <f>AG36/AG42</f>
        <v>1.5427602645140732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2538</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1.02</v>
      </c>
      <c r="E52" s="1678">
        <v>31104</v>
      </c>
      <c r="G52" s="1674">
        <f>E52*$C$52</f>
        <v>31726.080000000002</v>
      </c>
      <c r="I52" s="1674">
        <f>G52*$C$52</f>
        <v>32360.601600000002</v>
      </c>
      <c r="K52" s="1674">
        <f>I52*$C$52</f>
        <v>33007.813632000005</v>
      </c>
      <c r="M52" s="1674">
        <f>K52*$C$52</f>
        <v>33667.969904640006</v>
      </c>
      <c r="O52" s="1674">
        <f>M52*$C$52</f>
        <v>34341.329302732804</v>
      </c>
      <c r="Q52" s="1674">
        <f>O52*$C$52</f>
        <v>35028.155888787463</v>
      </c>
      <c r="S52" s="1674">
        <f>Q52*$C$52</f>
        <v>35728.719006563217</v>
      </c>
      <c r="U52" s="1674">
        <f>S52*$C$52</f>
        <v>36443.29338669448</v>
      </c>
      <c r="W52" s="1674">
        <f>U52*$C$52</f>
        <v>37172.15925442837</v>
      </c>
      <c r="Y52" s="1674">
        <f>W52*$C$52</f>
        <v>37915.602439516937</v>
      </c>
      <c r="AA52" s="1674">
        <f>Y52*$C$52</f>
        <v>38673.914488307273</v>
      </c>
      <c r="AC52" s="1674">
        <f>AA52*$C$52</f>
        <v>39447.392778073416</v>
      </c>
      <c r="AE52" s="1674">
        <f>AC52*$C$52</f>
        <v>40236.340633634885</v>
      </c>
      <c r="AG52" s="1674">
        <f>AE52*$C$52</f>
        <v>41041.067446307585</v>
      </c>
    </row>
    <row r="53" spans="1:35" s="6" customFormat="1">
      <c r="A53" s="6" t="s">
        <v>917</v>
      </c>
      <c r="C53" s="1672">
        <v>1.03</v>
      </c>
      <c r="E53" s="1679">
        <v>7500</v>
      </c>
      <c r="F53" s="1674"/>
      <c r="G53" s="1674">
        <f>E53*$C$53</f>
        <v>7725</v>
      </c>
      <c r="H53" s="1674"/>
      <c r="I53" s="1674">
        <f>G53*$C$53</f>
        <v>7956.75</v>
      </c>
      <c r="J53" s="1674"/>
      <c r="K53" s="1674">
        <f>I53*$C$53</f>
        <v>8195.4524999999994</v>
      </c>
      <c r="L53" s="1674"/>
      <c r="M53" s="1674">
        <f t="shared" ref="G53:AG56" si="1">K53*$C$52</f>
        <v>8359.3615499999996</v>
      </c>
      <c r="N53" s="1674"/>
      <c r="O53" s="1674">
        <f t="shared" si="1"/>
        <v>8526.5487809999995</v>
      </c>
      <c r="P53" s="1674"/>
      <c r="Q53" s="1674">
        <f t="shared" si="1"/>
        <v>8697.0797566199999</v>
      </c>
      <c r="R53" s="1674"/>
      <c r="S53" s="1674">
        <f t="shared" si="1"/>
        <v>8871.0213517524007</v>
      </c>
      <c r="T53" s="1674"/>
      <c r="U53" s="1674">
        <f t="shared" si="1"/>
        <v>9048.4417787874481</v>
      </c>
      <c r="V53" s="1674"/>
      <c r="W53" s="1674">
        <f t="shared" si="1"/>
        <v>9229.410614363198</v>
      </c>
      <c r="X53" s="1674"/>
      <c r="Y53" s="1674">
        <f t="shared" si="1"/>
        <v>9413.9988266504624</v>
      </c>
      <c r="Z53" s="1674"/>
      <c r="AA53" s="1674">
        <f t="shared" si="1"/>
        <v>9602.2788031834716</v>
      </c>
      <c r="AB53" s="1674"/>
      <c r="AC53" s="1674">
        <f t="shared" si="1"/>
        <v>9794.3243792471403</v>
      </c>
      <c r="AD53" s="1674"/>
      <c r="AE53" s="1674">
        <f t="shared" si="1"/>
        <v>9990.2108668320834</v>
      </c>
      <c r="AF53" s="1674"/>
      <c r="AG53" s="1674">
        <f t="shared" si="1"/>
        <v>10190.015084168725</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t="s">
        <v>2539</v>
      </c>
      <c r="B55" s="1680"/>
      <c r="C55" s="1672">
        <v>1.03</v>
      </c>
      <c r="E55" s="1679">
        <f>E10*0.015</f>
        <v>57930.710249999996</v>
      </c>
      <c r="F55" s="1674"/>
      <c r="G55" s="1674">
        <f>E55*$C$55</f>
        <v>59668.631557499997</v>
      </c>
      <c r="H55" s="1674"/>
      <c r="I55" s="1674">
        <f>G55*$C$55</f>
        <v>61458.690504225</v>
      </c>
      <c r="J55" s="1674"/>
      <c r="K55" s="1674">
        <f>I55*$C$55</f>
        <v>63302.451219351751</v>
      </c>
      <c r="L55" s="1674"/>
      <c r="M55" s="1674">
        <f t="shared" si="1"/>
        <v>64568.500243738788</v>
      </c>
      <c r="N55" s="1674"/>
      <c r="O55" s="1674">
        <f t="shared" si="1"/>
        <v>65859.870248613559</v>
      </c>
      <c r="P55" s="1674"/>
      <c r="Q55" s="1674">
        <f t="shared" si="1"/>
        <v>67177.067653585837</v>
      </c>
      <c r="R55" s="1674"/>
      <c r="S55" s="1674">
        <f t="shared" si="1"/>
        <v>68520.609006657556</v>
      </c>
      <c r="T55" s="1674"/>
      <c r="U55" s="1674">
        <f t="shared" si="1"/>
        <v>69891.021186790706</v>
      </c>
      <c r="V55" s="1674"/>
      <c r="W55" s="1674">
        <f t="shared" si="1"/>
        <v>71288.841610526521</v>
      </c>
      <c r="X55" s="1674"/>
      <c r="Y55" s="1674">
        <f t="shared" si="1"/>
        <v>72714.618442737046</v>
      </c>
      <c r="Z55" s="1674"/>
      <c r="AA55" s="1674">
        <f t="shared" si="1"/>
        <v>74168.910811591792</v>
      </c>
      <c r="AB55" s="1674"/>
      <c r="AC55" s="1674">
        <f t="shared" si="1"/>
        <v>75652.28902782363</v>
      </c>
      <c r="AD55" s="1674"/>
      <c r="AE55" s="1674">
        <f t="shared" si="1"/>
        <v>77165.33480838011</v>
      </c>
      <c r="AF55" s="1674"/>
      <c r="AG55" s="1674">
        <f t="shared" si="1"/>
        <v>78708.641504547719</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96534.710250000004</v>
      </c>
      <c r="F57" s="1674"/>
      <c r="G57" s="1674">
        <f>SUM(G52:G56)</f>
        <v>99119.711557500006</v>
      </c>
      <c r="H57" s="1674"/>
      <c r="I57" s="1674">
        <f>SUM(I52:I56)</f>
        <v>101776.04210422499</v>
      </c>
      <c r="J57" s="1674"/>
      <c r="K57" s="1674">
        <f>SUM(K52:K56)</f>
        <v>104505.71735135175</v>
      </c>
      <c r="L57" s="1674"/>
      <c r="M57" s="1674">
        <f>SUM(M52:M56)</f>
        <v>106595.8316983788</v>
      </c>
      <c r="N57" s="1674"/>
      <c r="O57" s="1674">
        <f>SUM(O52:O56)</f>
        <v>108727.74833234635</v>
      </c>
      <c r="P57" s="1674"/>
      <c r="Q57" s="1674">
        <f>SUM(Q52:Q56)</f>
        <v>110902.3032989933</v>
      </c>
      <c r="R57" s="1674"/>
      <c r="S57" s="1674">
        <f>SUM(S52:S56)</f>
        <v>113120.34936497317</v>
      </c>
      <c r="T57" s="1674"/>
      <c r="U57" s="1674">
        <f>SUM(U52:U56)</f>
        <v>115382.75635227264</v>
      </c>
      <c r="V57" s="1674"/>
      <c r="W57" s="1674">
        <f>SUM(W52:W56)</f>
        <v>117690.41147931809</v>
      </c>
      <c r="X57" s="1674"/>
      <c r="Y57" s="1674">
        <f>SUM(Y52:Y56)</f>
        <v>120044.21970890445</v>
      </c>
      <c r="Z57" s="1674"/>
      <c r="AA57" s="1674">
        <f>SUM(AA52:AA56)</f>
        <v>122445.10410308253</v>
      </c>
      <c r="AB57" s="1674"/>
      <c r="AC57" s="1674">
        <f>SUM(AC52:AC56)</f>
        <v>124894.00618514419</v>
      </c>
      <c r="AD57" s="1674"/>
      <c r="AE57" s="1674">
        <f>SUM(AE52:AE56)</f>
        <v>127391.88630884708</v>
      </c>
      <c r="AF57" s="1674"/>
      <c r="AG57" s="1674">
        <f>SUM(AG52:AG56)</f>
        <v>129939.72403502403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238456.63975000009</v>
      </c>
      <c r="G59" s="1676">
        <f>G44-G57</f>
        <v>285435.89219249977</v>
      </c>
      <c r="I59" s="1676">
        <f>I44-I57</f>
        <v>333157.46203952434</v>
      </c>
      <c r="K59" s="1676">
        <f>K44-K57</f>
        <v>381624.56185849162</v>
      </c>
      <c r="M59" s="1676">
        <f>M44-M57</f>
        <v>431554.92257843795</v>
      </c>
      <c r="O59" s="1676">
        <f>O44-O57</f>
        <v>482271.57481545536</v>
      </c>
      <c r="Q59" s="1676">
        <f>Q44-Q57</f>
        <v>533777.61459724396</v>
      </c>
      <c r="S59" s="1676">
        <f>S44-S57</f>
        <v>586075.62786014425</v>
      </c>
      <c r="U59" s="1676">
        <f>U44-U57</f>
        <v>639167.65697765467</v>
      </c>
      <c r="W59" s="1676">
        <f>W44-W57</f>
        <v>693055.16572388075</v>
      </c>
      <c r="Y59" s="1676">
        <f>Y44-Y57</f>
        <v>747739.0026071847</v>
      </c>
      <c r="AA59" s="1676">
        <f>AA44-AA57</f>
        <v>803219.36250688392</v>
      </c>
      <c r="AC59" s="1676">
        <f>AC44-AC57</f>
        <v>859495.74654315785</v>
      </c>
      <c r="AE59" s="1676">
        <f>AE44-AE57</f>
        <v>916566.92010768584</v>
      </c>
      <c r="AG59" s="1676">
        <f>AG44-AG57</f>
        <v>974430.8689796963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119228.31987500004</v>
      </c>
      <c r="G61" s="1684">
        <f>G59*$C$61</f>
        <v>142717.94609624989</v>
      </c>
      <c r="H61" s="1684"/>
      <c r="I61" s="1684">
        <f>I59*$C$61</f>
        <v>166578.73101976217</v>
      </c>
      <c r="J61" s="1684"/>
      <c r="K61" s="1684">
        <f>K59*$C$61</f>
        <v>190812.28092924581</v>
      </c>
      <c r="L61" s="1684"/>
      <c r="M61" s="1684">
        <f>M59*$C$61</f>
        <v>215777.46128921898</v>
      </c>
      <c r="N61" s="1684"/>
      <c r="O61" s="1684">
        <f>O59*$C$61</f>
        <v>241135.78740772768</v>
      </c>
      <c r="P61" s="1684"/>
      <c r="Q61" s="1684">
        <f>Q59*$C$61</f>
        <v>266888.80729862198</v>
      </c>
      <c r="R61" s="1684"/>
      <c r="S61" s="1684">
        <f>S59*$C$61</f>
        <v>293037.81393007212</v>
      </c>
      <c r="T61" s="1684"/>
      <c r="U61" s="1684">
        <f>U59*$C$61</f>
        <v>319583.82848882733</v>
      </c>
      <c r="V61" s="1684"/>
      <c r="W61" s="1684">
        <f>W59*$C$61</f>
        <v>346527.58286194038</v>
      </c>
      <c r="Y61" s="1684">
        <f>Y59*$C$61</f>
        <v>373869.50130359235</v>
      </c>
      <c r="AA61" s="1684">
        <f>AA59*$C$61</f>
        <v>401609.68125344196</v>
      </c>
      <c r="AC61" s="1684">
        <f>AC59*$C$61</f>
        <v>429747.87327157892</v>
      </c>
      <c r="AE61" s="1684">
        <f>AE59*$C$61</f>
        <v>458283.46005384292</v>
      </c>
      <c r="AG61" s="1684">
        <f>AG59*$C$61</f>
        <v>487215.43448984815</v>
      </c>
    </row>
    <row r="62" spans="1:35" s="1684" customFormat="1">
      <c r="A62" s="3365" t="s">
        <v>2538</v>
      </c>
      <c r="B62" s="3365"/>
      <c r="C62" s="336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Application!C566</f>
        <v>USA Properties Fund, Inc.- Tax Exempt B Bond</v>
      </c>
      <c r="B65" s="1678"/>
      <c r="C65" s="1677"/>
      <c r="E65" s="1678">
        <f>$E59*$C$64</f>
        <v>119228.31987500004</v>
      </c>
      <c r="G65" s="1674">
        <f>G59*$C$64</f>
        <v>142717.94609624989</v>
      </c>
      <c r="I65" s="1674">
        <f>I59*$C$64</f>
        <v>166578.73101976217</v>
      </c>
      <c r="K65" s="1674">
        <f>K59*$C$64</f>
        <v>190812.28092924581</v>
      </c>
      <c r="M65" s="1674">
        <f>M59*$C$64</f>
        <v>215777.46128921898</v>
      </c>
      <c r="O65" s="1674">
        <f>O59*$C$64</f>
        <v>241135.78740772768</v>
      </c>
      <c r="Q65" s="1674">
        <f>Q59*$C$64</f>
        <v>266888.80729862198</v>
      </c>
      <c r="S65" s="1674">
        <f>S59*$C$64</f>
        <v>293037.81393007212</v>
      </c>
      <c r="U65" s="1674">
        <f>U59*$C$64</f>
        <v>319583.82848882733</v>
      </c>
      <c r="W65" s="1674">
        <f>W59*$C$64</f>
        <v>346527.58286194038</v>
      </c>
      <c r="Y65" s="1674">
        <f>Y59*$C$64</f>
        <v>373869.50130359235</v>
      </c>
      <c r="AA65" s="1674">
        <f>AA59*$C$64</f>
        <v>401609.68125344196</v>
      </c>
      <c r="AC65" s="1674">
        <f>AC59*$C$64</f>
        <v>429747.87327157892</v>
      </c>
      <c r="AE65" s="1674">
        <f>AE59*$C$64</f>
        <v>458283.46005384292</v>
      </c>
      <c r="AG65" s="1674">
        <f>AG59*$C$64</f>
        <v>487215.43448984815</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119228.31987500004</v>
      </c>
      <c r="G69" s="1686">
        <f>SUM(G65:G68)</f>
        <v>142717.94609624989</v>
      </c>
      <c r="I69" s="1686">
        <f>SUM(I65:I68)</f>
        <v>166578.73101976217</v>
      </c>
      <c r="K69" s="1686">
        <f>SUM(K65:K68)</f>
        <v>190812.28092924581</v>
      </c>
      <c r="M69" s="1686">
        <f>SUM(M65:M68)</f>
        <v>215777.46128921898</v>
      </c>
      <c r="O69" s="1686">
        <f>SUM(O65:O68)</f>
        <v>241135.78740772768</v>
      </c>
      <c r="Q69" s="1686">
        <f>SUM(Q65:Q68)</f>
        <v>266888.80729862198</v>
      </c>
      <c r="S69" s="1686">
        <f>SUM(S65:S68)</f>
        <v>293037.81393007212</v>
      </c>
      <c r="U69" s="1686">
        <f>SUM(U65:U68)</f>
        <v>319583.82848882733</v>
      </c>
      <c r="W69" s="1686">
        <f>SUM(W65:W68)</f>
        <v>346527.58286194038</v>
      </c>
      <c r="Y69" s="1686">
        <f>SUM(Y65:Y68)</f>
        <v>373869.50130359235</v>
      </c>
      <c r="AA69" s="1686">
        <f>SUM(AA65:AA68)</f>
        <v>401609.68125344196</v>
      </c>
      <c r="AC69" s="1686">
        <f>SUM(AC65:AC68)</f>
        <v>429747.87327157892</v>
      </c>
      <c r="AE69" s="1686">
        <f>SUM(AE65:AE68)</f>
        <v>458283.46005384292</v>
      </c>
      <c r="AG69" s="1686">
        <f>SUM(AG65:AG68)</f>
        <v>487215.43448984815</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3" t="s">
        <v>2219</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6" t="s">
        <v>978</v>
      </c>
      <c r="B1" s="3366"/>
      <c r="C1" s="3366"/>
      <c r="D1" s="3366"/>
      <c r="E1" s="3366"/>
      <c r="F1" s="3366"/>
      <c r="G1" s="3366"/>
      <c r="H1" s="3366"/>
      <c r="I1" s="336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7</v>
      </c>
      <c r="C4" s="658">
        <f>Application!O728</f>
        <v>461</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15</v>
      </c>
      <c r="C5" s="658">
        <f>Application!O729</f>
        <v>801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13</v>
      </c>
      <c r="C6" s="658">
        <f>Application!O730</f>
        <v>971</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37</v>
      </c>
      <c r="C7" s="658">
        <f>Application!O731</f>
        <v>1141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15</v>
      </c>
      <c r="C8" s="658">
        <f>Application!O732</f>
        <v>542</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30</v>
      </c>
      <c r="C9" s="658">
        <f>Application!O733</f>
        <v>950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26</v>
      </c>
      <c r="C10" s="658">
        <f>Application!O734</f>
        <v>1154</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70</v>
      </c>
      <c r="C11" s="658">
        <f>Application!O735</f>
        <v>1358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7</v>
      </c>
      <c r="C12" s="658">
        <f>Application!O736</f>
        <v>613</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15</v>
      </c>
      <c r="C13" s="658">
        <f>Application!O737</f>
        <v>1085</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15</v>
      </c>
      <c r="C14" s="658">
        <f>Application!O738</f>
        <v>1320</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35</v>
      </c>
      <c r="C15" s="658">
        <f>Application!O739</f>
        <v>1556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326602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800000</v>
      </c>
      <c r="C5" s="421">
        <f>'Sources and Uses Budget'!$C4</f>
        <v>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800000</v>
      </c>
      <c r="C9" s="425">
        <f>SUM(C5:C8)</f>
        <v>800000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800000</v>
      </c>
      <c r="C13" s="425">
        <f>SUM(C9+C12)</f>
        <v>800000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61341</v>
      </c>
      <c r="C14" s="421">
        <f>'Sources and Uses Budget'!$C13</f>
        <v>61341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7495488</v>
      </c>
      <c r="C30" s="421">
        <f>'Sources and Uses Budget'!$C29</f>
        <v>7495488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39167654</v>
      </c>
      <c r="C31" s="421">
        <f>'Sources and Uses Budget'!$C30</f>
        <v>39167654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1927296</v>
      </c>
      <c r="C32" s="421">
        <f>'Sources and Uses Budget'!$C31</f>
        <v>1927296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2397882</v>
      </c>
      <c r="C33" s="421">
        <f>'Sources and Uses Budget'!$C32</f>
        <v>2397882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2397882</v>
      </c>
      <c r="C34" s="421">
        <f>'Sources and Uses Budget'!$C33</f>
        <v>2397882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880872</v>
      </c>
      <c r="C36" s="421">
        <f>'Sources and Uses Budget'!$C35</f>
        <v>880872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50400</v>
      </c>
      <c r="C37" s="421">
        <f>'Sources and Uses Budget'!$C36</f>
        <v>50400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54317474</v>
      </c>
      <c r="C39" s="425">
        <f>SUM(C30:C38)</f>
        <v>54317474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1826589</v>
      </c>
      <c r="C41" s="421">
        <f>'Sources and Uses Budget'!$C40</f>
        <v>1826589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1826589</v>
      </c>
      <c r="C43" s="425">
        <f>SUM(C41:C42)</f>
        <v>1826589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501016</v>
      </c>
      <c r="C44" s="421">
        <f>'Sources and Uses Budget'!$C43</f>
        <v>501016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3183036</v>
      </c>
      <c r="C46" s="421">
        <f>'Sources and Uses Budget'!$C45</f>
        <v>3183036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55877</v>
      </c>
      <c r="C47" s="421">
        <f>'Sources and Uses Budget'!$C46</f>
        <v>55877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57500</v>
      </c>
      <c r="C51" s="421">
        <f>'Sources and Uses Budget'!$C50</f>
        <v>57500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620358</v>
      </c>
      <c r="C52" s="421">
        <f>'Sources and Uses Budget'!$C51</f>
        <v>620358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3916771</v>
      </c>
      <c r="C55" s="428">
        <f>SUM(C46:C54)</f>
        <v>3916771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519123</v>
      </c>
      <c r="C57" s="421">
        <f>'Sources and Uses Budget'!$C56</f>
        <v>519123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315300</v>
      </c>
      <c r="C58" s="421">
        <f>'Sources and Uses Budget'!$C57</f>
        <v>315300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Developer Legal</v>
      </c>
      <c r="B62" s="421">
        <f>'Sources and Uses Budget'!$C61</f>
        <v>75000</v>
      </c>
      <c r="C62" s="421">
        <f>'Sources and Uses Budget'!$C61</f>
        <v>75000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909423</v>
      </c>
      <c r="C63" s="425">
        <f>SUM(C57:C62)</f>
        <v>909423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62332614</v>
      </c>
      <c r="C64" s="425">
        <f>SUM(C9+C12+C14+C15+C17+C26+C28+C39+C43+C44+C55+C63)</f>
        <v>62332614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f>'Sources and Uses Budget'!A69</f>
        <v>0</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876915</v>
      </c>
      <c r="C76" s="421">
        <f>'Sources and Uses Budget'!$C75</f>
        <v>876915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876915</v>
      </c>
      <c r="C78" s="425">
        <f>SUM(C73:C77)</f>
        <v>876915</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5338620</v>
      </c>
      <c r="C80" s="421">
        <f>'Sources and Uses Budget'!$C79</f>
        <v>5338620</v>
      </c>
      <c r="D80" s="425">
        <f t="shared" si="1"/>
        <v>0</v>
      </c>
      <c r="E80" s="423"/>
      <c r="F80" s="422"/>
      <c r="G80" s="553"/>
    </row>
    <row r="81" spans="1:7" s="547" customFormat="1">
      <c r="A81" s="861" t="s">
        <v>61</v>
      </c>
      <c r="B81" s="421">
        <f>'Sources and Uses Budget'!$C80</f>
        <v>329937</v>
      </c>
      <c r="C81" s="421">
        <f>'Sources and Uses Budget'!$C80</f>
        <v>329937</v>
      </c>
      <c r="D81" s="425">
        <f>C81-B81</f>
        <v>0</v>
      </c>
      <c r="E81" s="423"/>
      <c r="F81" s="422"/>
      <c r="G81" s="553"/>
    </row>
    <row r="82" spans="1:7" s="547" customFormat="1">
      <c r="A82" s="426" t="s">
        <v>1418</v>
      </c>
      <c r="B82" s="425">
        <f>SUM(B80:B81)</f>
        <v>5668557</v>
      </c>
      <c r="C82" s="425">
        <f>SUM(C80:C81)</f>
        <v>5668557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166649</v>
      </c>
      <c r="C84" s="421">
        <f>'Sources and Uses Budget'!$C83</f>
        <v>166649</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10829370</v>
      </c>
      <c r="C86" s="421">
        <f>'Sources and Uses Budget'!$C85</f>
        <v>10829370</v>
      </c>
      <c r="D86" s="425">
        <f t="shared" si="1"/>
        <v>0</v>
      </c>
      <c r="E86" s="423"/>
      <c r="F86" s="422"/>
      <c r="G86" s="553"/>
    </row>
    <row r="87" spans="1:7" s="547" customFormat="1">
      <c r="A87" s="424" t="s">
        <v>826</v>
      </c>
      <c r="B87" s="421">
        <f>'Sources and Uses Budget'!$C86</f>
        <v>946637</v>
      </c>
      <c r="C87" s="421">
        <f>'Sources and Uses Budget'!$C86</f>
        <v>946637</v>
      </c>
      <c r="D87" s="425">
        <f t="shared" si="1"/>
        <v>0</v>
      </c>
      <c r="E87" s="423"/>
      <c r="F87" s="422"/>
      <c r="G87" s="553"/>
    </row>
    <row r="88" spans="1:7" s="547" customFormat="1">
      <c r="A88" s="424" t="s">
        <v>827</v>
      </c>
      <c r="B88" s="421">
        <f>'Sources and Uses Budget'!$C87</f>
        <v>1035000</v>
      </c>
      <c r="C88" s="421">
        <f>'Sources and Uses Budget'!$C87</f>
        <v>1035000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460000</v>
      </c>
      <c r="C90" s="421">
        <f>'Sources and Uses Budget'!$C89</f>
        <v>460000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0</v>
      </c>
      <c r="C93" s="421">
        <f>'Sources and Uses Budget'!$C92</f>
        <v>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13532656</v>
      </c>
      <c r="C97" s="425">
        <f>SUM(C84:C96)</f>
        <v>13532656</v>
      </c>
      <c r="D97" s="425">
        <f t="shared" si="1"/>
        <v>0</v>
      </c>
      <c r="E97" s="423"/>
      <c r="F97" s="422"/>
      <c r="G97" s="553"/>
    </row>
    <row r="98" spans="1:7" s="547" customFormat="1">
      <c r="A98" s="426" t="s">
        <v>832</v>
      </c>
      <c r="B98" s="425">
        <f>SUM(B64+B71+B78+B82+B97)</f>
        <v>82410742</v>
      </c>
      <c r="C98" s="425">
        <f>SUM(C64+C71+C78+C82+C97)</f>
        <v>82410742</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11931962</v>
      </c>
      <c r="C100" s="421">
        <f>'Sources and Uses Budget'!$C99</f>
        <v>11931962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11931962</v>
      </c>
      <c r="C105" s="425">
        <f>SUM(C100:C104)</f>
        <v>11931962</v>
      </c>
      <c r="D105" s="425">
        <f t="shared" si="1"/>
        <v>0</v>
      </c>
      <c r="E105" s="423"/>
      <c r="F105" s="422"/>
      <c r="G105" s="551"/>
    </row>
    <row r="106" spans="1:7" s="546" customFormat="1">
      <c r="A106" s="426" t="s">
        <v>837</v>
      </c>
      <c r="B106" s="428">
        <f>SUM(B98+B105)</f>
        <v>94342704</v>
      </c>
      <c r="C106" s="428">
        <f>SUM(C98+C105)</f>
        <v>94342704</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1157</v>
      </c>
      <c r="B2" s="1911"/>
      <c r="C2" s="1912"/>
      <c r="D2" s="1912"/>
      <c r="E2" s="1912"/>
      <c r="F2" s="1912"/>
      <c r="G2" s="1912"/>
    </row>
    <row r="3" spans="1:9" s="256" customFormat="1">
      <c r="A3" s="1911" t="s">
        <v>1087</v>
      </c>
      <c r="B3" s="1911"/>
      <c r="C3" s="1912"/>
      <c r="D3" s="1912"/>
      <c r="E3" s="1912"/>
      <c r="F3" s="1912"/>
      <c r="G3" s="1912"/>
      <c r="I3" s="677" t="s">
        <v>316</v>
      </c>
    </row>
    <row r="4" spans="1:9">
      <c r="I4" s="678" t="s">
        <v>1158</v>
      </c>
    </row>
    <row r="5" spans="1:9" s="39" customFormat="1">
      <c r="A5" s="1915" t="s">
        <v>1088</v>
      </c>
      <c r="B5" s="1915"/>
      <c r="C5" s="1916"/>
      <c r="D5" s="1916"/>
      <c r="E5" s="1916"/>
      <c r="F5" s="1916"/>
      <c r="G5" s="1916"/>
      <c r="I5" s="678" t="s">
        <v>1159</v>
      </c>
    </row>
    <row r="6" spans="1:9" s="39" customFormat="1">
      <c r="A6" s="1915" t="s">
        <v>879</v>
      </c>
      <c r="B6" s="1915"/>
      <c r="C6" s="1916"/>
      <c r="D6" s="1916"/>
      <c r="E6" s="1916"/>
      <c r="F6" s="1916"/>
      <c r="G6" s="1916"/>
      <c r="I6" s="677" t="s">
        <v>625</v>
      </c>
    </row>
    <row r="7" spans="1:9" ht="11.85" customHeight="1"/>
    <row r="8" spans="1:9" s="39" customFormat="1">
      <c r="A8" s="1913" t="s">
        <v>1254</v>
      </c>
      <c r="B8" s="1913"/>
      <c r="C8" s="1914"/>
      <c r="D8" s="1914"/>
      <c r="E8" s="1914"/>
      <c r="F8" s="1914"/>
      <c r="G8" s="1914"/>
    </row>
    <row r="9" spans="1:9" s="39" customFormat="1">
      <c r="A9" s="1913" t="s">
        <v>1255</v>
      </c>
      <c r="B9" s="1913"/>
      <c r="C9" s="1914"/>
      <c r="D9" s="1914"/>
      <c r="E9" s="1914"/>
      <c r="F9" s="1914"/>
      <c r="G9" s="1914"/>
    </row>
    <row r="10" spans="1:9">
      <c r="A10" s="258"/>
      <c r="B10" s="258"/>
      <c r="C10" s="255"/>
      <c r="D10" s="255"/>
      <c r="E10" s="255"/>
      <c r="F10" s="255"/>
    </row>
    <row r="11" spans="1:9">
      <c r="A11" s="1917" t="s">
        <v>1257</v>
      </c>
      <c r="B11" s="1917"/>
      <c r="C11" s="1917"/>
      <c r="D11" s="1917"/>
      <c r="E11" s="1917"/>
      <c r="F11" s="1917"/>
      <c r="G11" s="1917"/>
    </row>
    <row r="12" spans="1:9">
      <c r="A12" s="255"/>
      <c r="B12" s="673"/>
      <c r="E12" s="50"/>
    </row>
    <row r="13" spans="1:9" ht="13.15" customHeight="1">
      <c r="C13" s="255"/>
      <c r="D13" s="1889" t="s">
        <v>1256</v>
      </c>
      <c r="E13" s="1889"/>
      <c r="F13" s="1889"/>
    </row>
    <row r="14" spans="1:9">
      <c r="C14" s="255"/>
      <c r="D14" s="1889"/>
      <c r="E14" s="1889"/>
      <c r="F14" s="1889"/>
    </row>
    <row r="15" spans="1:9">
      <c r="A15" s="260"/>
      <c r="B15" s="260"/>
      <c r="C15" s="260"/>
      <c r="D15" s="1886" t="s">
        <v>1239</v>
      </c>
      <c r="E15" s="1886"/>
      <c r="F15" s="1886"/>
    </row>
    <row r="16" spans="1:9">
      <c r="A16" s="260"/>
      <c r="B16" s="260"/>
      <c r="C16" s="260"/>
      <c r="D16" s="327"/>
    </row>
    <row r="17" spans="1:7" ht="14.25">
      <c r="A17" s="261"/>
      <c r="B17" s="679" t="s">
        <v>316</v>
      </c>
      <c r="C17" s="313"/>
      <c r="D17" s="1861" t="s">
        <v>1240</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316</v>
      </c>
      <c r="D21" s="1890" t="s">
        <v>1241</v>
      </c>
      <c r="E21" s="1890"/>
      <c r="F21" s="1890"/>
    </row>
    <row r="22" spans="1:7" ht="14.25">
      <c r="A22" s="261"/>
      <c r="B22" s="261"/>
      <c r="D22" s="135"/>
    </row>
    <row r="23" spans="1:7" ht="14.25">
      <c r="A23" s="261"/>
      <c r="B23" s="679" t="s">
        <v>316</v>
      </c>
      <c r="D23" s="1861" t="s">
        <v>1242</v>
      </c>
      <c r="E23" s="1861"/>
      <c r="F23" s="1861"/>
    </row>
    <row r="24" spans="1:7" ht="14.25">
      <c r="A24" s="261"/>
      <c r="B24" s="261"/>
      <c r="D24" s="1861"/>
      <c r="E24" s="1861"/>
      <c r="F24" s="1861"/>
    </row>
    <row r="25" spans="1:7"/>
    <row r="26" spans="1:7" ht="14.25">
      <c r="A26" s="261"/>
      <c r="B26" s="679" t="s">
        <v>316</v>
      </c>
      <c r="D26" s="1884" t="s">
        <v>1243</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1" t="s">
        <v>1253</v>
      </c>
      <c r="E68" s="1861"/>
      <c r="F68" s="1861"/>
    </row>
    <row r="69" spans="1:7">
      <c r="D69" s="1861"/>
      <c r="E69" s="1861"/>
      <c r="F69" s="1861"/>
    </row>
    <row r="70" spans="1:7" ht="14.25">
      <c r="A70" s="261"/>
      <c r="B70" s="261"/>
      <c r="D70" s="135"/>
    </row>
    <row r="71" spans="1:7">
      <c r="A71" s="1887" t="s">
        <v>1160</v>
      </c>
      <c r="B71" s="1887"/>
      <c r="C71" s="1887"/>
      <c r="D71" s="1887"/>
      <c r="E71" s="1887"/>
      <c r="F71" s="1887"/>
      <c r="G71" s="1887"/>
    </row>
    <row r="72" spans="1:7"/>
    <row r="73" spans="1:7">
      <c r="C73" s="262"/>
      <c r="D73" s="1903" t="s">
        <v>1258</v>
      </c>
      <c r="E73" s="1903"/>
      <c r="F73" s="1903"/>
    </row>
    <row r="74" spans="1:7">
      <c r="A74" s="135"/>
      <c r="B74" s="135"/>
      <c r="D74" s="1861" t="s">
        <v>1285</v>
      </c>
      <c r="E74" s="1861"/>
      <c r="F74" s="1861"/>
    </row>
    <row r="75" spans="1:7">
      <c r="A75" s="135"/>
      <c r="B75" s="135"/>
    </row>
    <row r="76" spans="1:7" ht="14.25">
      <c r="A76" s="261"/>
      <c r="B76" s="679" t="s">
        <v>316</v>
      </c>
      <c r="D76" s="1861" t="s">
        <v>1259</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316</v>
      </c>
      <c r="C83" s="705"/>
      <c r="D83" s="1918" t="s">
        <v>1358</v>
      </c>
      <c r="E83" s="1918"/>
      <c r="F83" s="1918"/>
      <c r="G83" s="7"/>
    </row>
    <row r="84" spans="1:7" s="706" customFormat="1" ht="14.25">
      <c r="A84" s="707"/>
      <c r="B84" s="707"/>
      <c r="C84" s="705"/>
      <c r="D84" s="1918"/>
      <c r="E84" s="1918"/>
      <c r="F84" s="1918"/>
      <c r="G84" s="7"/>
    </row>
    <row r="85" spans="1:7" s="706" customFormat="1" ht="14.25">
      <c r="A85" s="707"/>
      <c r="B85" s="707"/>
      <c r="C85" s="705"/>
      <c r="D85" s="1918"/>
      <c r="E85" s="1918"/>
      <c r="F85" s="1918"/>
      <c r="G85" s="7"/>
    </row>
    <row r="86" spans="1:7" s="706" customFormat="1" ht="14.25">
      <c r="A86" s="707"/>
      <c r="B86" s="707"/>
      <c r="C86" s="705"/>
      <c r="D86" s="1918"/>
      <c r="E86" s="1918"/>
      <c r="F86" s="1918"/>
      <c r="G86" s="7"/>
    </row>
    <row r="87" spans="1:7" s="706" customFormat="1" ht="14.25">
      <c r="A87" s="707"/>
      <c r="B87" s="707"/>
      <c r="C87" s="705"/>
      <c r="D87" s="1918"/>
      <c r="E87" s="1918"/>
      <c r="F87" s="1918"/>
      <c r="G87" s="7"/>
    </row>
    <row r="88" spans="1:7" s="719" customFormat="1" ht="14.25">
      <c r="A88" s="714"/>
      <c r="B88" s="714"/>
      <c r="C88" s="745"/>
      <c r="D88" s="1918"/>
      <c r="E88" s="1918"/>
      <c r="F88" s="1918"/>
      <c r="G88" s="7"/>
    </row>
    <row r="89" spans="1:7" s="719" customFormat="1" ht="14.25">
      <c r="A89" s="714"/>
      <c r="B89" s="714"/>
      <c r="C89" s="745"/>
      <c r="D89" s="1918"/>
      <c r="E89" s="1918"/>
      <c r="F89" s="1918"/>
      <c r="G89" s="7"/>
    </row>
    <row r="90" spans="1:7" s="719" customFormat="1" ht="14.25">
      <c r="A90" s="714"/>
      <c r="B90" s="714"/>
      <c r="C90" s="745"/>
      <c r="D90" s="1918"/>
      <c r="E90" s="1918"/>
      <c r="F90" s="1918"/>
      <c r="G90" s="7"/>
    </row>
    <row r="91" spans="1:7" ht="14.25">
      <c r="A91" s="261"/>
      <c r="B91" s="261"/>
      <c r="D91" s="1918"/>
      <c r="E91" s="1918"/>
      <c r="F91" s="1918"/>
    </row>
    <row r="92" spans="1:7" ht="14.25">
      <c r="A92" s="261"/>
      <c r="B92" s="261"/>
      <c r="D92" s="1918"/>
      <c r="E92" s="1918"/>
      <c r="F92" s="1918"/>
    </row>
    <row r="93" spans="1:7" ht="14.25">
      <c r="A93" s="261"/>
      <c r="B93" s="261"/>
      <c r="D93" s="1918"/>
      <c r="E93" s="1918"/>
      <c r="F93" s="1918"/>
    </row>
    <row r="94" spans="1:7" ht="14.25">
      <c r="A94" s="261"/>
      <c r="B94" s="261"/>
      <c r="D94" s="1918"/>
      <c r="E94" s="1918"/>
      <c r="F94" s="1918"/>
    </row>
    <row r="95" spans="1:7" ht="14.25">
      <c r="A95" s="261"/>
      <c r="B95" s="261"/>
      <c r="D95" s="1918"/>
      <c r="E95" s="1918"/>
      <c r="F95" s="1918"/>
    </row>
    <row r="96" spans="1:7" ht="14.25">
      <c r="A96" s="261"/>
      <c r="B96" s="261"/>
      <c r="D96" s="1918"/>
      <c r="E96" s="1918"/>
      <c r="F96" s="1918"/>
    </row>
    <row r="97" spans="1:11" s="710" customFormat="1" ht="14.25">
      <c r="A97" s="711"/>
      <c r="B97" s="715" t="s">
        <v>316</v>
      </c>
      <c r="C97" s="705"/>
      <c r="D97" s="1861" t="s">
        <v>1260</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1" t="s">
        <v>1263</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1" t="s">
        <v>1372</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1" t="s">
        <v>1265</v>
      </c>
      <c r="E156" s="1921"/>
      <c r="F156" s="1921"/>
      <c r="G156" s="444"/>
    </row>
    <row r="157" spans="1:7" customFormat="1" ht="13.7" customHeight="1">
      <c r="A157" s="378"/>
      <c r="B157" s="378"/>
      <c r="C157" s="325"/>
      <c r="D157" s="1921"/>
      <c r="E157" s="1921"/>
      <c r="F157" s="1921"/>
      <c r="G157" s="444"/>
    </row>
    <row r="158" spans="1:7" customFormat="1" ht="13.7" customHeight="1">
      <c r="A158" s="378"/>
      <c r="B158" s="378"/>
      <c r="C158" s="325"/>
      <c r="D158" s="327"/>
      <c r="E158" s="325"/>
      <c r="F158" s="325"/>
      <c r="G158" s="444"/>
    </row>
    <row r="159" spans="1:7" customFormat="1" ht="13.7" customHeight="1">
      <c r="A159" s="378"/>
      <c r="B159" s="679" t="s">
        <v>316</v>
      </c>
      <c r="C159" s="325"/>
      <c r="D159" s="1864" t="s">
        <v>1266</v>
      </c>
      <c r="E159" s="1864"/>
      <c r="F159" s="1864"/>
      <c r="G159" s="444"/>
    </row>
    <row r="160" spans="1:7" customFormat="1" ht="13.7" customHeight="1">
      <c r="A160" s="378"/>
      <c r="B160" s="378"/>
      <c r="C160" s="325"/>
      <c r="D160" s="1864"/>
      <c r="E160" s="1864"/>
      <c r="F160" s="1864"/>
      <c r="G160" s="444"/>
    </row>
    <row r="161" spans="1:7" customFormat="1" ht="13.7" customHeight="1">
      <c r="A161" s="378"/>
      <c r="B161" s="378"/>
      <c r="C161" s="325"/>
      <c r="D161" s="1864"/>
      <c r="E161" s="1864"/>
      <c r="F161" s="1864"/>
      <c r="G161" s="444"/>
    </row>
    <row r="162" spans="1:7" customFormat="1" ht="13.7" customHeight="1">
      <c r="A162" s="378"/>
      <c r="B162" s="378"/>
      <c r="C162" s="325"/>
      <c r="D162" s="1864"/>
      <c r="E162" s="1864"/>
      <c r="F162" s="1864"/>
      <c r="G162" s="444"/>
    </row>
    <row r="163" spans="1:7" customFormat="1" ht="13.7" customHeight="1">
      <c r="A163" s="132"/>
      <c r="B163" s="676"/>
      <c r="C163" s="10"/>
      <c r="D163" s="151"/>
      <c r="E163" s="151"/>
      <c r="F163" s="151"/>
      <c r="G163" s="149"/>
    </row>
    <row r="164" spans="1:7" customFormat="1" ht="13.7" customHeight="1">
      <c r="A164" s="132"/>
      <c r="B164" s="679" t="s">
        <v>316</v>
      </c>
      <c r="C164" s="10"/>
      <c r="D164" s="1909" t="s">
        <v>1267</v>
      </c>
      <c r="E164" s="1909"/>
      <c r="F164" s="1909"/>
      <c r="G164" s="149"/>
    </row>
    <row r="165" spans="1:7" customFormat="1" ht="13.7" customHeight="1">
      <c r="A165" s="132"/>
      <c r="B165" s="676"/>
      <c r="C165" s="10"/>
      <c r="D165" s="1909"/>
      <c r="E165" s="1909"/>
      <c r="F165" s="1909"/>
      <c r="G165" s="149"/>
    </row>
    <row r="166" spans="1:7" customFormat="1" ht="13.7" customHeight="1">
      <c r="A166" s="132"/>
      <c r="B166" s="676"/>
      <c r="C166" s="10"/>
      <c r="D166" s="1909"/>
      <c r="E166" s="1909"/>
      <c r="F166" s="1909"/>
      <c r="G166" s="149"/>
    </row>
    <row r="167" spans="1:7" customFormat="1" ht="13.7" customHeight="1">
      <c r="A167" s="23"/>
      <c r="B167" s="675"/>
      <c r="C167" s="10"/>
      <c r="D167" s="7"/>
      <c r="E167" s="151"/>
      <c r="F167" s="151"/>
      <c r="G167" s="149"/>
    </row>
    <row r="168" spans="1:7">
      <c r="A168" s="1887" t="s">
        <v>1161</v>
      </c>
      <c r="B168" s="1887"/>
      <c r="C168" s="1887"/>
      <c r="D168" s="1887"/>
      <c r="E168" s="1887"/>
      <c r="F168" s="1887"/>
      <c r="G168" s="1887"/>
    </row>
    <row r="169" spans="1:7" ht="12" customHeight="1">
      <c r="D169" s="135"/>
      <c r="E169" s="135"/>
      <c r="F169" s="135"/>
    </row>
    <row r="170" spans="1:7">
      <c r="B170" s="1883" t="s">
        <v>469</v>
      </c>
      <c r="C170" s="1883"/>
      <c r="D170" s="1883"/>
      <c r="E170" s="1883"/>
      <c r="F170" s="1883"/>
    </row>
    <row r="171" spans="1:7" ht="12" customHeight="1">
      <c r="A171" s="255"/>
      <c r="B171" s="673"/>
      <c r="C171" s="255"/>
    </row>
    <row r="172" spans="1:7">
      <c r="A172" s="1887" t="s">
        <v>1162</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23" t="s">
        <v>1270</v>
      </c>
      <c r="E174" s="1923"/>
      <c r="F174" s="1923"/>
      <c r="G174" s="57"/>
    </row>
    <row r="175" spans="1:7">
      <c r="A175" s="264"/>
      <c r="B175" s="264"/>
      <c r="C175" s="265"/>
      <c r="D175" s="1923"/>
      <c r="E175" s="1923"/>
      <c r="F175" s="1923"/>
      <c r="G175" s="57"/>
    </row>
    <row r="176" spans="1:7" s="719" customFormat="1">
      <c r="A176" s="721"/>
      <c r="B176" s="721"/>
      <c r="C176" s="265"/>
      <c r="D176" s="1924" t="s">
        <v>1271</v>
      </c>
      <c r="E176" s="1924"/>
      <c r="F176" s="1924"/>
      <c r="G176" s="57"/>
    </row>
    <row r="177" spans="1:7" ht="12" customHeight="1">
      <c r="A177" s="264"/>
      <c r="B177" s="264"/>
      <c r="C177" s="265"/>
      <c r="D177" s="57"/>
      <c r="E177" s="49"/>
      <c r="F177" s="57"/>
      <c r="G177" s="57"/>
    </row>
    <row r="178" spans="1:7" ht="14.25">
      <c r="A178" s="261"/>
      <c r="B178" s="679" t="s">
        <v>316</v>
      </c>
      <c r="C178" s="265"/>
      <c r="D178" s="1922" t="s">
        <v>1269</v>
      </c>
      <c r="E178" s="1922"/>
      <c r="F178" s="1922"/>
      <c r="G178" s="57"/>
    </row>
    <row r="179" spans="1:7" ht="14.25">
      <c r="A179" s="261"/>
      <c r="B179" s="261"/>
      <c r="C179" s="265"/>
      <c r="D179" s="1922"/>
      <c r="E179" s="1922"/>
      <c r="F179" s="1922"/>
      <c r="G179" s="57"/>
    </row>
    <row r="180" spans="1:7" ht="14.25">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1178</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25">
      <c r="A186" s="261"/>
      <c r="B186" s="679" t="s">
        <v>316</v>
      </c>
      <c r="C186" s="557"/>
      <c r="D186" s="1861" t="s">
        <v>1268</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7" t="s">
        <v>1163</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1292</v>
      </c>
      <c r="E194" s="1894"/>
      <c r="F194" s="1894"/>
    </row>
    <row r="195" spans="1:6" ht="12" customHeight="1">
      <c r="A195" s="23"/>
      <c r="B195" s="675"/>
      <c r="C195" s="23"/>
    </row>
    <row r="196" spans="1:6" ht="13.15" customHeight="1">
      <c r="A196" s="23"/>
      <c r="C196" s="23"/>
      <c r="D196" s="1885" t="s">
        <v>578</v>
      </c>
      <c r="E196" s="1885"/>
      <c r="F196" s="1885"/>
    </row>
    <row r="197" spans="1:6" ht="14.25">
      <c r="A197" s="261"/>
      <c r="B197" s="679" t="s">
        <v>316</v>
      </c>
      <c r="D197" s="1861" t="s">
        <v>1286</v>
      </c>
      <c r="E197" s="1861"/>
      <c r="F197" s="1861"/>
    </row>
    <row r="198" spans="1:6" ht="14.25">
      <c r="A198" s="261"/>
      <c r="B198" s="261"/>
      <c r="D198" s="1861"/>
      <c r="E198" s="1861"/>
      <c r="F198" s="1861"/>
    </row>
    <row r="199" spans="1:6"/>
    <row r="200" spans="1:6" ht="14.25">
      <c r="A200" s="261"/>
      <c r="B200" s="679" t="s">
        <v>316</v>
      </c>
      <c r="D200" s="1861" t="s">
        <v>1287</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1288</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316</v>
      </c>
      <c r="D210" s="1882" t="s">
        <v>1289</v>
      </c>
      <c r="E210" s="1882"/>
      <c r="F210" s="1882"/>
    </row>
    <row r="211" spans="1:7" ht="14.25">
      <c r="A211" s="261"/>
      <c r="B211" s="261"/>
      <c r="D211" s="1882"/>
      <c r="E211" s="1882"/>
      <c r="F211" s="1882"/>
    </row>
    <row r="212" spans="1:7" ht="14.25">
      <c r="A212" s="261"/>
      <c r="B212" s="261"/>
      <c r="D212" s="1883" t="s">
        <v>962</v>
      </c>
      <c r="E212" s="1883"/>
      <c r="F212" s="1883"/>
    </row>
    <row r="213" spans="1:7" ht="14.25">
      <c r="A213" s="261"/>
      <c r="B213" s="261"/>
      <c r="D213" s="135"/>
      <c r="E213" s="135"/>
      <c r="F213" s="135"/>
    </row>
    <row r="214" spans="1:7" ht="14.45" customHeight="1">
      <c r="A214" s="261"/>
      <c r="B214" s="679" t="s">
        <v>316</v>
      </c>
      <c r="D214" s="1882" t="s">
        <v>1291</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1" t="s">
        <v>1290</v>
      </c>
      <c r="E220" s="1861"/>
      <c r="F220" s="1861"/>
    </row>
    <row r="221" spans="1:7" ht="14.25">
      <c r="A221" s="261"/>
      <c r="B221" s="261"/>
      <c r="D221" s="1861"/>
      <c r="E221" s="1861"/>
      <c r="F221" s="1861"/>
    </row>
    <row r="222" spans="1:7">
      <c r="D222" s="29"/>
    </row>
    <row r="223" spans="1:7">
      <c r="A223" s="1887" t="s">
        <v>1164</v>
      </c>
      <c r="B223" s="1887"/>
      <c r="C223" s="1887"/>
      <c r="D223" s="1887"/>
      <c r="E223" s="1887"/>
      <c r="F223" s="1887"/>
      <c r="G223" s="1887"/>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935" t="s">
        <v>1294</v>
      </c>
      <c r="E228" s="1935"/>
      <c r="F228" s="1935"/>
    </row>
    <row r="229" spans="1:6" ht="14.25">
      <c r="A229" s="261"/>
      <c r="B229" s="261"/>
      <c r="D229" s="1935"/>
      <c r="E229" s="1935"/>
      <c r="F229" s="1935"/>
    </row>
    <row r="230" spans="1:6">
      <c r="D230" s="135"/>
      <c r="E230" s="135"/>
      <c r="F230" s="135"/>
    </row>
    <row r="231" spans="1:6" ht="14.45" customHeight="1">
      <c r="A231" s="261"/>
      <c r="B231" s="679" t="s">
        <v>316</v>
      </c>
      <c r="D231" s="1882" t="s">
        <v>1295</v>
      </c>
      <c r="E231" s="1882"/>
      <c r="F231" s="1882"/>
    </row>
    <row r="232" spans="1:6">
      <c r="D232" s="1882"/>
      <c r="E232" s="1882"/>
      <c r="F232" s="1882"/>
    </row>
    <row r="233" spans="1:6">
      <c r="D233" s="1894" t="s">
        <v>953</v>
      </c>
      <c r="E233" s="1894"/>
      <c r="F233" s="1894"/>
    </row>
    <row r="234" spans="1:6">
      <c r="D234" s="135"/>
      <c r="E234" s="135"/>
      <c r="F234" s="135"/>
    </row>
    <row r="235" spans="1:6" ht="14.45" customHeight="1">
      <c r="A235" s="261"/>
      <c r="B235" s="679" t="s">
        <v>316</v>
      </c>
      <c r="D235" s="1882" t="s">
        <v>1297</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1" t="s">
        <v>1296</v>
      </c>
      <c r="E241" s="1861"/>
      <c r="F241" s="1861"/>
    </row>
    <row r="242" spans="1:7">
      <c r="D242" s="1861"/>
      <c r="E242" s="1861"/>
      <c r="F242" s="1861"/>
    </row>
    <row r="243" spans="1:7">
      <c r="D243" s="1861"/>
      <c r="E243" s="1861"/>
      <c r="F243" s="1861"/>
    </row>
    <row r="244" spans="1:7">
      <c r="D244" s="263"/>
      <c r="E244" s="135"/>
      <c r="F244" s="135"/>
    </row>
    <row r="245" spans="1:7">
      <c r="A245" s="1887" t="s">
        <v>1165</v>
      </c>
      <c r="B245" s="1887"/>
      <c r="C245" s="1887"/>
      <c r="D245" s="1887"/>
      <c r="E245" s="1887"/>
      <c r="F245" s="1887"/>
      <c r="G245" s="1887"/>
    </row>
    <row r="246" spans="1:7">
      <c r="D246" s="263"/>
      <c r="E246" s="135"/>
      <c r="F246" s="135"/>
    </row>
    <row r="247" spans="1:7">
      <c r="C247" s="255"/>
      <c r="D247" s="1903" t="s">
        <v>1298</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1299</v>
      </c>
      <c r="E251" s="1891"/>
      <c r="F251" s="1891"/>
    </row>
    <row r="252" spans="1:7">
      <c r="E252" s="135"/>
      <c r="F252" s="135"/>
    </row>
    <row r="253" spans="1:7" ht="14.25">
      <c r="A253" s="261"/>
      <c r="B253" s="679" t="s">
        <v>316</v>
      </c>
      <c r="D253" s="1861" t="s">
        <v>1300</v>
      </c>
      <c r="E253" s="1861"/>
      <c r="F253" s="1861"/>
    </row>
    <row r="254" spans="1:7" ht="14.25">
      <c r="A254" s="261"/>
      <c r="B254" s="261"/>
      <c r="D254" s="1861"/>
      <c r="E254" s="1861"/>
      <c r="F254" s="1861"/>
    </row>
    <row r="255" spans="1:7">
      <c r="D255" s="135"/>
      <c r="E255" s="135"/>
      <c r="F255" s="135"/>
    </row>
    <row r="256" spans="1:7" ht="14.25">
      <c r="A256" s="261"/>
      <c r="B256" s="679" t="s">
        <v>316</v>
      </c>
      <c r="D256" s="1882" t="s">
        <v>1301</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1" t="s">
        <v>1302</v>
      </c>
      <c r="E260" s="1861"/>
      <c r="F260" s="1861"/>
    </row>
    <row r="261" spans="1:7" ht="14.25">
      <c r="A261" s="261"/>
      <c r="B261" s="261"/>
      <c r="D261" s="1861"/>
      <c r="E261" s="1861"/>
      <c r="F261" s="1861"/>
    </row>
    <row r="262" spans="1:7">
      <c r="A262" s="23"/>
      <c r="B262" s="675"/>
      <c r="E262" s="135"/>
      <c r="F262" s="135"/>
    </row>
    <row r="263" spans="1:7">
      <c r="A263" s="1887" t="s">
        <v>1166</v>
      </c>
      <c r="B263" s="1887"/>
      <c r="C263" s="1887"/>
      <c r="D263" s="1887"/>
      <c r="E263" s="1887"/>
      <c r="F263" s="1887"/>
      <c r="G263" s="1887"/>
    </row>
    <row r="264" spans="1:7">
      <c r="A264" s="23"/>
      <c r="B264" s="675"/>
      <c r="D264" s="135"/>
      <c r="E264" s="135"/>
      <c r="F264" s="135"/>
    </row>
    <row r="265" spans="1:7">
      <c r="C265" s="23"/>
      <c r="D265" s="1885" t="s">
        <v>718</v>
      </c>
      <c r="E265" s="1885"/>
      <c r="F265" s="1885"/>
    </row>
    <row r="266" spans="1:7">
      <c r="C266" s="23"/>
      <c r="D266" s="1886" t="s">
        <v>1303</v>
      </c>
      <c r="E266" s="1886"/>
      <c r="F266" s="1886"/>
    </row>
    <row r="267" spans="1:7">
      <c r="C267" s="23"/>
      <c r="D267" s="259"/>
    </row>
    <row r="268" spans="1:7">
      <c r="A268" s="273"/>
      <c r="B268" s="679" t="s">
        <v>316</v>
      </c>
      <c r="D268" s="1886" t="s">
        <v>1304</v>
      </c>
      <c r="E268" s="1886"/>
      <c r="F268" s="1886"/>
    </row>
    <row r="269" spans="1:7" s="39" customFormat="1" ht="14.25">
      <c r="A269" s="403"/>
      <c r="B269" s="403"/>
      <c r="C269" s="273"/>
      <c r="D269" s="497"/>
      <c r="E269" s="498"/>
      <c r="F269" s="498"/>
      <c r="G269" s="130"/>
    </row>
    <row r="270" spans="1:7" s="39" customFormat="1" ht="13.15" customHeight="1">
      <c r="A270" s="273"/>
      <c r="B270" s="679" t="s">
        <v>316</v>
      </c>
      <c r="C270" s="273"/>
      <c r="D270" s="1936" t="s">
        <v>1305</v>
      </c>
      <c r="E270" s="1936"/>
      <c r="F270" s="1936"/>
      <c r="G270" s="130"/>
    </row>
    <row r="271" spans="1:7" s="39" customFormat="1" ht="14.25">
      <c r="A271" s="403"/>
      <c r="B271" s="403"/>
      <c r="C271" s="273"/>
      <c r="D271" s="1936"/>
      <c r="E271" s="1936"/>
      <c r="F271" s="1936"/>
      <c r="G271" s="130"/>
    </row>
    <row r="272" spans="1:7" s="39" customFormat="1" ht="14.25">
      <c r="A272" s="403"/>
      <c r="B272" s="403"/>
      <c r="C272" s="273"/>
      <c r="D272" s="1936"/>
      <c r="E272" s="1936"/>
      <c r="F272" s="1936"/>
      <c r="G272" s="130"/>
    </row>
    <row r="273" spans="1:7" s="39" customFormat="1" ht="14.25">
      <c r="A273" s="403"/>
      <c r="B273" s="403"/>
      <c r="C273" s="273"/>
      <c r="D273" s="1936"/>
      <c r="E273" s="1936"/>
      <c r="F273" s="1936"/>
      <c r="G273" s="130"/>
    </row>
    <row r="274" spans="1:7" s="39" customFormat="1" ht="14.25">
      <c r="A274" s="403"/>
      <c r="B274" s="403"/>
      <c r="C274" s="273"/>
      <c r="D274" s="1936"/>
      <c r="E274" s="1936"/>
      <c r="F274" s="1936"/>
      <c r="G274" s="130"/>
    </row>
    <row r="275" spans="1:7" s="39" customFormat="1" ht="14.25">
      <c r="A275" s="403"/>
      <c r="B275" s="403"/>
      <c r="C275" s="273"/>
      <c r="D275" s="497"/>
      <c r="E275" s="498"/>
      <c r="F275" s="498"/>
      <c r="G275" s="130"/>
    </row>
    <row r="276" spans="1:7" s="39" customFormat="1" ht="13.15" customHeight="1">
      <c r="A276" s="273"/>
      <c r="B276" s="679" t="s">
        <v>316</v>
      </c>
      <c r="C276" s="273"/>
      <c r="D276" s="1936" t="s">
        <v>1306</v>
      </c>
      <c r="E276" s="1936"/>
      <c r="F276" s="1936"/>
      <c r="G276" s="130"/>
    </row>
    <row r="277" spans="1:7" s="39" customFormat="1">
      <c r="A277" s="273"/>
      <c r="B277" s="273"/>
      <c r="C277" s="273"/>
      <c r="D277" s="1936"/>
      <c r="E277" s="1936"/>
      <c r="F277" s="1936"/>
      <c r="G277" s="130"/>
    </row>
    <row r="278" spans="1:7" s="39" customFormat="1" ht="14.25">
      <c r="A278" s="403"/>
      <c r="B278" s="403"/>
      <c r="C278" s="273"/>
      <c r="D278" s="497"/>
      <c r="E278" s="498"/>
      <c r="F278" s="498"/>
      <c r="G278" s="130"/>
    </row>
    <row r="279" spans="1:7">
      <c r="A279" s="273"/>
      <c r="B279" s="679" t="s">
        <v>316</v>
      </c>
      <c r="D279" s="1886" t="s">
        <v>1307</v>
      </c>
      <c r="E279" s="1886"/>
      <c r="F279" s="1886"/>
    </row>
    <row r="280" spans="1:7">
      <c r="E280" s="135"/>
      <c r="F280" s="135"/>
    </row>
    <row r="281" spans="1:7" ht="14.25">
      <c r="A281" s="261"/>
      <c r="B281" s="679" t="s">
        <v>316</v>
      </c>
      <c r="D281" s="1882" t="s">
        <v>1308</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1309</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1" t="s">
        <v>1310</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1059</v>
      </c>
      <c r="E314" s="1932"/>
      <c r="F314" s="1932"/>
      <c r="G314" s="12"/>
    </row>
    <row r="315" spans="1:7" s="719" customFormat="1" ht="13.5" thickTop="1">
      <c r="A315" s="731"/>
      <c r="B315" s="731"/>
      <c r="C315" s="731"/>
      <c r="D315" s="1933" t="s">
        <v>1311</v>
      </c>
      <c r="E315" s="1933"/>
      <c r="F315" s="1933"/>
    </row>
    <row r="316" spans="1:7">
      <c r="A316" s="325"/>
      <c r="B316" s="325"/>
      <c r="C316" s="325"/>
      <c r="D316" s="467"/>
      <c r="E316" s="467"/>
      <c r="F316" s="135"/>
      <c r="G316" s="12"/>
    </row>
    <row r="317" spans="1:7" ht="14.25">
      <c r="A317" s="261"/>
      <c r="B317" s="679" t="s">
        <v>316</v>
      </c>
      <c r="C317" s="325"/>
      <c r="D317" s="1934" t="s">
        <v>1312</v>
      </c>
      <c r="E317" s="1934"/>
      <c r="F317" s="1934"/>
      <c r="G317" s="12"/>
    </row>
    <row r="318" spans="1:7">
      <c r="A318" s="325"/>
      <c r="B318" s="325"/>
      <c r="C318" s="325"/>
      <c r="D318" s="467"/>
      <c r="E318" s="467"/>
      <c r="F318" s="135"/>
      <c r="G318" s="12"/>
    </row>
    <row r="319" spans="1:7">
      <c r="A319" s="325"/>
      <c r="B319" s="679" t="s">
        <v>316</v>
      </c>
      <c r="C319" s="325"/>
      <c r="D319" s="1918" t="s">
        <v>1313</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25">
      <c r="A331" s="261"/>
      <c r="B331" s="679" t="s">
        <v>316</v>
      </c>
      <c r="C331" s="325"/>
      <c r="D331" s="1937" t="s">
        <v>1314</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1315</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15" customHeight="1">
      <c r="A345" s="325"/>
      <c r="B345" s="325"/>
      <c r="C345" s="325"/>
      <c r="D345" s="1930" t="s">
        <v>1316</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1317</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25">
      <c r="A367" s="261"/>
      <c r="B367" s="679" t="s">
        <v>316</v>
      </c>
      <c r="C367" s="325"/>
      <c r="D367" s="1918" t="s">
        <v>1318</v>
      </c>
      <c r="E367" s="1918"/>
      <c r="F367" s="1918"/>
      <c r="G367" s="12"/>
    </row>
    <row r="368" spans="1:7" ht="14.25">
      <c r="A368" s="506"/>
      <c r="B368" s="506"/>
      <c r="C368" s="325"/>
      <c r="D368" s="1918"/>
      <c r="E368" s="1918"/>
      <c r="F368" s="1918"/>
      <c r="G368" s="12"/>
    </row>
    <row r="369" spans="1:7" ht="14.25">
      <c r="A369" s="506"/>
      <c r="B369" s="506"/>
      <c r="C369" s="325"/>
      <c r="D369" s="1918"/>
      <c r="E369" s="1918"/>
      <c r="F369" s="1918"/>
      <c r="G369" s="12"/>
    </row>
    <row r="370" spans="1:7" ht="14.25">
      <c r="A370" s="506"/>
      <c r="B370" s="506"/>
      <c r="C370" s="325"/>
      <c r="D370" s="1918"/>
      <c r="E370" s="1918"/>
      <c r="F370" s="1918"/>
      <c r="G370" s="12"/>
    </row>
    <row r="371" spans="1:7" ht="14.25">
      <c r="A371" s="506"/>
      <c r="B371" s="506"/>
      <c r="C371" s="325"/>
      <c r="D371" s="1918"/>
      <c r="E371" s="1918"/>
      <c r="F371" s="1918"/>
      <c r="G371" s="12"/>
    </row>
    <row r="372" spans="1:7">
      <c r="D372" s="135"/>
      <c r="E372" s="135"/>
      <c r="F372" s="135"/>
      <c r="G372" s="12"/>
    </row>
    <row r="373" spans="1:7" ht="14.25">
      <c r="A373" s="261"/>
      <c r="B373" s="679" t="s">
        <v>316</v>
      </c>
      <c r="C373" s="266"/>
      <c r="D373" s="1861" t="s">
        <v>1319</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316</v>
      </c>
      <c r="C405" s="266"/>
      <c r="D405" s="1886" t="s">
        <v>1320</v>
      </c>
      <c r="E405" s="1886"/>
      <c r="F405" s="1886"/>
    </row>
    <row r="406" spans="1:7">
      <c r="D406" s="1931" t="s">
        <v>1084</v>
      </c>
      <c r="E406" s="1931"/>
      <c r="F406" s="1931"/>
    </row>
    <row r="407" spans="1:7">
      <c r="D407" s="1882" t="s">
        <v>1321</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1" t="s">
        <v>1322</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316</v>
      </c>
      <c r="C416" s="261"/>
      <c r="D416" s="1882" t="s">
        <v>1323</v>
      </c>
      <c r="E416" s="1882"/>
      <c r="F416" s="1882"/>
      <c r="G416" s="12"/>
    </row>
    <row r="417" spans="1:7">
      <c r="D417" s="1882"/>
      <c r="E417" s="1882"/>
      <c r="F417" s="1882"/>
      <c r="G417" s="12"/>
    </row>
    <row r="418" spans="1:7">
      <c r="D418" s="135"/>
      <c r="E418" s="135"/>
      <c r="F418" s="135"/>
      <c r="G418" s="12"/>
    </row>
    <row r="419" spans="1:7" ht="14.25">
      <c r="B419" s="679" t="s">
        <v>316</v>
      </c>
      <c r="C419" s="261"/>
      <c r="D419" s="1882" t="s">
        <v>1324</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1325</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1326</v>
      </c>
      <c r="E440" s="1893"/>
      <c r="F440" s="1893"/>
    </row>
    <row r="441" spans="1:7">
      <c r="A441" s="135"/>
      <c r="B441" s="135"/>
    </row>
    <row r="442" spans="1:7">
      <c r="A442" s="1887" t="s">
        <v>1167</v>
      </c>
      <c r="B442" s="1887"/>
      <c r="C442" s="1887"/>
      <c r="D442" s="1887"/>
      <c r="E442" s="1887"/>
      <c r="F442" s="1887"/>
      <c r="G442" s="1887"/>
    </row>
    <row r="443" spans="1:7">
      <c r="A443" s="135"/>
      <c r="B443" s="135"/>
    </row>
    <row r="444" spans="1:7">
      <c r="D444" s="1938" t="s">
        <v>947</v>
      </c>
      <c r="E444" s="1938"/>
      <c r="F444" s="1938"/>
    </row>
    <row r="445" spans="1:7" s="39" customFormat="1" ht="14.25">
      <c r="A445" s="403"/>
      <c r="B445" s="403"/>
      <c r="C445" s="273"/>
      <c r="D445" s="1939" t="s">
        <v>1327</v>
      </c>
      <c r="E445" s="1939"/>
      <c r="F445" s="1939"/>
      <c r="G445" s="130"/>
    </row>
    <row r="446" spans="1:7" s="39" customFormat="1" ht="14.25">
      <c r="A446" s="403"/>
      <c r="B446" s="403"/>
      <c r="C446" s="273"/>
      <c r="D446" s="732"/>
      <c r="E446" s="6"/>
      <c r="F446" s="6"/>
      <c r="G446" s="130"/>
    </row>
    <row r="447" spans="1:7" s="39" customFormat="1" ht="14.25">
      <c r="A447" s="261"/>
      <c r="B447" s="679" t="s">
        <v>316</v>
      </c>
      <c r="C447" s="273"/>
      <c r="D447" s="1940" t="s">
        <v>1328</v>
      </c>
      <c r="E447" s="1940"/>
      <c r="F447" s="1940"/>
      <c r="G447" s="130"/>
    </row>
    <row r="448" spans="1:7" s="39" customFormat="1" ht="14.25">
      <c r="A448" s="261"/>
      <c r="B448" s="261"/>
      <c r="C448" s="273"/>
      <c r="D448" s="1940"/>
      <c r="E448" s="1940"/>
      <c r="F448" s="1940"/>
      <c r="G448" s="130"/>
    </row>
    <row r="449" spans="1:7" s="39" customFormat="1" ht="14.25">
      <c r="A449" s="261"/>
      <c r="B449" s="261"/>
      <c r="C449" s="273"/>
      <c r="D449" s="730"/>
      <c r="E449" s="6"/>
      <c r="F449" s="6"/>
      <c r="G449" s="130"/>
    </row>
    <row r="450" spans="1:7">
      <c r="B450" s="679" t="s">
        <v>316</v>
      </c>
      <c r="D450" s="1910" t="s">
        <v>1329</v>
      </c>
      <c r="E450" s="1910"/>
      <c r="F450" s="1910"/>
    </row>
    <row r="451" spans="1:7" ht="14.25">
      <c r="A451" s="261"/>
      <c r="D451" s="1910"/>
      <c r="E451" s="1910"/>
      <c r="F451" s="1910"/>
    </row>
    <row r="452" spans="1:7" ht="14.25">
      <c r="A452" s="261"/>
      <c r="B452" s="261"/>
      <c r="D452" s="1910"/>
      <c r="E452" s="1910"/>
      <c r="F452" s="1910"/>
    </row>
    <row r="453" spans="1:7" ht="14.25">
      <c r="A453" s="261"/>
      <c r="B453" s="261"/>
      <c r="D453" s="1910"/>
      <c r="E453" s="1910"/>
      <c r="F453" s="1910"/>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86" t="s">
        <v>1331</v>
      </c>
      <c r="E459" s="1886"/>
      <c r="F459" s="1886"/>
      <c r="G459" s="12"/>
    </row>
    <row r="460" spans="1:7" ht="14.25">
      <c r="A460" s="261"/>
      <c r="B460" s="261"/>
      <c r="D460" s="730"/>
      <c r="E460" s="6"/>
      <c r="F460" s="6"/>
      <c r="G460" s="12"/>
    </row>
    <row r="461" spans="1:7" ht="14.25">
      <c r="A461" s="261"/>
      <c r="B461" s="679" t="s">
        <v>316</v>
      </c>
      <c r="D461" s="1861" t="s">
        <v>1332</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316</v>
      </c>
      <c r="D464" s="1886" t="s">
        <v>1333</v>
      </c>
      <c r="E464" s="1886"/>
      <c r="F464" s="1886"/>
      <c r="G464" s="12"/>
    </row>
    <row r="465" spans="1:7" ht="14.25">
      <c r="A465" s="261"/>
      <c r="B465" s="261"/>
      <c r="D465" s="135"/>
    </row>
    <row r="466" spans="1:7">
      <c r="A466" s="1887" t="s">
        <v>1168</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850</v>
      </c>
      <c r="E468" s="1941"/>
      <c r="F468" s="1941"/>
      <c r="G468" s="182"/>
    </row>
    <row r="469" spans="1:7" customFormat="1" ht="13.15" customHeight="1">
      <c r="A469" s="260"/>
      <c r="B469" s="260"/>
      <c r="C469" s="313"/>
      <c r="D469" s="1942" t="s">
        <v>1211</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5" customHeight="1">
      <c r="A475" s="261"/>
      <c r="B475" s="679" t="s">
        <v>316</v>
      </c>
      <c r="C475" s="313"/>
      <c r="D475" s="1908" t="s">
        <v>1202</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5" customHeight="1">
      <c r="A481" s="261"/>
      <c r="B481" s="679" t="s">
        <v>316</v>
      </c>
      <c r="C481" s="313"/>
      <c r="D481" s="1908" t="s">
        <v>1205</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8" t="s">
        <v>1203</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5" customHeight="1">
      <c r="A490" s="261"/>
      <c r="B490" s="679" t="s">
        <v>316</v>
      </c>
      <c r="C490" s="313"/>
      <c r="D490" s="1908" t="s">
        <v>1204</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15" customHeight="1">
      <c r="A500" s="487"/>
      <c r="B500" s="679" t="s">
        <v>316</v>
      </c>
      <c r="C500" s="486"/>
      <c r="D500" s="1921" t="s">
        <v>1348</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5" customHeight="1">
      <c r="A506" s="261"/>
      <c r="B506" s="679" t="s">
        <v>316</v>
      </c>
      <c r="C506" s="10"/>
      <c r="D506" s="1908" t="s">
        <v>1206</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1169</v>
      </c>
      <c r="B510" s="1887"/>
      <c r="C510" s="1887"/>
      <c r="D510" s="1887"/>
      <c r="E510" s="1887"/>
      <c r="F510" s="1887"/>
      <c r="G510" s="1887"/>
    </row>
    <row r="511" spans="1:7">
      <c r="A511" s="135"/>
      <c r="B511" s="135"/>
      <c r="C511" s="266"/>
      <c r="F511" s="134"/>
    </row>
    <row r="512" spans="1:7">
      <c r="B512" s="1883" t="s">
        <v>469</v>
      </c>
      <c r="C512" s="1883"/>
      <c r="D512" s="1883"/>
      <c r="E512" s="1883"/>
      <c r="F512" s="1883"/>
    </row>
    <row r="513" spans="1:7">
      <c r="A513" s="135"/>
      <c r="B513" s="135"/>
      <c r="C513" s="266"/>
      <c r="D513" s="135"/>
      <c r="F513" s="135"/>
    </row>
    <row r="514" spans="1:7">
      <c r="A514" s="1888" t="s">
        <v>1170</v>
      </c>
      <c r="B514" s="1888"/>
      <c r="C514" s="1888"/>
      <c r="D514" s="1888"/>
      <c r="E514" s="1888"/>
      <c r="F514" s="1888"/>
      <c r="G514" s="1888"/>
    </row>
    <row r="515" spans="1:7">
      <c r="A515" s="135"/>
      <c r="B515" s="135"/>
      <c r="C515" s="266"/>
      <c r="D515" s="135"/>
      <c r="F515" s="135"/>
    </row>
    <row r="516" spans="1:7">
      <c r="C516" s="266"/>
      <c r="D516" s="1885" t="s">
        <v>719</v>
      </c>
      <c r="E516" s="1885"/>
      <c r="F516" s="1885"/>
    </row>
    <row r="517" spans="1:7" s="682" customFormat="1">
      <c r="A517" s="699"/>
      <c r="B517" s="699"/>
      <c r="C517" s="266"/>
      <c r="D517" s="1886" t="s">
        <v>1227</v>
      </c>
      <c r="E517" s="1886"/>
      <c r="F517" s="1886"/>
      <c r="G517" s="7"/>
    </row>
    <row r="518" spans="1:7" s="682" customFormat="1">
      <c r="A518" s="699"/>
      <c r="B518" s="699"/>
      <c r="C518" s="266"/>
      <c r="D518" s="704"/>
      <c r="E518" s="704"/>
      <c r="F518" s="704"/>
      <c r="G518" s="7"/>
    </row>
    <row r="519" spans="1:7" ht="13.15" customHeight="1">
      <c r="A519" s="261"/>
      <c r="B519" s="679" t="s">
        <v>316</v>
      </c>
      <c r="C519" s="266"/>
      <c r="D519" s="1886" t="s">
        <v>948</v>
      </c>
      <c r="E519" s="1886"/>
      <c r="F519" s="1886"/>
      <c r="G519" s="12"/>
    </row>
    <row r="520" spans="1:7" ht="13.15" customHeight="1">
      <c r="A520" s="266"/>
      <c r="B520" s="266"/>
      <c r="C520" s="266"/>
      <c r="D520" s="704"/>
      <c r="E520" s="677"/>
      <c r="F520" s="677"/>
      <c r="G520" s="12"/>
    </row>
    <row r="521" spans="1:7" ht="14.25">
      <c r="A521" s="261"/>
      <c r="B521" s="679" t="s">
        <v>316</v>
      </c>
      <c r="C521" s="266"/>
      <c r="D521" s="1861" t="s">
        <v>1228</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316</v>
      </c>
      <c r="C524" s="266"/>
      <c r="D524" s="1861" t="s">
        <v>1229</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316</v>
      </c>
      <c r="C527" s="266"/>
      <c r="D527" s="1861" t="s">
        <v>1230</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316</v>
      </c>
      <c r="C530" s="266"/>
      <c r="D530" s="1861" t="s">
        <v>1231</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316</v>
      </c>
      <c r="C534" s="266"/>
      <c r="D534" s="1884" t="s">
        <v>1349</v>
      </c>
      <c r="E534" s="1884"/>
      <c r="F534" s="1884"/>
    </row>
    <row r="535" spans="1:7">
      <c r="A535" s="266"/>
      <c r="B535" s="266"/>
      <c r="C535" s="266"/>
      <c r="D535" s="1884"/>
      <c r="E535" s="1884"/>
      <c r="F535" s="1884"/>
    </row>
    <row r="536" spans="1:7">
      <c r="A536" s="266"/>
      <c r="B536" s="266"/>
      <c r="C536" s="266"/>
      <c r="D536" s="135"/>
      <c r="E536" s="135"/>
      <c r="F536" s="135"/>
    </row>
    <row r="537" spans="1:7" ht="14.25">
      <c r="A537" s="261"/>
      <c r="B537" s="679" t="s">
        <v>316</v>
      </c>
      <c r="C537" s="266"/>
      <c r="D537" s="1884" t="s">
        <v>1232</v>
      </c>
      <c r="E537" s="1884"/>
      <c r="F537" s="1884"/>
    </row>
    <row r="538" spans="1:7">
      <c r="A538" s="266"/>
      <c r="B538" s="266"/>
      <c r="C538" s="266"/>
      <c r="D538" s="1884"/>
      <c r="E538" s="1884"/>
      <c r="F538" s="1884"/>
    </row>
    <row r="539" spans="1:7">
      <c r="A539" s="266"/>
      <c r="B539" s="266"/>
      <c r="C539" s="266"/>
      <c r="D539" s="135"/>
      <c r="E539" s="135"/>
      <c r="F539" s="135"/>
    </row>
    <row r="540" spans="1:7" ht="14.25">
      <c r="A540" s="261"/>
      <c r="B540" s="679" t="s">
        <v>316</v>
      </c>
      <c r="C540" s="266"/>
      <c r="D540" s="1861" t="s">
        <v>1233</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316</v>
      </c>
      <c r="C543" s="266"/>
      <c r="D543" s="1886" t="s">
        <v>1234</v>
      </c>
      <c r="E543" s="1886"/>
      <c r="F543" s="1886"/>
      <c r="G543" s="57"/>
    </row>
    <row r="544" spans="1:7">
      <c r="A544" s="23"/>
      <c r="B544" s="675"/>
      <c r="C544" s="266"/>
      <c r="D544" s="1886" t="s">
        <v>880</v>
      </c>
      <c r="E544" s="1886"/>
      <c r="F544" s="1886"/>
      <c r="G544" s="57"/>
    </row>
    <row r="545" spans="1:7">
      <c r="A545" s="23"/>
      <c r="B545" s="675"/>
      <c r="C545" s="266"/>
      <c r="D545" s="6"/>
      <c r="E545" s="1891" t="s">
        <v>1235</v>
      </c>
      <c r="F545" s="1891"/>
      <c r="G545" s="57"/>
    </row>
    <row r="546" spans="1:7" ht="14.25">
      <c r="A546" s="261"/>
      <c r="B546" s="261"/>
      <c r="C546" s="266"/>
      <c r="E546" s="135"/>
      <c r="F546" s="135"/>
      <c r="G546" s="57"/>
    </row>
    <row r="547" spans="1:7" ht="14.25">
      <c r="A547" s="261"/>
      <c r="B547" s="679" t="s">
        <v>316</v>
      </c>
      <c r="C547" s="266"/>
      <c r="D547" s="1892" t="s">
        <v>1236</v>
      </c>
      <c r="E547" s="1892"/>
      <c r="F547" s="1892"/>
      <c r="G547" s="57"/>
    </row>
    <row r="548" spans="1:7">
      <c r="C548" s="266"/>
      <c r="D548" s="1861" t="s">
        <v>1237</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316</v>
      </c>
      <c r="C552" s="266"/>
      <c r="D552" s="1861" t="s">
        <v>1238</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7" t="s">
        <v>1171</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1187</v>
      </c>
      <c r="E560" s="1909"/>
      <c r="F560" s="1909"/>
      <c r="G560" s="57"/>
    </row>
    <row r="561" spans="1:7">
      <c r="A561" s="12"/>
      <c r="B561" s="12"/>
      <c r="C561" s="260"/>
      <c r="D561" s="377"/>
      <c r="G561" s="57"/>
    </row>
    <row r="562" spans="1:7">
      <c r="A562" s="260"/>
      <c r="B562" s="679" t="s">
        <v>316</v>
      </c>
      <c r="D562" s="1909" t="s">
        <v>954</v>
      </c>
      <c r="E562" s="1909"/>
      <c r="F562" s="1909"/>
      <c r="G562" s="57"/>
    </row>
    <row r="563" spans="1:7">
      <c r="A563" s="23"/>
      <c r="B563" s="675"/>
      <c r="D563" s="325"/>
    </row>
    <row r="564" spans="1:7">
      <c r="A564" s="23"/>
      <c r="B564" s="679" t="s">
        <v>316</v>
      </c>
      <c r="D564" s="1910" t="s">
        <v>1188</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1189</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1190</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1191</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25">
      <c r="A579" s="261"/>
      <c r="B579" s="679" t="s">
        <v>316</v>
      </c>
      <c r="D579" s="1909" t="s">
        <v>949</v>
      </c>
      <c r="E579" s="1909"/>
      <c r="F579" s="1909"/>
    </row>
    <row r="580" spans="1:7" ht="14.25">
      <c r="A580" s="261"/>
      <c r="B580" s="261"/>
      <c r="D580" s="377"/>
    </row>
    <row r="581" spans="1:7" ht="14.25">
      <c r="A581" s="261"/>
      <c r="B581" s="679" t="s">
        <v>316</v>
      </c>
      <c r="D581" s="1909" t="s">
        <v>1192</v>
      </c>
      <c r="E581" s="1909"/>
      <c r="F581" s="1909"/>
    </row>
    <row r="582" spans="1:7" ht="14.25">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1172</v>
      </c>
      <c r="B588" s="1887"/>
      <c r="C588" s="1887"/>
      <c r="D588" s="1887"/>
      <c r="E588" s="1887"/>
      <c r="F588" s="1887"/>
      <c r="G588" s="1887"/>
    </row>
    <row r="589" spans="1:7"/>
    <row r="590" spans="1:7">
      <c r="D590" s="1877" t="s">
        <v>1272</v>
      </c>
      <c r="E590" s="1877"/>
      <c r="F590" s="1877"/>
    </row>
    <row r="591" spans="1:7">
      <c r="D591" s="1878" t="s">
        <v>1273</v>
      </c>
      <c r="E591" s="1878"/>
      <c r="F591" s="1878"/>
    </row>
    <row r="592" spans="1:7" s="719" customFormat="1">
      <c r="A592" s="705"/>
      <c r="B592" s="705"/>
      <c r="C592" s="705"/>
      <c r="D592" s="723"/>
      <c r="E592" s="722"/>
      <c r="F592" s="722"/>
      <c r="G592" s="7"/>
    </row>
    <row r="593" spans="1:7" s="39" customFormat="1" ht="14.25">
      <c r="A593" s="403"/>
      <c r="B593" s="679" t="s">
        <v>316</v>
      </c>
      <c r="C593" s="273"/>
      <c r="D593" s="1879" t="s">
        <v>1274</v>
      </c>
      <c r="E593" s="1879"/>
      <c r="F593" s="1879"/>
      <c r="G593" s="130"/>
    </row>
    <row r="594" spans="1:7">
      <c r="D594" s="1879"/>
      <c r="E594" s="1879"/>
      <c r="F594" s="1879"/>
    </row>
    <row r="595" spans="1:7">
      <c r="D595" s="1879"/>
      <c r="E595" s="1879"/>
      <c r="F595" s="1879"/>
    </row>
    <row r="596" spans="1:7"/>
    <row r="597" spans="1:7">
      <c r="A597" s="1887" t="s">
        <v>1173</v>
      </c>
      <c r="B597" s="1887"/>
      <c r="C597" s="1887"/>
      <c r="D597" s="1887"/>
      <c r="E597" s="1887"/>
      <c r="F597" s="1887"/>
      <c r="G597" s="1887"/>
    </row>
    <row r="598" spans="1:7">
      <c r="A598" s="135"/>
      <c r="B598" s="135"/>
      <c r="G598" s="57"/>
    </row>
    <row r="599" spans="1:7">
      <c r="A599" s="257"/>
      <c r="B599" s="674"/>
      <c r="C599" s="255"/>
      <c r="D599" s="1880" t="s">
        <v>1275</v>
      </c>
      <c r="E599" s="1880"/>
      <c r="F599" s="1880"/>
      <c r="G599" s="57"/>
    </row>
    <row r="600" spans="1:7">
      <c r="A600" s="257"/>
      <c r="B600" s="674"/>
      <c r="C600" s="255"/>
      <c r="D600" s="1880"/>
      <c r="E600" s="1880"/>
      <c r="F600" s="1880"/>
      <c r="G600" s="57"/>
    </row>
    <row r="601" spans="1:7">
      <c r="C601" s="260"/>
      <c r="D601" s="1878" t="s">
        <v>1276</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1277</v>
      </c>
      <c r="E605" s="1881"/>
      <c r="F605" s="1881"/>
      <c r="G605" s="57"/>
    </row>
    <row r="606" spans="1:7">
      <c r="D606" s="1881"/>
      <c r="E606" s="1881"/>
      <c r="F606" s="1881"/>
      <c r="G606" s="57"/>
    </row>
    <row r="607" spans="1:7">
      <c r="D607" s="12"/>
      <c r="G607" s="57"/>
    </row>
    <row r="608" spans="1:7">
      <c r="B608" s="679" t="s">
        <v>316</v>
      </c>
      <c r="D608" s="1881" t="s">
        <v>1278</v>
      </c>
      <c r="E608" s="1881"/>
      <c r="F608" s="1881"/>
      <c r="G608" s="57"/>
    </row>
    <row r="609" spans="1:7">
      <c r="C609" s="268"/>
      <c r="D609" s="1881"/>
      <c r="E609" s="1881"/>
      <c r="F609" s="1881"/>
      <c r="G609" s="57"/>
    </row>
    <row r="610" spans="1:7">
      <c r="C610" s="268"/>
      <c r="G610" s="57"/>
    </row>
    <row r="611" spans="1:7">
      <c r="B611" s="679" t="s">
        <v>316</v>
      </c>
      <c r="C611" s="268"/>
      <c r="D611" s="1881" t="s">
        <v>1279</v>
      </c>
      <c r="E611" s="1881"/>
      <c r="F611" s="1881"/>
      <c r="G611" s="57"/>
    </row>
    <row r="612" spans="1:7">
      <c r="C612" s="268"/>
      <c r="D612" s="1881"/>
      <c r="E612" s="1881"/>
      <c r="F612" s="1881"/>
      <c r="G612" s="57"/>
    </row>
    <row r="613" spans="1:7">
      <c r="C613" s="268"/>
      <c r="G613" s="57"/>
    </row>
    <row r="614" spans="1:7">
      <c r="A614" s="1887" t="s">
        <v>1174</v>
      </c>
      <c r="B614" s="1887"/>
      <c r="C614" s="1887"/>
      <c r="D614" s="1887"/>
      <c r="E614" s="1887"/>
      <c r="F614" s="1887"/>
      <c r="G614" s="1887"/>
    </row>
    <row r="615" spans="1:7">
      <c r="A615" s="267"/>
      <c r="B615" s="267"/>
      <c r="C615" s="267"/>
      <c r="G615" s="57"/>
    </row>
    <row r="616" spans="1:7">
      <c r="C616" s="23"/>
      <c r="D616" s="1877" t="s">
        <v>1280</v>
      </c>
      <c r="E616" s="1877"/>
      <c r="F616" s="1877"/>
      <c r="G616" s="57"/>
    </row>
    <row r="617" spans="1:7">
      <c r="A617" s="23"/>
      <c r="B617" s="675"/>
      <c r="C617" s="265"/>
      <c r="D617" s="50"/>
      <c r="G617" s="57"/>
    </row>
    <row r="618" spans="1:7" ht="14.25">
      <c r="A618" s="261"/>
      <c r="B618" s="679" t="s">
        <v>316</v>
      </c>
      <c r="C618" s="265"/>
      <c r="D618" s="1922" t="s">
        <v>1281</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25">
      <c r="A625" s="261"/>
      <c r="B625" s="679" t="s">
        <v>316</v>
      </c>
      <c r="C625" s="265"/>
      <c r="D625" s="1922" t="s">
        <v>1282</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25">
      <c r="A628" s="261"/>
      <c r="B628" s="679" t="s">
        <v>316</v>
      </c>
      <c r="C628" s="266"/>
      <c r="D628" s="1879" t="s">
        <v>1283</v>
      </c>
      <c r="E628" s="1879"/>
      <c r="F628" s="1879"/>
      <c r="G628" s="57"/>
    </row>
    <row r="629" spans="1:7" ht="14.25">
      <c r="A629" s="261"/>
      <c r="B629" s="261"/>
      <c r="C629" s="266"/>
      <c r="D629" s="1879"/>
      <c r="E629" s="1879"/>
      <c r="F629" s="1879"/>
      <c r="G629" s="57"/>
    </row>
    <row r="630" spans="1:7" ht="14.25">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1284</v>
      </c>
      <c r="E633" s="1927"/>
      <c r="F633" s="1927"/>
      <c r="G633" s="57"/>
    </row>
    <row r="634" spans="1:7">
      <c r="A634" s="266"/>
      <c r="B634" s="266"/>
      <c r="C634" s="266"/>
      <c r="D634" s="727"/>
      <c r="E634" s="727"/>
      <c r="F634" s="727"/>
      <c r="G634" s="57"/>
    </row>
    <row r="635" spans="1:7">
      <c r="A635" s="1887" t="s">
        <v>1175</v>
      </c>
      <c r="B635" s="1887"/>
      <c r="C635" s="1887"/>
      <c r="D635" s="1887"/>
      <c r="E635" s="1887"/>
      <c r="F635" s="1887"/>
      <c r="G635" s="1887"/>
    </row>
    <row r="636" spans="1:7">
      <c r="A636" s="135"/>
      <c r="B636" s="135"/>
      <c r="C636" s="266"/>
      <c r="D636" s="147"/>
      <c r="E636" s="147"/>
      <c r="F636" s="147"/>
      <c r="G636" s="57"/>
    </row>
    <row r="637" spans="1:7">
      <c r="C637" s="267"/>
      <c r="D637" s="1928" t="s">
        <v>1334</v>
      </c>
      <c r="E637" s="1928"/>
      <c r="F637" s="1928"/>
      <c r="G637" s="57"/>
    </row>
    <row r="638" spans="1:7">
      <c r="A638" s="260"/>
      <c r="B638" s="260"/>
      <c r="C638" s="260"/>
      <c r="D638" s="1929" t="s">
        <v>1335</v>
      </c>
      <c r="E638" s="1929"/>
      <c r="F638" s="1929"/>
      <c r="G638" s="57"/>
    </row>
    <row r="639" spans="1:7" s="719" customFormat="1">
      <c r="A639" s="720"/>
      <c r="B639" s="720"/>
      <c r="C639" s="720"/>
      <c r="D639" s="734"/>
      <c r="E639" s="734"/>
      <c r="F639" s="734"/>
      <c r="G639" s="57"/>
    </row>
    <row r="640" spans="1:7" ht="14.45" customHeight="1">
      <c r="A640" s="261"/>
      <c r="B640" s="679" t="s">
        <v>316</v>
      </c>
      <c r="C640" s="266"/>
      <c r="D640" s="1875" t="s">
        <v>1336</v>
      </c>
      <c r="E640" s="1875"/>
      <c r="F640" s="1875"/>
      <c r="G640" s="57"/>
    </row>
    <row r="641" spans="1:11" ht="14.25">
      <c r="A641" s="261"/>
      <c r="B641" s="261"/>
      <c r="C641" s="266"/>
      <c r="D641" s="1875"/>
      <c r="E641" s="1875"/>
      <c r="F641" s="1875"/>
      <c r="G641" s="57"/>
    </row>
    <row r="642" spans="1:11" ht="14.25">
      <c r="A642" s="261"/>
      <c r="B642" s="261"/>
      <c r="C642" s="266"/>
      <c r="D642" s="1875"/>
      <c r="E642" s="1875"/>
      <c r="F642" s="1875"/>
      <c r="G642" s="57"/>
    </row>
    <row r="643" spans="1:11" ht="14.25">
      <c r="A643" s="261"/>
      <c r="B643" s="261"/>
      <c r="C643" s="266"/>
      <c r="D643" s="1875"/>
      <c r="E643" s="1875"/>
      <c r="F643" s="1875"/>
      <c r="G643" s="57"/>
    </row>
    <row r="644" spans="1:11" s="682" customFormat="1" ht="14.25">
      <c r="A644" s="261"/>
      <c r="B644" s="261"/>
      <c r="C644" s="266"/>
      <c r="D644" s="1875"/>
      <c r="E644" s="1875"/>
      <c r="F644" s="1875"/>
      <c r="G644" s="57"/>
    </row>
    <row r="645" spans="1:11" s="719" customFormat="1" ht="14.25">
      <c r="A645" s="714"/>
      <c r="B645" s="714"/>
      <c r="C645" s="266"/>
      <c r="D645" s="736"/>
      <c r="E645" s="736"/>
      <c r="F645" s="736"/>
      <c r="G645" s="57"/>
    </row>
    <row r="646" spans="1:11" s="682" customFormat="1" ht="14.25">
      <c r="A646" s="261"/>
      <c r="B646" s="679" t="s">
        <v>316</v>
      </c>
      <c r="C646" s="266"/>
      <c r="D646" s="1905" t="s">
        <v>1186</v>
      </c>
      <c r="E646" s="1905"/>
      <c r="F646" s="1905"/>
      <c r="G646" s="57"/>
    </row>
    <row r="647" spans="1:11" s="682" customFormat="1" ht="14.25">
      <c r="A647" s="261"/>
      <c r="B647" s="261"/>
      <c r="C647" s="266"/>
      <c r="D647" s="1906" t="s">
        <v>1337</v>
      </c>
      <c r="E647" s="1906"/>
      <c r="F647" s="1906"/>
      <c r="G647" s="57"/>
    </row>
    <row r="648" spans="1:11" s="682" customFormat="1" ht="14.25">
      <c r="A648" s="261"/>
      <c r="B648" s="261"/>
      <c r="C648" s="266"/>
      <c r="D648" s="1906"/>
      <c r="E648" s="1906"/>
      <c r="F648" s="1906"/>
      <c r="G648" s="57"/>
    </row>
    <row r="649" spans="1:11" s="682" customFormat="1" ht="14.25">
      <c r="A649" s="261"/>
      <c r="B649" s="261"/>
      <c r="C649" s="266"/>
      <c r="D649" s="1906"/>
      <c r="E649" s="1906"/>
      <c r="F649" s="1906"/>
      <c r="G649" s="57"/>
    </row>
    <row r="650" spans="1:11" s="682" customFormat="1" ht="14.25">
      <c r="A650" s="261"/>
      <c r="B650" s="261"/>
      <c r="C650" s="266"/>
      <c r="D650" s="1906"/>
      <c r="E650" s="1906"/>
      <c r="F650" s="1906"/>
      <c r="G650" s="57"/>
    </row>
    <row r="651" spans="1:11" s="682" customFormat="1" ht="14.25">
      <c r="A651" s="261"/>
      <c r="B651" s="261"/>
      <c r="C651" s="266"/>
      <c r="D651" s="1906"/>
      <c r="E651" s="1906"/>
      <c r="F651" s="1906"/>
      <c r="G651" s="57"/>
    </row>
    <row r="652" spans="1:11" s="682" customFormat="1" ht="14.25">
      <c r="A652" s="261"/>
      <c r="B652" s="261"/>
      <c r="C652" s="266"/>
      <c r="D652" s="1907" t="s">
        <v>1338</v>
      </c>
      <c r="E652" s="1907"/>
      <c r="F652" s="1907"/>
      <c r="G652" s="57"/>
    </row>
    <row r="653" spans="1:11">
      <c r="A653" s="266"/>
      <c r="B653" s="266"/>
      <c r="C653" s="266"/>
      <c r="D653" s="147"/>
      <c r="E653" s="147"/>
      <c r="F653" s="147"/>
      <c r="G653" s="57"/>
    </row>
    <row r="654" spans="1:11">
      <c r="A654" s="1887" t="s">
        <v>1176</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1212</v>
      </c>
      <c r="E658" s="1886"/>
      <c r="F658" s="188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6" t="s">
        <v>950</v>
      </c>
      <c r="E660" s="1886"/>
      <c r="F660" s="1886"/>
      <c r="G660" s="57"/>
      <c r="H660" s="269"/>
      <c r="I660" s="269"/>
      <c r="J660" s="269"/>
      <c r="K660" s="269"/>
    </row>
    <row r="661" spans="1:11">
      <c r="A661" s="260"/>
      <c r="B661" s="260"/>
      <c r="C661" s="260"/>
      <c r="D661" s="1886" t="s">
        <v>961</v>
      </c>
      <c r="E661" s="1886"/>
      <c r="F661" s="1886"/>
      <c r="G661" s="57"/>
      <c r="H661" s="269"/>
      <c r="I661" s="269"/>
      <c r="J661" s="269"/>
      <c r="K661" s="269"/>
    </row>
    <row r="662" spans="1:11">
      <c r="A662" s="260"/>
      <c r="B662" s="260"/>
      <c r="C662" s="260"/>
      <c r="D662" s="6"/>
      <c r="E662" s="1865" t="s">
        <v>1213</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1" t="s">
        <v>1214</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6" t="s">
        <v>990</v>
      </c>
      <c r="E669" s="1886"/>
      <c r="F669" s="1886"/>
      <c r="G669" s="57"/>
      <c r="H669" s="269"/>
      <c r="I669" s="269"/>
      <c r="J669" s="269"/>
      <c r="K669" s="269"/>
    </row>
    <row r="670" spans="1:11" ht="14.25">
      <c r="A670" s="261"/>
      <c r="B670" s="261"/>
      <c r="C670" s="260"/>
      <c r="D670" s="1886" t="s">
        <v>961</v>
      </c>
      <c r="E670" s="1886"/>
      <c r="F670" s="1886"/>
      <c r="G670" s="57"/>
      <c r="H670" s="269"/>
      <c r="I670" s="269"/>
      <c r="J670" s="269"/>
      <c r="K670" s="269"/>
    </row>
    <row r="671" spans="1:11">
      <c r="A671" s="260"/>
      <c r="B671" s="260"/>
      <c r="C671" s="260"/>
      <c r="D671" s="6"/>
      <c r="E671" s="1891" t="s">
        <v>1215</v>
      </c>
      <c r="F671" s="189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4" t="s">
        <v>1225</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4" t="s">
        <v>1216</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4" t="s">
        <v>1226</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1223</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1224</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1217</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1218</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1" t="s">
        <v>1219</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4" t="s">
        <v>1352</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1220</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1177</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15" customHeight="1">
      <c r="C728" s="260"/>
      <c r="D728" s="1903" t="s">
        <v>1193</v>
      </c>
      <c r="E728" s="1903"/>
      <c r="F728" s="1903"/>
      <c r="G728" s="271"/>
      <c r="H728" s="269"/>
      <c r="I728" s="269"/>
      <c r="J728" s="269"/>
      <c r="K728" s="269"/>
    </row>
    <row r="729" spans="1:11">
      <c r="A729" s="260"/>
      <c r="B729" s="260"/>
      <c r="C729" s="260"/>
      <c r="D729" s="1890" t="s">
        <v>1194</v>
      </c>
      <c r="E729" s="1890"/>
      <c r="F729" s="189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1" t="s">
        <v>1195</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04" t="s">
        <v>1197</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1200</v>
      </c>
      <c r="B754" s="1898"/>
      <c r="C754" s="1898"/>
      <c r="D754" s="1898"/>
      <c r="E754" s="1898"/>
      <c r="F754" s="1898"/>
      <c r="G754" s="1898"/>
    </row>
    <row r="755" spans="1:11">
      <c r="A755" s="260"/>
      <c r="B755" s="260"/>
      <c r="C755" s="260"/>
      <c r="D755" s="276"/>
      <c r="F755" s="147"/>
      <c r="G755" s="271"/>
    </row>
    <row r="756" spans="1:11">
      <c r="A756" s="273"/>
      <c r="B756" s="273"/>
      <c r="C756" s="442"/>
      <c r="D756" s="1899" t="s">
        <v>1184</v>
      </c>
      <c r="E756" s="1899"/>
      <c r="F756" s="1899"/>
      <c r="G756" s="271"/>
    </row>
    <row r="757" spans="1:11">
      <c r="A757" s="503"/>
      <c r="B757" s="503"/>
      <c r="C757" s="502"/>
      <c r="D757" s="1900" t="s">
        <v>1201</v>
      </c>
      <c r="E757" s="1900"/>
      <c r="F757" s="1900"/>
      <c r="G757" s="271"/>
    </row>
    <row r="758" spans="1:11">
      <c r="A758" s="273"/>
      <c r="B758" s="273"/>
      <c r="C758" s="442"/>
      <c r="D758" s="693"/>
      <c r="E758" s="693"/>
      <c r="F758" s="693"/>
      <c r="G758" s="271"/>
    </row>
    <row r="759" spans="1:11" ht="14.25">
      <c r="A759" s="261"/>
      <c r="B759" s="679" t="s">
        <v>316</v>
      </c>
      <c r="C759" s="442"/>
      <c r="D759" s="1901" t="s">
        <v>1069</v>
      </c>
      <c r="E759" s="1901"/>
      <c r="F759" s="1901"/>
      <c r="G759" s="271"/>
    </row>
    <row r="760" spans="1:11">
      <c r="A760" s="273"/>
      <c r="B760" s="273"/>
      <c r="C760" s="442"/>
      <c r="D760" s="692"/>
      <c r="E760" s="1902" t="s">
        <v>1185</v>
      </c>
      <c r="F760" s="1902"/>
      <c r="G760" s="271"/>
    </row>
    <row r="761" spans="1:11">
      <c r="A761" s="267"/>
      <c r="B761" s="267"/>
      <c r="C761" s="267"/>
      <c r="D761" s="135"/>
      <c r="F761" s="57"/>
      <c r="G761" s="271"/>
    </row>
    <row r="762" spans="1:11">
      <c r="A762" s="1896" t="s">
        <v>470</v>
      </c>
      <c r="B762" s="1896"/>
      <c r="C762" s="1896"/>
      <c r="D762" s="1896"/>
      <c r="E762" s="1896"/>
      <c r="F762" s="1896"/>
      <c r="G762" s="1896"/>
    </row>
    <row r="763" spans="1:11">
      <c r="A763" s="255"/>
      <c r="B763" s="673"/>
      <c r="C763" s="266"/>
      <c r="D763" s="271"/>
      <c r="E763" s="271"/>
      <c r="F763" s="271"/>
      <c r="G763" s="271"/>
    </row>
    <row r="764" spans="1:11">
      <c r="A764" s="135"/>
      <c r="B764" s="1897" t="s">
        <v>1068</v>
      </c>
      <c r="C764" s="1897"/>
      <c r="D764" s="1897"/>
      <c r="E764" s="1897"/>
      <c r="F764" s="1897"/>
      <c r="G764" s="271"/>
    </row>
    <row r="765" spans="1:11">
      <c r="A765" s="23"/>
      <c r="B765" s="675"/>
      <c r="G765" s="271"/>
    </row>
    <row r="766" spans="1:11">
      <c r="A766" s="1896" t="s">
        <v>471</v>
      </c>
      <c r="B766" s="1896"/>
      <c r="C766" s="1896"/>
      <c r="D766" s="1896"/>
      <c r="E766" s="1896"/>
      <c r="F766" s="1896"/>
      <c r="G766" s="1896"/>
    </row>
    <row r="767" spans="1:11">
      <c r="A767" s="255"/>
      <c r="B767" s="673"/>
      <c r="C767" s="255"/>
      <c r="D767" s="263"/>
      <c r="G767" s="271"/>
    </row>
    <row r="768" spans="1:11">
      <c r="A768" s="135"/>
      <c r="B768" s="1893" t="s">
        <v>469</v>
      </c>
      <c r="C768" s="1893"/>
      <c r="D768" s="1893"/>
      <c r="E768" s="1893"/>
      <c r="F768" s="1893"/>
      <c r="G768" s="271"/>
    </row>
    <row r="769" spans="1:7" ht="14.25">
      <c r="A769" s="261"/>
      <c r="B769" s="261"/>
      <c r="D769" s="135"/>
      <c r="E769" s="135"/>
      <c r="F769" s="271"/>
      <c r="G769" s="271"/>
    </row>
    <row r="770" spans="1:7">
      <c r="A770" s="1896" t="s">
        <v>472</v>
      </c>
      <c r="B770" s="1896"/>
      <c r="C770" s="1896"/>
      <c r="D770" s="1896"/>
      <c r="E770" s="1896"/>
      <c r="F770" s="1896"/>
      <c r="G770" s="1896"/>
    </row>
    <row r="771" spans="1:7">
      <c r="C771" s="260"/>
      <c r="D771" s="259"/>
      <c r="E771" s="135"/>
      <c r="F771" s="271"/>
      <c r="G771" s="271"/>
    </row>
    <row r="772" spans="1:7">
      <c r="A772" s="135"/>
      <c r="B772" s="1893" t="s">
        <v>469</v>
      </c>
      <c r="C772" s="1893"/>
      <c r="D772" s="1893"/>
      <c r="E772" s="1893"/>
      <c r="F772" s="1893"/>
      <c r="G772" s="271"/>
    </row>
    <row r="773" spans="1:7">
      <c r="A773" s="135"/>
      <c r="B773" s="135"/>
      <c r="C773" s="266"/>
      <c r="D773" s="271"/>
      <c r="E773" s="271"/>
      <c r="F773" s="271"/>
      <c r="G773" s="271"/>
    </row>
    <row r="774" spans="1:7">
      <c r="A774" s="1896" t="s">
        <v>473</v>
      </c>
      <c r="B774" s="1896"/>
      <c r="C774" s="1896"/>
      <c r="D774" s="1896"/>
      <c r="E774" s="1896"/>
      <c r="F774" s="1896"/>
      <c r="G774" s="1896"/>
    </row>
    <row r="775" spans="1:7">
      <c r="A775" s="135"/>
      <c r="B775" s="135"/>
    </row>
    <row r="776" spans="1:7">
      <c r="A776" s="135"/>
      <c r="B776" s="1893" t="s">
        <v>469</v>
      </c>
      <c r="C776" s="1893"/>
      <c r="D776" s="1893"/>
      <c r="E776" s="1893"/>
      <c r="F776" s="1893"/>
    </row>
    <row r="777" spans="1:7">
      <c r="A777" s="266"/>
      <c r="B777" s="266"/>
      <c r="C777" s="266"/>
      <c r="D777" s="258"/>
      <c r="F777" s="271"/>
    </row>
    <row r="778" spans="1:7">
      <c r="A778" s="1896" t="s">
        <v>474</v>
      </c>
      <c r="B778" s="1896"/>
      <c r="C778" s="1896"/>
      <c r="D778" s="1896"/>
      <c r="E778" s="1896"/>
      <c r="F778" s="1896"/>
      <c r="G778" s="1896"/>
    </row>
    <row r="779" spans="1:7">
      <c r="A779" s="135"/>
      <c r="B779" s="135"/>
    </row>
    <row r="780" spans="1:7">
      <c r="A780" s="135"/>
      <c r="B780" s="1893" t="s">
        <v>469</v>
      </c>
      <c r="C780" s="1893"/>
      <c r="D780" s="1893"/>
      <c r="E780" s="1893"/>
      <c r="F780" s="1893"/>
    </row>
    <row r="781" spans="1:7">
      <c r="A781" s="266"/>
      <c r="B781" s="266"/>
      <c r="C781" s="266"/>
      <c r="D781" s="258"/>
      <c r="F781" s="271"/>
    </row>
    <row r="782" spans="1:7">
      <c r="A782" s="1896" t="s">
        <v>475</v>
      </c>
      <c r="B782" s="1896"/>
      <c r="C782" s="1896"/>
      <c r="D782" s="1896"/>
      <c r="E782" s="1896"/>
      <c r="F782" s="1896"/>
      <c r="G782" s="1896"/>
    </row>
    <row r="783" spans="1:7">
      <c r="A783" s="135"/>
      <c r="B783" s="135"/>
    </row>
    <row r="784" spans="1:7">
      <c r="A784" s="135"/>
      <c r="B784" s="1893" t="s">
        <v>469</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469</v>
      </c>
      <c r="C788" s="1893"/>
      <c r="D788" s="1893"/>
      <c r="E788" s="1893"/>
      <c r="F788" s="1893"/>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93" t="s">
        <v>469</v>
      </c>
      <c r="C792" s="1893"/>
      <c r="D792" s="1893"/>
      <c r="E792" s="1893"/>
      <c r="F792" s="189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2.75"/>
    <row r="5" spans="1:10" ht="12.75" customHeight="1">
      <c r="A5" s="1945" t="s">
        <v>2403</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0" t="s">
        <v>2406</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1390</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1391</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2401</v>
      </c>
      <c r="B72" s="1947"/>
      <c r="C72" s="1947"/>
      <c r="D72" s="1947"/>
      <c r="E72" s="1947"/>
      <c r="F72" s="1947"/>
      <c r="G72" s="1947"/>
      <c r="H72" s="1947"/>
      <c r="I72" s="1947"/>
    </row>
    <row r="73" spans="1:9" ht="12.75">
      <c r="A73" s="1869" t="s">
        <v>1093</v>
      </c>
      <c r="B73" s="1869"/>
      <c r="C73" s="1869"/>
      <c r="D73" s="1869"/>
      <c r="E73" s="1869"/>
    </row>
    <row r="74" spans="1:9" ht="12.75">
      <c r="A74" s="1869" t="s">
        <v>1392</v>
      </c>
      <c r="B74" s="1869"/>
      <c r="C74" s="1869"/>
      <c r="D74" s="1869"/>
      <c r="E74" s="1869"/>
    </row>
    <row r="75" spans="1:9" ht="12.75">
      <c r="A75" s="1869" t="s">
        <v>2402</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3" t="s">
        <v>2241</v>
      </c>
      <c r="B2" s="1953"/>
      <c r="C2" s="1953"/>
      <c r="D2" s="1953"/>
      <c r="E2" s="1953"/>
      <c r="F2" s="1953"/>
      <c r="G2" s="1953"/>
      <c r="H2" s="1953"/>
      <c r="I2" s="1953"/>
    </row>
    <row r="3" spans="1:9">
      <c r="A3" s="1954" t="s">
        <v>2242</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1254</v>
      </c>
      <c r="B6" s="1975"/>
      <c r="C6" s="1976"/>
      <c r="D6" s="1976"/>
      <c r="E6" s="1976"/>
      <c r="F6" s="1976"/>
      <c r="G6" s="1976"/>
      <c r="I6" s="1836" t="s">
        <v>2416</v>
      </c>
    </row>
    <row r="7" spans="1:9" s="791" customFormat="1">
      <c r="A7" s="1975" t="s">
        <v>1255</v>
      </c>
      <c r="B7" s="1975"/>
      <c r="C7" s="1976"/>
      <c r="D7" s="1976"/>
      <c r="E7" s="1976"/>
      <c r="F7" s="1976"/>
      <c r="G7" s="1976"/>
      <c r="I7" s="1836" t="s">
        <v>2417</v>
      </c>
    </row>
    <row r="8" spans="1:9">
      <c r="A8" s="792"/>
      <c r="B8" s="792"/>
      <c r="C8" s="793"/>
      <c r="D8" s="793"/>
      <c r="E8" s="793"/>
      <c r="F8" s="793"/>
    </row>
    <row r="9" spans="1:9">
      <c r="A9" s="1917" t="s">
        <v>1257</v>
      </c>
      <c r="B9" s="1917"/>
      <c r="C9" s="1917"/>
      <c r="D9" s="1917"/>
      <c r="E9" s="1917"/>
      <c r="F9" s="1917"/>
      <c r="G9" s="1917"/>
      <c r="H9" s="1853"/>
      <c r="I9" s="1854"/>
    </row>
    <row r="10" spans="1:9">
      <c r="A10" s="793"/>
      <c r="B10" s="793"/>
      <c r="E10" s="794"/>
    </row>
    <row r="11" spans="1:9" ht="13.7" customHeight="1">
      <c r="C11" s="793"/>
      <c r="D11" s="1978" t="s">
        <v>1256</v>
      </c>
      <c r="E11" s="1978"/>
      <c r="F11" s="1978"/>
    </row>
    <row r="12" spans="1:9">
      <c r="C12" s="793"/>
      <c r="D12" s="1978"/>
      <c r="E12" s="1978"/>
      <c r="F12" s="1978"/>
    </row>
    <row r="13" spans="1:9">
      <c r="A13" s="795"/>
      <c r="B13" s="795"/>
      <c r="C13" s="795"/>
      <c r="D13" s="1927" t="s">
        <v>1239</v>
      </c>
      <c r="E13" s="1927"/>
      <c r="F13" s="1927"/>
    </row>
    <row r="14" spans="1:9">
      <c r="A14" s="795"/>
      <c r="B14" s="795"/>
      <c r="C14" s="795"/>
      <c r="D14" s="796"/>
    </row>
    <row r="15" spans="1:9" ht="14.25">
      <c r="A15" s="797"/>
      <c r="B15" s="798" t="s">
        <v>2558</v>
      </c>
      <c r="C15" s="799"/>
      <c r="D15" s="1922" t="s">
        <v>1240</v>
      </c>
      <c r="E15" s="1922"/>
      <c r="F15" s="1922"/>
      <c r="I15" s="1774" t="s">
        <v>2418</v>
      </c>
    </row>
    <row r="16" spans="1:9">
      <c r="A16" s="795"/>
      <c r="B16" s="795"/>
      <c r="C16" s="799"/>
      <c r="D16" s="1922"/>
      <c r="E16" s="1922"/>
      <c r="F16" s="1922"/>
    </row>
    <row r="17" spans="1:9">
      <c r="A17" s="795"/>
      <c r="B17" s="795"/>
      <c r="C17" s="799"/>
      <c r="D17" s="1922"/>
      <c r="E17" s="1922"/>
      <c r="F17" s="1922"/>
    </row>
    <row r="18" spans="1:9">
      <c r="A18" s="795"/>
      <c r="B18" s="795"/>
      <c r="C18" s="795"/>
    </row>
    <row r="19" spans="1:9" ht="14.25">
      <c r="A19" s="797"/>
      <c r="B19" s="798" t="s">
        <v>2621</v>
      </c>
      <c r="D19" s="1901" t="s">
        <v>1241</v>
      </c>
      <c r="E19" s="1901"/>
      <c r="F19" s="1901"/>
      <c r="I19" s="1774" t="s">
        <v>2419</v>
      </c>
    </row>
    <row r="20" spans="1:9" ht="14.25">
      <c r="A20" s="797"/>
      <c r="B20" s="797"/>
      <c r="D20" s="800"/>
    </row>
    <row r="21" spans="1:9" ht="14.25">
      <c r="A21" s="797"/>
      <c r="B21" s="798" t="s">
        <v>2558</v>
      </c>
      <c r="D21" s="1922" t="s">
        <v>1242</v>
      </c>
      <c r="E21" s="1922"/>
      <c r="F21" s="1922"/>
      <c r="I21" s="1774" t="s">
        <v>2419</v>
      </c>
    </row>
    <row r="22" spans="1:9" ht="14.25">
      <c r="A22" s="797"/>
      <c r="B22" s="797"/>
      <c r="D22" s="1922"/>
      <c r="E22" s="1922"/>
      <c r="F22" s="1922"/>
    </row>
    <row r="23" spans="1:9"/>
    <row r="24" spans="1:9" ht="14.25">
      <c r="A24" s="797"/>
      <c r="B24" s="798" t="s">
        <v>2558</v>
      </c>
      <c r="D24" s="1967" t="s">
        <v>1243</v>
      </c>
      <c r="E24" s="1967"/>
      <c r="F24" s="1967"/>
      <c r="I24" s="1774" t="s">
        <v>2422</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2558</v>
      </c>
      <c r="C30" s="801"/>
      <c r="D30" s="1879" t="s">
        <v>1244</v>
      </c>
      <c r="E30" s="1879"/>
      <c r="F30" s="1879"/>
      <c r="G30" s="802"/>
      <c r="I30" s="1837" t="s">
        <v>2418</v>
      </c>
    </row>
    <row r="31" spans="1:9" s="791" customFormat="1">
      <c r="A31" s="801"/>
      <c r="B31" s="801"/>
      <c r="C31" s="801"/>
      <c r="D31" s="1879"/>
      <c r="E31" s="1879"/>
      <c r="F31" s="1879"/>
      <c r="G31" s="802"/>
      <c r="I31" s="1837"/>
    </row>
    <row r="32" spans="1:9" ht="14.25">
      <c r="A32" s="797"/>
      <c r="B32" s="797"/>
      <c r="D32" s="803"/>
    </row>
    <row r="33" spans="1:9" ht="14.45" customHeight="1">
      <c r="A33" s="797"/>
      <c r="B33" s="798" t="s">
        <v>2558</v>
      </c>
      <c r="D33" s="1879" t="s">
        <v>1423</v>
      </c>
      <c r="E33" s="1879"/>
      <c r="F33" s="1879"/>
      <c r="I33" s="1837" t="s">
        <v>2490</v>
      </c>
    </row>
    <row r="34" spans="1:9" ht="14.25">
      <c r="A34" s="797"/>
      <c r="B34" s="797"/>
      <c r="D34" s="1879"/>
      <c r="E34" s="1879"/>
      <c r="F34" s="1879"/>
    </row>
    <row r="35" spans="1:9" ht="14.25">
      <c r="A35" s="797"/>
      <c r="B35" s="797"/>
      <c r="D35" s="1879"/>
      <c r="E35" s="1879"/>
      <c r="F35" s="1879"/>
    </row>
    <row r="36" spans="1:9" ht="14.25">
      <c r="A36" s="797"/>
      <c r="B36" s="797"/>
      <c r="D36" s="1879"/>
      <c r="E36" s="1879"/>
      <c r="F36" s="1879"/>
    </row>
    <row r="37" spans="1:9" ht="14.25">
      <c r="A37" s="797"/>
      <c r="B37" s="797"/>
      <c r="D37" s="790"/>
    </row>
    <row r="38" spans="1:9" ht="14.25">
      <c r="A38" s="797"/>
      <c r="B38" s="798" t="s">
        <v>2558</v>
      </c>
      <c r="D38" s="1879" t="s">
        <v>1246</v>
      </c>
      <c r="E38" s="1879"/>
      <c r="F38" s="1879"/>
    </row>
    <row r="39" spans="1:9" ht="14.25">
      <c r="A39" s="797"/>
      <c r="B39" s="797"/>
      <c r="D39" s="1879"/>
      <c r="E39" s="1879"/>
      <c r="F39" s="1879"/>
    </row>
    <row r="40" spans="1:9" ht="14.25">
      <c r="A40" s="797"/>
      <c r="B40" s="797"/>
      <c r="D40" s="1879"/>
      <c r="E40" s="1879"/>
      <c r="F40" s="1879"/>
    </row>
    <row r="41" spans="1:9" ht="14.25">
      <c r="A41" s="797"/>
      <c r="B41" s="797"/>
      <c r="D41" s="1879"/>
      <c r="E41" s="1879"/>
      <c r="F41" s="1879"/>
    </row>
    <row r="42" spans="1:9" ht="14.25">
      <c r="A42" s="797"/>
      <c r="B42" s="797"/>
      <c r="D42" s="1879"/>
      <c r="E42" s="1879"/>
      <c r="F42" s="1879"/>
    </row>
    <row r="43" spans="1:9" ht="14.25">
      <c r="A43" s="797"/>
      <c r="B43" s="797"/>
      <c r="D43" s="781"/>
      <c r="E43" s="781"/>
      <c r="F43" s="781"/>
    </row>
    <row r="44" spans="1:9" ht="14.25">
      <c r="A44" s="797"/>
      <c r="B44" s="798" t="s">
        <v>2558</v>
      </c>
      <c r="D44" s="1879" t="s">
        <v>1247</v>
      </c>
      <c r="E44" s="1879"/>
      <c r="F44" s="1879"/>
      <c r="I44" s="1837" t="s">
        <v>2490</v>
      </c>
    </row>
    <row r="45" spans="1:9" ht="14.25">
      <c r="A45" s="797"/>
      <c r="B45" s="797"/>
      <c r="D45" s="1879"/>
      <c r="E45" s="1879"/>
      <c r="F45" s="1879"/>
    </row>
    <row r="46" spans="1:9" ht="14.25">
      <c r="A46" s="797"/>
      <c r="B46" s="797"/>
      <c r="D46" s="1879"/>
      <c r="E46" s="1879"/>
      <c r="F46" s="1879"/>
    </row>
    <row r="47" spans="1:9" ht="23.25" customHeight="1">
      <c r="A47" s="797"/>
      <c r="B47" s="797"/>
      <c r="D47" s="1879"/>
      <c r="E47" s="1879"/>
      <c r="F47" s="1879"/>
    </row>
    <row r="48" spans="1:9" ht="14.25">
      <c r="A48" s="797"/>
      <c r="B48" s="797"/>
      <c r="D48" s="785"/>
    </row>
    <row r="49" spans="1:9" ht="14.45" customHeight="1">
      <c r="A49" s="797"/>
      <c r="B49" s="798" t="s">
        <v>2558</v>
      </c>
      <c r="D49" s="1879" t="s">
        <v>1248</v>
      </c>
      <c r="E49" s="1879"/>
      <c r="F49" s="1879"/>
      <c r="I49" s="1837" t="s">
        <v>2490</v>
      </c>
    </row>
    <row r="50" spans="1:9" ht="14.25">
      <c r="A50" s="797"/>
      <c r="B50" s="797"/>
      <c r="D50" s="1879"/>
      <c r="E50" s="1879"/>
      <c r="F50" s="1879"/>
    </row>
    <row r="51" spans="1:9" ht="14.25">
      <c r="A51" s="797"/>
      <c r="B51" s="797"/>
      <c r="D51" s="1879"/>
      <c r="E51" s="1879"/>
      <c r="F51" s="1879"/>
    </row>
    <row r="52" spans="1:9" s="618" customFormat="1" ht="14.25">
      <c r="A52" s="797"/>
      <c r="B52" s="797"/>
      <c r="C52" s="804"/>
      <c r="D52" s="802"/>
      <c r="E52" s="693"/>
      <c r="F52" s="693"/>
      <c r="G52" s="693"/>
      <c r="I52" s="642"/>
    </row>
    <row r="53" spans="1:9" s="618" customFormat="1" ht="14.25">
      <c r="A53" s="805"/>
      <c r="B53" s="798" t="s">
        <v>2558</v>
      </c>
      <c r="C53" s="806"/>
      <c r="D53" s="1879" t="s">
        <v>1249</v>
      </c>
      <c r="E53" s="1879"/>
      <c r="F53" s="1879"/>
      <c r="G53" s="693"/>
      <c r="I53" s="1774"/>
    </row>
    <row r="54" spans="1:9" s="618" customFormat="1" ht="14.25">
      <c r="A54" s="805"/>
      <c r="B54" s="805"/>
      <c r="C54" s="806"/>
      <c r="D54" s="1879"/>
      <c r="E54" s="1879"/>
      <c r="F54" s="1879"/>
      <c r="G54" s="693"/>
      <c r="I54" s="642"/>
    </row>
    <row r="55" spans="1:9" s="791" customFormat="1">
      <c r="A55" s="801"/>
      <c r="B55" s="801"/>
      <c r="C55" s="801"/>
      <c r="D55" s="733"/>
      <c r="E55" s="802"/>
      <c r="F55" s="802"/>
      <c r="G55" s="802"/>
      <c r="I55" s="1837"/>
    </row>
    <row r="56" spans="1:9" ht="14.25">
      <c r="A56" s="797"/>
      <c r="B56" s="798" t="s">
        <v>2558</v>
      </c>
      <c r="D56" s="1879" t="s">
        <v>1250</v>
      </c>
      <c r="E56" s="1879"/>
      <c r="F56" s="1879"/>
      <c r="I56" s="1774" t="s">
        <v>2420</v>
      </c>
    </row>
    <row r="57" spans="1:9">
      <c r="D57" s="1879"/>
      <c r="E57" s="1879"/>
      <c r="F57" s="1879"/>
    </row>
    <row r="58" spans="1:9">
      <c r="D58" s="1879"/>
      <c r="E58" s="1879"/>
      <c r="F58" s="1879"/>
    </row>
    <row r="59" spans="1:9">
      <c r="D59" s="693"/>
    </row>
    <row r="60" spans="1:9" ht="14.25">
      <c r="A60" s="797"/>
      <c r="B60" s="798" t="s">
        <v>2558</v>
      </c>
      <c r="D60" s="1879" t="s">
        <v>1251</v>
      </c>
      <c r="E60" s="1879"/>
      <c r="F60" s="1879"/>
      <c r="I60" s="1774" t="s">
        <v>2421</v>
      </c>
    </row>
    <row r="61" spans="1:9">
      <c r="D61" s="1879"/>
      <c r="E61" s="1879"/>
      <c r="F61" s="1879"/>
    </row>
    <row r="62" spans="1:9"/>
    <row r="63" spans="1:9" ht="14.25">
      <c r="A63" s="797"/>
      <c r="B63" s="798" t="s">
        <v>2558</v>
      </c>
      <c r="D63" s="1879" t="s">
        <v>1252</v>
      </c>
      <c r="E63" s="1879"/>
      <c r="F63" s="1879"/>
    </row>
    <row r="64" spans="1:9">
      <c r="D64" s="1879"/>
      <c r="E64" s="1879"/>
      <c r="F64" s="1879"/>
      <c r="I64" s="1774" t="s">
        <v>2422</v>
      </c>
    </row>
    <row r="65" spans="1:9">
      <c r="D65" s="1879"/>
      <c r="E65" s="1879"/>
      <c r="F65" s="1879"/>
    </row>
    <row r="66" spans="1:9">
      <c r="D66" s="790"/>
    </row>
    <row r="67" spans="1:9" ht="14.25">
      <c r="A67" s="797"/>
      <c r="B67" s="798" t="s">
        <v>2558</v>
      </c>
      <c r="D67" s="1922" t="s">
        <v>1253</v>
      </c>
      <c r="E67" s="1922"/>
      <c r="F67" s="1922"/>
      <c r="I67" s="1774" t="s">
        <v>2422</v>
      </c>
    </row>
    <row r="68" spans="1:9">
      <c r="D68" s="1922"/>
      <c r="E68" s="1922"/>
      <c r="F68" s="1922"/>
    </row>
    <row r="69" spans="1:9" ht="14.25">
      <c r="A69" s="797"/>
      <c r="B69" s="797"/>
      <c r="D69" s="800"/>
    </row>
    <row r="70" spans="1:9">
      <c r="A70" s="1887" t="s">
        <v>1160</v>
      </c>
      <c r="B70" s="1887"/>
      <c r="C70" s="1887"/>
      <c r="D70" s="1887"/>
      <c r="E70" s="1887"/>
      <c r="F70" s="1887"/>
      <c r="G70" s="1887"/>
      <c r="H70" s="1853"/>
      <c r="I70" s="1854"/>
    </row>
    <row r="71" spans="1:9"/>
    <row r="72" spans="1:9">
      <c r="C72" s="807"/>
      <c r="D72" s="1960" t="s">
        <v>1258</v>
      </c>
      <c r="E72" s="1960"/>
      <c r="F72" s="1960"/>
    </row>
    <row r="73" spans="1:9">
      <c r="A73" s="800"/>
      <c r="B73" s="800"/>
      <c r="D73" s="1922" t="s">
        <v>1285</v>
      </c>
      <c r="E73" s="1922"/>
      <c r="F73" s="1922"/>
    </row>
    <row r="74" spans="1:9">
      <c r="A74" s="800"/>
      <c r="B74" s="800"/>
    </row>
    <row r="75" spans="1:9" ht="13.7" customHeight="1">
      <c r="A75" s="797"/>
      <c r="B75" s="798" t="s">
        <v>2621</v>
      </c>
      <c r="D75" s="1922" t="s">
        <v>1472</v>
      </c>
      <c r="E75" s="1922"/>
      <c r="F75" s="1922"/>
      <c r="I75" s="1774" t="s">
        <v>2423</v>
      </c>
    </row>
    <row r="76" spans="1:9" ht="14.25">
      <c r="A76" s="797"/>
      <c r="B76" s="797"/>
      <c r="D76" s="1922"/>
      <c r="E76" s="1922"/>
      <c r="F76" s="1922"/>
    </row>
    <row r="77" spans="1:9" ht="14.25">
      <c r="A77" s="797"/>
      <c r="B77" s="797"/>
      <c r="D77" s="1922"/>
      <c r="E77" s="1922"/>
      <c r="F77" s="1922"/>
    </row>
    <row r="78" spans="1:9" ht="14.25">
      <c r="A78" s="797"/>
      <c r="B78" s="797"/>
      <c r="D78" s="1922"/>
      <c r="E78" s="1922"/>
      <c r="F78" s="1922"/>
    </row>
    <row r="79" spans="1:9" ht="14.25">
      <c r="A79" s="797"/>
      <c r="B79" s="797"/>
      <c r="D79" s="1922"/>
      <c r="E79" s="1922"/>
      <c r="F79" s="1922"/>
    </row>
    <row r="80" spans="1:9" ht="14.25">
      <c r="A80" s="797"/>
      <c r="B80" s="797"/>
      <c r="D80" s="1922"/>
      <c r="E80" s="1922"/>
      <c r="F80" s="1922"/>
    </row>
    <row r="81" spans="1:9" ht="14.25">
      <c r="A81" s="797"/>
      <c r="B81" s="797"/>
      <c r="D81" s="1922"/>
      <c r="E81" s="1922"/>
      <c r="F81" s="1922"/>
    </row>
    <row r="82" spans="1:9" ht="14.25">
      <c r="A82" s="797"/>
      <c r="B82" s="797"/>
      <c r="D82" s="1922"/>
      <c r="E82" s="1922"/>
      <c r="F82" s="1922"/>
    </row>
    <row r="83" spans="1:9" ht="14.25">
      <c r="A83" s="797"/>
      <c r="B83" s="797"/>
      <c r="D83" s="878"/>
      <c r="E83" s="878"/>
      <c r="F83" s="878"/>
    </row>
    <row r="84" spans="1:9" ht="15" customHeight="1">
      <c r="A84" s="797"/>
      <c r="B84" s="798" t="s">
        <v>2621</v>
      </c>
      <c r="D84" s="1922" t="s">
        <v>2243</v>
      </c>
      <c r="E84" s="1922"/>
      <c r="F84" s="1922"/>
      <c r="I84" s="1774" t="s">
        <v>2424</v>
      </c>
    </row>
    <row r="85" spans="1:9" ht="14.25">
      <c r="A85" s="797"/>
      <c r="B85" s="797"/>
      <c r="D85" s="1922"/>
      <c r="E85" s="1922"/>
      <c r="F85" s="1922"/>
    </row>
    <row r="86" spans="1:9" ht="14.25">
      <c r="A86" s="797"/>
      <c r="B86" s="797"/>
      <c r="D86" s="1712"/>
      <c r="E86" s="1712"/>
      <c r="F86" s="1712"/>
    </row>
    <row r="87" spans="1:9" ht="14.25">
      <c r="A87" s="797"/>
      <c r="B87" s="798" t="s">
        <v>2621</v>
      </c>
      <c r="D87" s="1922" t="s">
        <v>2247</v>
      </c>
      <c r="E87" s="1922"/>
      <c r="F87" s="1922"/>
      <c r="I87" s="1774" t="s">
        <v>2425</v>
      </c>
    </row>
    <row r="88" spans="1:9" ht="14.25">
      <c r="A88" s="797"/>
      <c r="B88" s="797"/>
      <c r="D88" s="1922"/>
      <c r="E88" s="1922"/>
      <c r="F88" s="1922"/>
    </row>
    <row r="89" spans="1:9" ht="14.25">
      <c r="A89" s="797"/>
      <c r="B89" s="797"/>
      <c r="D89" s="1922"/>
      <c r="E89" s="1922"/>
      <c r="F89" s="1922"/>
    </row>
    <row r="90" spans="1:9" ht="14.25">
      <c r="A90" s="797"/>
      <c r="B90" s="797"/>
      <c r="D90" s="1712"/>
      <c r="E90" s="1712"/>
      <c r="F90" s="1712"/>
    </row>
    <row r="91" spans="1:9" ht="14.25">
      <c r="A91" s="797"/>
      <c r="B91" s="798" t="s">
        <v>2621</v>
      </c>
      <c r="D91" s="1922" t="s">
        <v>2245</v>
      </c>
      <c r="E91" s="1922"/>
      <c r="F91" s="1922"/>
      <c r="I91" s="1774" t="s">
        <v>2470</v>
      </c>
    </row>
    <row r="92" spans="1:9" s="1729" customFormat="1" ht="14.25">
      <c r="A92" s="1727"/>
      <c r="B92" s="1727"/>
      <c r="C92" s="1728"/>
      <c r="D92" s="1922"/>
      <c r="E92" s="1922"/>
      <c r="F92" s="1922"/>
      <c r="I92" s="1838"/>
    </row>
    <row r="93" spans="1:9" ht="14.25">
      <c r="A93" s="797"/>
      <c r="B93" s="797"/>
      <c r="D93" s="1718"/>
      <c r="E93" s="1719" t="s">
        <v>2246</v>
      </c>
      <c r="F93" s="1712"/>
    </row>
    <row r="94" spans="1:9" ht="14.25">
      <c r="A94" s="797"/>
      <c r="B94" s="797"/>
      <c r="D94" s="878"/>
      <c r="E94" s="878"/>
      <c r="F94" s="878"/>
    </row>
    <row r="95" spans="1:9" ht="14.25">
      <c r="A95" s="797"/>
      <c r="B95" s="798" t="s">
        <v>2558</v>
      </c>
      <c r="D95" s="1922" t="s">
        <v>2244</v>
      </c>
      <c r="E95" s="1922"/>
      <c r="F95" s="1922"/>
      <c r="I95" s="1774" t="s">
        <v>2426</v>
      </c>
    </row>
    <row r="96" spans="1:9" ht="14.25">
      <c r="A96" s="797"/>
      <c r="B96" s="797"/>
      <c r="D96" s="1922"/>
      <c r="E96" s="1922"/>
      <c r="F96" s="1922"/>
    </row>
    <row r="97" spans="1:9" ht="14.25">
      <c r="A97" s="797"/>
      <c r="B97" s="797"/>
      <c r="D97" s="1712"/>
      <c r="E97" s="1712"/>
      <c r="F97" s="1712"/>
    </row>
    <row r="98" spans="1:9" ht="14.45" customHeight="1">
      <c r="A98" s="797"/>
      <c r="B98" s="798" t="s">
        <v>2558</v>
      </c>
      <c r="D98" s="1922" t="s">
        <v>1398</v>
      </c>
      <c r="E98" s="1922"/>
      <c r="F98" s="1922"/>
      <c r="G98" s="790"/>
      <c r="I98" s="1774" t="s">
        <v>2427</v>
      </c>
    </row>
    <row r="99" spans="1:9" ht="14.25">
      <c r="A99" s="797"/>
      <c r="B99" s="797"/>
      <c r="D99" s="1922"/>
      <c r="E99" s="1922"/>
      <c r="F99" s="1922"/>
      <c r="G99" s="790"/>
    </row>
    <row r="100" spans="1:9" ht="14.25">
      <c r="A100" s="797"/>
      <c r="B100" s="797"/>
      <c r="D100" s="1922"/>
      <c r="E100" s="1922"/>
      <c r="F100" s="1922"/>
      <c r="G100" s="790"/>
    </row>
    <row r="101" spans="1:9" ht="14.25">
      <c r="A101" s="797"/>
      <c r="B101" s="797"/>
      <c r="D101" s="1922"/>
      <c r="E101" s="1922"/>
      <c r="F101" s="1922"/>
      <c r="G101" s="790"/>
    </row>
    <row r="102" spans="1:9" ht="14.25">
      <c r="A102" s="797"/>
      <c r="B102" s="797"/>
      <c r="D102" s="1922"/>
      <c r="E102" s="1922"/>
      <c r="F102" s="1922"/>
      <c r="G102" s="790"/>
    </row>
    <row r="103" spans="1:9" ht="14.25">
      <c r="A103" s="797"/>
      <c r="B103" s="797"/>
      <c r="D103" s="1922"/>
      <c r="E103" s="1922"/>
      <c r="F103" s="1922"/>
      <c r="G103" s="790"/>
    </row>
    <row r="104" spans="1:9" ht="14.25">
      <c r="A104" s="797"/>
      <c r="B104" s="797"/>
      <c r="D104" s="1922"/>
      <c r="E104" s="1922"/>
      <c r="F104" s="1922"/>
      <c r="G104" s="790"/>
    </row>
    <row r="105" spans="1:9" ht="14.25">
      <c r="A105" s="797"/>
      <c r="B105" s="797"/>
      <c r="D105" s="1922"/>
      <c r="E105" s="1922"/>
      <c r="F105" s="1922"/>
      <c r="G105" s="790"/>
    </row>
    <row r="106" spans="1:9" ht="14.25">
      <c r="A106" s="797"/>
      <c r="B106" s="797"/>
      <c r="D106" s="1922"/>
      <c r="E106" s="1922"/>
      <c r="F106" s="1922"/>
      <c r="G106" s="790"/>
    </row>
    <row r="107" spans="1:9" ht="14.25">
      <c r="A107" s="797"/>
      <c r="B107" s="797"/>
      <c r="D107" s="1922"/>
      <c r="E107" s="1922"/>
      <c r="F107" s="1922"/>
      <c r="G107" s="790"/>
    </row>
    <row r="108" spans="1:9" ht="14.25">
      <c r="A108" s="797"/>
      <c r="B108" s="797"/>
      <c r="D108" s="1922"/>
      <c r="E108" s="1922"/>
      <c r="F108" s="1922"/>
      <c r="G108" s="790"/>
    </row>
    <row r="109" spans="1:9" ht="14.25">
      <c r="A109" s="797"/>
      <c r="B109" s="797"/>
      <c r="D109" s="1922"/>
      <c r="E109" s="1922"/>
      <c r="F109" s="1922"/>
      <c r="G109" s="790"/>
    </row>
    <row r="110" spans="1:9" ht="14.25">
      <c r="A110" s="797"/>
      <c r="B110" s="797"/>
      <c r="D110" s="1922"/>
      <c r="E110" s="1922"/>
      <c r="F110" s="1922"/>
      <c r="G110" s="790"/>
    </row>
    <row r="111" spans="1:9" ht="14.25">
      <c r="A111" s="797"/>
      <c r="B111" s="797"/>
      <c r="D111" s="1922"/>
      <c r="E111" s="1922"/>
      <c r="F111" s="1922"/>
    </row>
    <row r="112" spans="1:9" ht="14.25">
      <c r="A112" s="797"/>
      <c r="B112" s="797"/>
      <c r="D112" s="1922"/>
      <c r="E112" s="1922"/>
      <c r="F112" s="1922"/>
    </row>
    <row r="113" spans="1:11" ht="14.25">
      <c r="A113" s="797"/>
      <c r="B113" s="797"/>
      <c r="D113" s="904"/>
      <c r="E113" s="904"/>
      <c r="F113" s="904"/>
    </row>
    <row r="114" spans="1:11" ht="14.25" customHeight="1">
      <c r="A114" s="797"/>
      <c r="B114" s="798" t="s">
        <v>2558</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2621</v>
      </c>
      <c r="C123" s="722"/>
      <c r="D123" s="1920" t="s">
        <v>1262</v>
      </c>
      <c r="E123" s="1920"/>
      <c r="F123" s="1920"/>
      <c r="G123" s="722"/>
      <c r="H123" s="722"/>
      <c r="I123" s="622" t="s">
        <v>2428</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2621</v>
      </c>
      <c r="C126" s="804"/>
      <c r="D126" s="1922" t="s">
        <v>1263</v>
      </c>
      <c r="E126" s="1922"/>
      <c r="F126" s="1922"/>
      <c r="I126" s="622" t="s">
        <v>2428</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25">
      <c r="A132" s="797"/>
      <c r="B132" s="798" t="s">
        <v>2621</v>
      </c>
      <c r="C132" s="804"/>
      <c r="D132" s="1879" t="s">
        <v>1264</v>
      </c>
      <c r="E132" s="1879"/>
      <c r="F132" s="1879"/>
      <c r="G132" s="672"/>
      <c r="I132" s="622" t="s">
        <v>2429</v>
      </c>
    </row>
    <row r="133" spans="1:9" s="812" customFormat="1" ht="13.7" customHeight="1">
      <c r="A133" s="809"/>
      <c r="B133" s="809"/>
      <c r="C133" s="810"/>
      <c r="D133" s="1879"/>
      <c r="E133" s="1879"/>
      <c r="F133" s="1879"/>
      <c r="G133" s="811"/>
      <c r="I133" s="1839"/>
    </row>
    <row r="134" spans="1:9" s="722" customFormat="1" ht="13.7" customHeight="1">
      <c r="A134" s="788"/>
      <c r="B134" s="788"/>
      <c r="C134" s="804"/>
      <c r="D134" s="1879"/>
      <c r="E134" s="1879"/>
      <c r="F134" s="1879"/>
      <c r="G134" s="672"/>
      <c r="I134" s="622"/>
    </row>
    <row r="135" spans="1:9" s="722" customFormat="1" ht="13.7" customHeight="1">
      <c r="A135" s="788"/>
      <c r="B135" s="788"/>
      <c r="C135" s="804"/>
      <c r="D135" s="1879"/>
      <c r="E135" s="1879"/>
      <c r="F135" s="1879"/>
      <c r="G135" s="672"/>
      <c r="I135" s="622"/>
    </row>
    <row r="136" spans="1:9" s="722" customFormat="1" ht="13.7" customHeight="1">
      <c r="A136" s="788"/>
      <c r="B136" s="788"/>
      <c r="C136" s="804"/>
      <c r="D136" s="1879"/>
      <c r="E136" s="1879"/>
      <c r="F136" s="1879"/>
      <c r="G136" s="672"/>
      <c r="I136" s="622"/>
    </row>
    <row r="137" spans="1:9" s="722" customFormat="1" ht="13.7" customHeight="1">
      <c r="A137" s="813"/>
      <c r="B137" s="813"/>
      <c r="C137" s="804"/>
      <c r="D137" s="1879"/>
      <c r="E137" s="1879"/>
      <c r="F137" s="1879"/>
      <c r="G137" s="672"/>
      <c r="I137" s="622"/>
    </row>
    <row r="138" spans="1:9" s="618" customFormat="1" ht="13.7" customHeight="1">
      <c r="A138" s="801"/>
      <c r="B138" s="801"/>
      <c r="C138" s="806"/>
      <c r="D138" s="1879"/>
      <c r="E138" s="1879"/>
      <c r="F138" s="1879"/>
      <c r="G138" s="693"/>
      <c r="I138" s="642"/>
    </row>
    <row r="139" spans="1:9" s="618" customFormat="1" ht="13.7" customHeight="1">
      <c r="A139" s="801"/>
      <c r="B139" s="801"/>
      <c r="C139" s="806"/>
      <c r="D139" s="1879"/>
      <c r="E139" s="1879"/>
      <c r="F139" s="1879"/>
      <c r="G139" s="693"/>
      <c r="I139" s="642"/>
    </row>
    <row r="140" spans="1:9" s="722" customFormat="1" ht="13.7" customHeight="1">
      <c r="A140" s="788"/>
      <c r="B140" s="788"/>
      <c r="C140" s="804"/>
      <c r="D140" s="1879"/>
      <c r="E140" s="1879"/>
      <c r="F140" s="1879"/>
      <c r="G140" s="672"/>
      <c r="I140" s="622"/>
    </row>
    <row r="141" spans="1:9" s="722" customFormat="1" ht="13.7" customHeight="1">
      <c r="A141" s="788"/>
      <c r="B141" s="788"/>
      <c r="C141" s="804"/>
      <c r="D141" s="1879"/>
      <c r="E141" s="1879"/>
      <c r="F141" s="1879"/>
      <c r="G141" s="672"/>
      <c r="I141" s="622"/>
    </row>
    <row r="142" spans="1:9" s="722" customFormat="1" ht="13.7" customHeight="1">
      <c r="A142" s="788"/>
      <c r="B142" s="788"/>
      <c r="C142" s="804"/>
      <c r="D142" s="1879"/>
      <c r="E142" s="1879"/>
      <c r="F142" s="1879"/>
      <c r="G142" s="672"/>
      <c r="I142" s="622"/>
    </row>
    <row r="143" spans="1:9" s="722" customFormat="1" ht="13.7" customHeight="1">
      <c r="A143" s="788"/>
      <c r="B143" s="788"/>
      <c r="C143" s="804"/>
      <c r="D143" s="1879"/>
      <c r="E143" s="1879"/>
      <c r="F143" s="187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2558</v>
      </c>
      <c r="C145" s="804"/>
      <c r="D145" s="1964" t="s">
        <v>1372</v>
      </c>
      <c r="E145" s="1964"/>
      <c r="F145" s="1964"/>
      <c r="G145" s="672"/>
      <c r="I145" s="622" t="s">
        <v>2430</v>
      </c>
    </row>
    <row r="146" spans="1:9" s="722" customFormat="1" ht="13.7" customHeight="1">
      <c r="A146" s="788"/>
      <c r="B146" s="788"/>
      <c r="C146" s="804"/>
      <c r="D146" s="1964"/>
      <c r="E146" s="1964"/>
      <c r="F146" s="1964"/>
      <c r="G146" s="672"/>
      <c r="I146" s="622"/>
    </row>
    <row r="147" spans="1:9" s="722" customFormat="1" ht="13.7" customHeight="1">
      <c r="A147" s="788"/>
      <c r="B147" s="788"/>
      <c r="C147" s="804"/>
      <c r="D147" s="1964"/>
      <c r="E147" s="1964"/>
      <c r="F147" s="1964"/>
      <c r="G147" s="672"/>
      <c r="I147" s="622"/>
    </row>
    <row r="148" spans="1:9" s="722" customFormat="1" ht="13.7" customHeight="1">
      <c r="A148" s="788"/>
      <c r="B148" s="788"/>
      <c r="C148" s="804"/>
      <c r="D148" s="1964"/>
      <c r="E148" s="1964"/>
      <c r="F148" s="1964"/>
      <c r="G148" s="672"/>
      <c r="I148" s="622"/>
    </row>
    <row r="149" spans="1:9" s="722" customFormat="1" ht="13.7" customHeight="1">
      <c r="A149" s="788"/>
      <c r="B149" s="788"/>
      <c r="C149" s="804"/>
      <c r="D149" s="1964"/>
      <c r="E149" s="1964"/>
      <c r="F149" s="1964"/>
      <c r="G149" s="672"/>
      <c r="I149" s="622"/>
    </row>
    <row r="150" spans="1:9" s="722" customFormat="1" ht="13.7" customHeight="1">
      <c r="A150" s="788"/>
      <c r="B150" s="788"/>
      <c r="C150" s="804"/>
      <c r="D150" s="1964"/>
      <c r="E150" s="1964"/>
      <c r="F150" s="1964"/>
      <c r="G150" s="672"/>
      <c r="I150" s="622"/>
    </row>
    <row r="151" spans="1:9" s="722" customFormat="1" ht="13.7" customHeight="1">
      <c r="A151" s="788"/>
      <c r="B151" s="788"/>
      <c r="C151" s="804"/>
      <c r="D151" s="1964"/>
      <c r="E151" s="1964"/>
      <c r="F151" s="1964"/>
      <c r="G151" s="672"/>
      <c r="I151" s="622"/>
    </row>
    <row r="152" spans="1:9" s="722" customFormat="1" ht="13.7" customHeight="1">
      <c r="A152" s="788"/>
      <c r="B152" s="788"/>
      <c r="C152" s="804"/>
      <c r="D152" s="1964"/>
      <c r="E152" s="1964"/>
      <c r="F152" s="1964"/>
      <c r="G152" s="672"/>
      <c r="I152" s="622"/>
    </row>
    <row r="153" spans="1:9" s="722" customFormat="1" ht="13.7" customHeight="1">
      <c r="A153" s="788"/>
      <c r="B153" s="788"/>
      <c r="C153" s="804"/>
      <c r="D153" s="1964"/>
      <c r="E153" s="1964"/>
      <c r="F153" s="1964"/>
      <c r="G153" s="672"/>
      <c r="I153" s="622"/>
    </row>
    <row r="154" spans="1:9" s="722" customFormat="1" ht="13.7" customHeight="1">
      <c r="A154" s="788"/>
      <c r="B154" s="788"/>
      <c r="C154" s="804"/>
      <c r="D154" s="1964"/>
      <c r="E154" s="1964"/>
      <c r="F154" s="1964"/>
      <c r="G154" s="672"/>
      <c r="I154" s="622"/>
    </row>
    <row r="155" spans="1:9" s="722" customFormat="1" ht="13.7" customHeight="1">
      <c r="A155" s="788"/>
      <c r="B155" s="788"/>
      <c r="C155" s="804"/>
      <c r="D155" s="1964"/>
      <c r="E155" s="1964"/>
      <c r="F155" s="1964"/>
      <c r="G155" s="672"/>
      <c r="I155" s="622"/>
    </row>
    <row r="156" spans="1:9" s="722" customFormat="1" ht="13.7" customHeight="1">
      <c r="A156" s="788"/>
      <c r="B156" s="788"/>
      <c r="C156" s="804"/>
      <c r="D156" s="1964"/>
      <c r="E156" s="1964"/>
      <c r="F156" s="1964"/>
      <c r="G156" s="672"/>
      <c r="I156" s="622"/>
    </row>
    <row r="157" spans="1:9" s="722" customFormat="1" ht="13.7" customHeight="1">
      <c r="A157" s="788"/>
      <c r="B157" s="788"/>
      <c r="C157" s="804"/>
      <c r="D157" s="1964"/>
      <c r="E157" s="1964"/>
      <c r="F157" s="1964"/>
      <c r="G157" s="672"/>
      <c r="I157" s="622"/>
    </row>
    <row r="158" spans="1:9" s="722" customFormat="1" ht="13.7" customHeight="1">
      <c r="A158" s="788"/>
      <c r="B158" s="788"/>
      <c r="C158" s="804"/>
      <c r="D158" s="1964"/>
      <c r="E158" s="1964"/>
      <c r="F158" s="1964"/>
      <c r="G158" s="672"/>
      <c r="I158" s="622"/>
    </row>
    <row r="159" spans="1:9" s="722" customFormat="1" ht="13.7" customHeight="1">
      <c r="A159" s="788"/>
      <c r="B159" s="788"/>
      <c r="C159" s="804"/>
      <c r="D159" s="1964"/>
      <c r="E159" s="1964"/>
      <c r="F159" s="1964"/>
      <c r="G159" s="672"/>
      <c r="I159" s="622"/>
    </row>
    <row r="160" spans="1:9" s="722" customFormat="1" ht="13.7" customHeight="1">
      <c r="A160" s="788"/>
      <c r="B160" s="788"/>
      <c r="C160" s="804"/>
      <c r="D160" s="1964"/>
      <c r="E160" s="1964"/>
      <c r="F160" s="1964"/>
      <c r="G160" s="672"/>
      <c r="I160" s="622"/>
    </row>
    <row r="161" spans="1:9" s="722" customFormat="1" ht="13.7" customHeight="1">
      <c r="A161" s="788"/>
      <c r="B161" s="788"/>
      <c r="C161" s="804"/>
      <c r="D161" s="1964"/>
      <c r="E161" s="1964"/>
      <c r="F161" s="1964"/>
      <c r="G161" s="672"/>
      <c r="I161" s="622"/>
    </row>
    <row r="162" spans="1:9" s="722" customFormat="1" ht="13.7" customHeight="1">
      <c r="A162" s="788"/>
      <c r="B162" s="788"/>
      <c r="C162" s="804"/>
      <c r="D162" s="1964"/>
      <c r="E162" s="1964"/>
      <c r="F162" s="196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2558</v>
      </c>
      <c r="C165" s="814"/>
      <c r="D165" s="1921" t="s">
        <v>1434</v>
      </c>
      <c r="E165" s="1921"/>
      <c r="F165" s="1921"/>
      <c r="G165" s="815"/>
      <c r="I165" s="622" t="s">
        <v>2425</v>
      </c>
    </row>
    <row r="166" spans="1:9" s="722" customFormat="1" ht="14.45" customHeight="1">
      <c r="A166" s="813"/>
      <c r="B166" s="813"/>
      <c r="C166" s="814"/>
      <c r="D166" s="1921"/>
      <c r="E166" s="1921"/>
      <c r="F166" s="1921"/>
      <c r="G166" s="815"/>
      <c r="I166" s="622"/>
    </row>
    <row r="167" spans="1:9" s="722" customFormat="1" ht="13.7" customHeight="1">
      <c r="A167" s="813"/>
      <c r="B167" s="813"/>
      <c r="C167" s="814"/>
      <c r="D167" s="1921"/>
      <c r="E167" s="1921"/>
      <c r="F167" s="192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2621</v>
      </c>
      <c r="C169" s="814"/>
      <c r="D169" s="1864" t="s">
        <v>1266</v>
      </c>
      <c r="E169" s="1864"/>
      <c r="F169" s="1864"/>
      <c r="G169" s="815"/>
      <c r="I169" s="622" t="s">
        <v>2431</v>
      </c>
    </row>
    <row r="170" spans="1:9" s="722" customFormat="1" ht="13.7" customHeight="1">
      <c r="A170" s="813"/>
      <c r="B170" s="813"/>
      <c r="C170" s="814"/>
      <c r="D170" s="1864"/>
      <c r="E170" s="1864"/>
      <c r="F170" s="1864"/>
      <c r="G170" s="815"/>
      <c r="I170" s="622"/>
    </row>
    <row r="171" spans="1:9" s="722" customFormat="1" ht="13.7" customHeight="1">
      <c r="A171" s="813"/>
      <c r="B171" s="813"/>
      <c r="C171" s="814"/>
      <c r="D171" s="1864"/>
      <c r="E171" s="1864"/>
      <c r="F171" s="1864"/>
      <c r="G171" s="815"/>
      <c r="I171" s="622"/>
    </row>
    <row r="172" spans="1:9" s="722" customFormat="1" ht="13.7" customHeight="1">
      <c r="A172" s="813"/>
      <c r="B172" s="813"/>
      <c r="C172" s="814"/>
      <c r="D172" s="1864"/>
      <c r="E172" s="1864"/>
      <c r="F172" s="186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2558</v>
      </c>
      <c r="C174" s="804"/>
      <c r="D174" s="1909" t="s">
        <v>1267</v>
      </c>
      <c r="E174" s="1909"/>
      <c r="F174" s="1909"/>
      <c r="G174" s="672"/>
      <c r="I174" s="622" t="s">
        <v>2432</v>
      </c>
    </row>
    <row r="175" spans="1:9" s="722" customFormat="1" ht="13.7" customHeight="1">
      <c r="A175" s="788"/>
      <c r="B175" s="788"/>
      <c r="C175" s="804"/>
      <c r="D175" s="1909"/>
      <c r="E175" s="1909"/>
      <c r="F175" s="1909"/>
      <c r="G175" s="672"/>
      <c r="I175" s="622"/>
    </row>
    <row r="176" spans="1:9" s="722" customFormat="1" ht="13.7" customHeight="1">
      <c r="A176" s="788"/>
      <c r="B176" s="788"/>
      <c r="C176" s="804"/>
      <c r="D176" s="1909"/>
      <c r="E176" s="1909"/>
      <c r="F176" s="1909"/>
      <c r="G176" s="672"/>
      <c r="I176" s="622"/>
    </row>
    <row r="177" spans="1:9" s="722" customFormat="1" ht="13.7" customHeight="1">
      <c r="A177" s="816"/>
      <c r="B177" s="816"/>
      <c r="C177" s="804"/>
      <c r="D177" s="789"/>
      <c r="E177" s="785"/>
      <c r="F177" s="785"/>
      <c r="G177" s="672"/>
      <c r="I177" s="622"/>
    </row>
    <row r="178" spans="1:9">
      <c r="A178" s="1887" t="s">
        <v>2407</v>
      </c>
      <c r="B178" s="1887"/>
      <c r="C178" s="1887"/>
      <c r="D178" s="1887"/>
      <c r="E178" s="1887"/>
      <c r="F178" s="1887"/>
      <c r="G178" s="1887"/>
      <c r="H178" s="1853"/>
      <c r="I178" s="1854"/>
    </row>
    <row r="179" spans="1:9" ht="12" customHeight="1">
      <c r="D179" s="800"/>
      <c r="E179" s="800"/>
      <c r="F179" s="800"/>
    </row>
    <row r="180" spans="1:9">
      <c r="B180" s="1959" t="s">
        <v>469</v>
      </c>
      <c r="C180" s="1959"/>
      <c r="D180" s="1959"/>
      <c r="E180" s="1959"/>
      <c r="F180" s="1959"/>
    </row>
    <row r="181" spans="1:9" s="1772" customFormat="1">
      <c r="A181" s="788"/>
      <c r="B181" s="1831" t="s">
        <v>2408</v>
      </c>
      <c r="C181" s="1831"/>
      <c r="D181" s="1831"/>
      <c r="E181" s="1831"/>
      <c r="F181" s="1831"/>
      <c r="G181" s="1771"/>
      <c r="I181" s="1774"/>
    </row>
    <row r="182" spans="1:9" ht="12" customHeight="1">
      <c r="A182" s="793"/>
      <c r="B182" s="793"/>
      <c r="C182" s="793"/>
    </row>
    <row r="183" spans="1:9">
      <c r="A183" s="1887" t="s">
        <v>1162</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23" t="s">
        <v>2248</v>
      </c>
      <c r="E185" s="1923"/>
      <c r="F185" s="1923"/>
      <c r="G185" s="819"/>
    </row>
    <row r="186" spans="1:9">
      <c r="A186" s="817"/>
      <c r="B186" s="817"/>
      <c r="C186" s="818"/>
      <c r="D186" s="1923"/>
      <c r="E186" s="1923"/>
      <c r="F186" s="1923"/>
      <c r="G186" s="819"/>
    </row>
    <row r="187" spans="1:9">
      <c r="A187" s="817"/>
      <c r="B187" s="817"/>
      <c r="C187" s="818"/>
      <c r="D187" s="1924" t="s">
        <v>1399</v>
      </c>
      <c r="E187" s="1924"/>
      <c r="F187" s="1924"/>
      <c r="G187" s="819"/>
    </row>
    <row r="188" spans="1:9">
      <c r="A188" s="817"/>
      <c r="B188" s="817"/>
      <c r="C188" s="818"/>
      <c r="D188" s="1713"/>
      <c r="E188" s="1713"/>
      <c r="F188" s="1713"/>
      <c r="G188" s="819"/>
    </row>
    <row r="189" spans="1:9">
      <c r="A189" s="817"/>
      <c r="B189" s="798" t="s">
        <v>2621</v>
      </c>
      <c r="C189" s="818"/>
      <c r="D189" s="1886" t="s">
        <v>2249</v>
      </c>
      <c r="E189" s="1886"/>
      <c r="F189" s="1886"/>
      <c r="G189" s="819"/>
      <c r="I189" s="1774" t="s">
        <v>2481</v>
      </c>
    </row>
    <row r="190" spans="1:9">
      <c r="A190" s="817"/>
      <c r="B190" s="817"/>
      <c r="C190" s="818"/>
      <c r="D190" s="1890" t="s">
        <v>2250</v>
      </c>
      <c r="E190" s="1890"/>
      <c r="F190" s="1890"/>
      <c r="G190" s="819"/>
    </row>
    <row r="191" spans="1:9">
      <c r="A191" s="817"/>
      <c r="B191" s="817"/>
      <c r="C191" s="818"/>
      <c r="D191" s="1730" t="s">
        <v>2251</v>
      </c>
      <c r="E191" s="1977" t="s">
        <v>2252</v>
      </c>
      <c r="F191" s="1977"/>
      <c r="G191" s="819"/>
    </row>
    <row r="192" spans="1:9">
      <c r="A192" s="817"/>
      <c r="B192" s="817"/>
      <c r="C192" s="818"/>
      <c r="D192" s="155"/>
      <c r="E192" s="155"/>
      <c r="F192" s="155"/>
      <c r="G192" s="819"/>
    </row>
    <row r="193" spans="1:9">
      <c r="A193" s="817"/>
      <c r="B193" s="798" t="s">
        <v>2558</v>
      </c>
      <c r="C193" s="818"/>
      <c r="D193" s="1890" t="s">
        <v>2253</v>
      </c>
      <c r="E193" s="1890"/>
      <c r="F193" s="1890"/>
      <c r="G193" s="819"/>
      <c r="I193" s="1774" t="s">
        <v>2482</v>
      </c>
    </row>
    <row r="194" spans="1:9">
      <c r="A194" s="817"/>
      <c r="B194" s="817"/>
      <c r="C194" s="818"/>
      <c r="D194" s="1886" t="s">
        <v>2250</v>
      </c>
      <c r="E194" s="1886"/>
      <c r="F194" s="1886"/>
      <c r="G194" s="819"/>
    </row>
    <row r="195" spans="1:9">
      <c r="A195" s="817"/>
      <c r="B195" s="817"/>
      <c r="C195" s="818"/>
      <c r="D195" s="1711" t="s">
        <v>2254</v>
      </c>
      <c r="E195" s="1982" t="s">
        <v>2255</v>
      </c>
      <c r="F195" s="1982"/>
      <c r="G195" s="819"/>
    </row>
    <row r="196" spans="1:9">
      <c r="A196" s="817"/>
      <c r="B196" s="817"/>
      <c r="C196" s="818"/>
      <c r="D196" s="155"/>
      <c r="E196" s="155"/>
      <c r="F196" s="155"/>
      <c r="G196" s="819"/>
    </row>
    <row r="197" spans="1:9">
      <c r="A197" s="817"/>
      <c r="B197" s="798" t="s">
        <v>2558</v>
      </c>
      <c r="C197" s="818"/>
      <c r="D197" s="1890" t="s">
        <v>2256</v>
      </c>
      <c r="E197" s="1890"/>
      <c r="F197" s="1890"/>
      <c r="G197" s="819"/>
      <c r="I197" s="1774" t="s">
        <v>2483</v>
      </c>
    </row>
    <row r="198" spans="1:9">
      <c r="A198" s="817"/>
      <c r="B198" s="817"/>
      <c r="C198" s="818"/>
      <c r="D198" s="1708" t="s">
        <v>2250</v>
      </c>
      <c r="E198" s="155"/>
      <c r="F198" s="155"/>
      <c r="G198" s="819"/>
    </row>
    <row r="199" spans="1:9">
      <c r="A199" s="817"/>
      <c r="B199" s="817"/>
      <c r="C199" s="818"/>
      <c r="D199" s="1711" t="s">
        <v>2251</v>
      </c>
      <c r="E199" s="1982" t="s">
        <v>2257</v>
      </c>
      <c r="F199" s="1982"/>
      <c r="G199" s="819"/>
    </row>
    <row r="200" spans="1:9">
      <c r="A200" s="817"/>
      <c r="B200" s="817"/>
      <c r="C200" s="818"/>
      <c r="D200" s="1713"/>
      <c r="E200" s="1713"/>
      <c r="F200" s="1713"/>
      <c r="G200" s="819"/>
    </row>
    <row r="201" spans="1:9" ht="14.25">
      <c r="A201" s="797"/>
      <c r="B201" s="798" t="s">
        <v>2558</v>
      </c>
      <c r="C201" s="818"/>
      <c r="D201" s="1922" t="s">
        <v>2258</v>
      </c>
      <c r="E201" s="1922"/>
      <c r="F201" s="1922"/>
      <c r="G201" s="819"/>
      <c r="I201" s="1774" t="s">
        <v>2484</v>
      </c>
    </row>
    <row r="202" spans="1:9" ht="14.25">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2558</v>
      </c>
      <c r="C205" s="818"/>
      <c r="D205" s="1890" t="s">
        <v>2259</v>
      </c>
      <c r="E205" s="1890"/>
      <c r="F205" s="1890"/>
      <c r="I205" s="1774" t="s">
        <v>2485</v>
      </c>
    </row>
    <row r="206" spans="1:9">
      <c r="A206" s="818"/>
      <c r="B206" s="818"/>
      <c r="C206" s="818"/>
      <c r="D206" s="1890" t="s">
        <v>2250</v>
      </c>
      <c r="E206" s="1890"/>
      <c r="F206" s="1890"/>
    </row>
    <row r="207" spans="1:9">
      <c r="A207" s="818"/>
      <c r="B207" s="818"/>
      <c r="C207" s="818"/>
      <c r="D207" s="1711" t="s">
        <v>2251</v>
      </c>
      <c r="E207" s="1982" t="s">
        <v>2260</v>
      </c>
      <c r="F207" s="1982"/>
    </row>
    <row r="208" spans="1:9">
      <c r="A208" s="818"/>
      <c r="B208" s="818"/>
      <c r="C208" s="818"/>
      <c r="D208" s="779"/>
      <c r="E208" s="779"/>
      <c r="F208" s="779"/>
    </row>
    <row r="209" spans="1:9" s="618" customFormat="1" ht="14.25">
      <c r="A209" s="797"/>
      <c r="B209" s="798" t="s">
        <v>2558</v>
      </c>
      <c r="C209" s="806"/>
      <c r="D209" s="1922" t="s">
        <v>1425</v>
      </c>
      <c r="E209" s="1922"/>
      <c r="F209" s="1922"/>
      <c r="G209" s="693"/>
      <c r="I209" s="642"/>
    </row>
    <row r="210" spans="1:9" s="618" customFormat="1" ht="14.45" customHeight="1">
      <c r="A210" s="797"/>
      <c r="C210" s="806"/>
      <c r="D210" s="1922"/>
      <c r="E210" s="1922"/>
      <c r="F210" s="1922"/>
      <c r="G210" s="693"/>
      <c r="I210" s="642"/>
    </row>
    <row r="211" spans="1:9" s="618" customFormat="1" ht="14.25">
      <c r="A211" s="797"/>
      <c r="B211" s="818"/>
      <c r="C211" s="806"/>
      <c r="D211" s="1922"/>
      <c r="E211" s="1922"/>
      <c r="F211" s="1922"/>
      <c r="G211" s="693"/>
      <c r="I211" s="642"/>
    </row>
    <row r="212" spans="1:9" s="618" customFormat="1" ht="14.25">
      <c r="A212" s="797"/>
      <c r="B212" s="818"/>
      <c r="C212" s="806"/>
      <c r="D212" s="1922"/>
      <c r="E212" s="1922"/>
      <c r="F212" s="1922"/>
      <c r="G212" s="693"/>
      <c r="I212" s="642"/>
    </row>
    <row r="213" spans="1:9">
      <c r="A213" s="818"/>
      <c r="B213" s="818"/>
      <c r="C213" s="818"/>
      <c r="D213" s="779"/>
      <c r="E213" s="779"/>
      <c r="F213" s="779"/>
    </row>
    <row r="214" spans="1:9">
      <c r="A214" s="1887" t="s">
        <v>1163</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1292</v>
      </c>
      <c r="E217" s="1961"/>
      <c r="F217" s="1961"/>
    </row>
    <row r="218" spans="1:9" ht="12" customHeight="1">
      <c r="A218" s="816"/>
      <c r="B218" s="816"/>
      <c r="C218" s="816"/>
    </row>
    <row r="219" spans="1:9" ht="13.7" customHeight="1">
      <c r="A219" s="816"/>
      <c r="C219" s="816"/>
      <c r="D219" s="1877" t="s">
        <v>578</v>
      </c>
      <c r="E219" s="1877"/>
      <c r="F219" s="1877"/>
      <c r="I219" s="1774" t="s">
        <v>2433</v>
      </c>
    </row>
    <row r="220" spans="1:9" ht="14.25">
      <c r="A220" s="797"/>
      <c r="B220" s="798" t="s">
        <v>2621</v>
      </c>
      <c r="D220" s="1922" t="s">
        <v>2261</v>
      </c>
      <c r="E220" s="1922"/>
      <c r="F220" s="1922"/>
    </row>
    <row r="221" spans="1:9" ht="14.25" customHeight="1">
      <c r="A221" s="797"/>
      <c r="B221" s="797"/>
      <c r="D221" s="1922"/>
      <c r="E221" s="1922"/>
      <c r="F221" s="1922"/>
    </row>
    <row r="222" spans="1:9" ht="14.25" customHeight="1">
      <c r="A222" s="797"/>
      <c r="B222" s="797"/>
      <c r="D222" s="1922"/>
      <c r="E222" s="1922"/>
      <c r="F222" s="1922"/>
    </row>
    <row r="223" spans="1:9" ht="14.25">
      <c r="A223" s="797"/>
      <c r="B223" s="797"/>
      <c r="D223" s="1922"/>
      <c r="E223" s="1922"/>
      <c r="F223" s="1922"/>
    </row>
    <row r="224" spans="1:9" ht="14.25">
      <c r="A224" s="797"/>
      <c r="B224" s="797"/>
      <c r="D224" s="1712"/>
      <c r="E224" s="1712"/>
      <c r="F224" s="1712"/>
    </row>
    <row r="225" spans="1:9" ht="14.25">
      <c r="A225" s="797"/>
      <c r="B225" s="798" t="s">
        <v>2621</v>
      </c>
      <c r="D225" s="1922" t="s">
        <v>2262</v>
      </c>
      <c r="E225" s="1922"/>
      <c r="F225" s="1922"/>
      <c r="I225" s="1774" t="s">
        <v>2434</v>
      </c>
    </row>
    <row r="226" spans="1:9" ht="14.25">
      <c r="A226" s="797"/>
      <c r="B226" s="797"/>
      <c r="D226" s="1922"/>
      <c r="E226" s="1922"/>
      <c r="F226" s="1922"/>
    </row>
    <row r="227" spans="1:9" ht="14.25">
      <c r="A227" s="797"/>
      <c r="B227" s="797"/>
      <c r="D227" s="1922"/>
      <c r="E227" s="1922"/>
      <c r="F227" s="1922"/>
    </row>
    <row r="228" spans="1:9" ht="14.25">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25">
      <c r="A231" s="797"/>
      <c r="B231" s="797"/>
      <c r="D231" s="1922" t="s">
        <v>1288</v>
      </c>
      <c r="E231" s="1922"/>
      <c r="F231" s="1922"/>
      <c r="I231" s="1774" t="s">
        <v>2433</v>
      </c>
    </row>
    <row r="232" spans="1:9" ht="14.25">
      <c r="A232" s="797"/>
      <c r="B232" s="797"/>
      <c r="D232" s="1922"/>
      <c r="E232" s="1922"/>
      <c r="F232" s="1922"/>
    </row>
    <row r="233" spans="1:9" ht="14.25">
      <c r="A233" s="797"/>
      <c r="B233" s="797"/>
      <c r="D233" s="1922"/>
      <c r="E233" s="1922"/>
      <c r="F233" s="1922"/>
    </row>
    <row r="234" spans="1:9" ht="14.25">
      <c r="A234" s="797"/>
      <c r="B234" s="797"/>
      <c r="D234" s="1922"/>
      <c r="E234" s="1922"/>
      <c r="F234" s="1922"/>
    </row>
    <row r="235" spans="1:9" ht="14.25">
      <c r="A235" s="797"/>
      <c r="B235" s="797"/>
      <c r="D235" s="1922"/>
      <c r="E235" s="1922"/>
      <c r="F235" s="1922"/>
    </row>
    <row r="236" spans="1:9" ht="14.25">
      <c r="A236" s="797"/>
      <c r="B236" s="797"/>
      <c r="D236" s="800"/>
      <c r="E236" s="800"/>
      <c r="F236" s="800"/>
    </row>
    <row r="237" spans="1:9" ht="14.25">
      <c r="A237" s="797"/>
      <c r="B237" s="798" t="s">
        <v>2558</v>
      </c>
      <c r="D237" s="1958" t="s">
        <v>2266</v>
      </c>
      <c r="E237" s="1958"/>
      <c r="F237" s="1958"/>
      <c r="I237" s="1774" t="s">
        <v>2472</v>
      </c>
    </row>
    <row r="238" spans="1:9" ht="14.25">
      <c r="A238" s="797"/>
      <c r="B238" s="797"/>
      <c r="D238" s="1958"/>
      <c r="E238" s="1958"/>
      <c r="F238" s="1958"/>
    </row>
    <row r="239" spans="1:9" ht="14.25">
      <c r="A239" s="797"/>
      <c r="B239" s="797"/>
      <c r="D239" s="1958"/>
      <c r="E239" s="1958"/>
      <c r="F239" s="1958"/>
    </row>
    <row r="240" spans="1:9" ht="14.25">
      <c r="A240" s="797"/>
      <c r="B240" s="797"/>
      <c r="D240" s="1959" t="s">
        <v>962</v>
      </c>
      <c r="E240" s="1959"/>
      <c r="F240" s="1959"/>
    </row>
    <row r="241" spans="1:9" ht="14.25">
      <c r="A241" s="797"/>
      <c r="B241" s="797"/>
      <c r="D241" s="800"/>
      <c r="E241" s="800"/>
      <c r="F241" s="800"/>
    </row>
    <row r="242" spans="1:9" ht="14.45" customHeight="1">
      <c r="A242" s="797"/>
      <c r="B242" s="798" t="s">
        <v>2558</v>
      </c>
      <c r="D242" s="1958" t="s">
        <v>1291</v>
      </c>
      <c r="E242" s="1958"/>
      <c r="F242" s="1958"/>
      <c r="I242" s="1774" t="s">
        <v>2492</v>
      </c>
    </row>
    <row r="243" spans="1:9" ht="14.25">
      <c r="A243" s="797"/>
      <c r="B243" s="797"/>
      <c r="D243" s="1958"/>
      <c r="E243" s="1958"/>
      <c r="F243" s="1958"/>
    </row>
    <row r="244" spans="1:9" ht="14.25">
      <c r="A244" s="797"/>
      <c r="B244" s="797"/>
      <c r="D244" s="1958"/>
      <c r="E244" s="1958"/>
      <c r="F244" s="1958"/>
    </row>
    <row r="245" spans="1:9" ht="14.25">
      <c r="A245" s="797"/>
      <c r="B245" s="797"/>
      <c r="D245" s="1958"/>
      <c r="E245" s="1958"/>
      <c r="F245" s="1958"/>
    </row>
    <row r="246" spans="1:9" ht="14.25">
      <c r="A246" s="797"/>
      <c r="B246" s="797"/>
      <c r="D246" s="1958"/>
      <c r="E246" s="1958"/>
      <c r="F246" s="1958"/>
    </row>
    <row r="247" spans="1:9" ht="14.25">
      <c r="A247" s="797"/>
      <c r="B247" s="797"/>
      <c r="D247" s="1724"/>
      <c r="E247" s="1724"/>
      <c r="F247" s="1724"/>
    </row>
    <row r="248" spans="1:9" ht="14.25">
      <c r="A248" s="797"/>
      <c r="B248" s="798" t="s">
        <v>2621</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2621</v>
      </c>
      <c r="D251" s="1922" t="s">
        <v>1290</v>
      </c>
      <c r="E251" s="1922"/>
      <c r="F251" s="1922"/>
    </row>
    <row r="252" spans="1:9" ht="14.25">
      <c r="A252" s="797"/>
      <c r="B252" s="797"/>
      <c r="D252" s="1922"/>
      <c r="E252" s="1922"/>
      <c r="F252" s="1922"/>
    </row>
    <row r="253" spans="1:9">
      <c r="D253" s="821"/>
    </row>
    <row r="254" spans="1:9">
      <c r="A254" s="1887" t="s">
        <v>1164</v>
      </c>
      <c r="B254" s="1887"/>
      <c r="C254" s="1887"/>
      <c r="D254" s="1887"/>
      <c r="E254" s="1887"/>
      <c r="F254" s="1887"/>
      <c r="G254" s="1887"/>
      <c r="H254" s="1853"/>
      <c r="I254" s="1854"/>
    </row>
    <row r="255" spans="1:9">
      <c r="D255" s="821"/>
    </row>
    <row r="256" spans="1:9">
      <c r="C256" s="807"/>
      <c r="D256" s="1877" t="s">
        <v>1293</v>
      </c>
      <c r="E256" s="1877"/>
      <c r="F256" s="1877"/>
    </row>
    <row r="257" spans="1:9">
      <c r="A257" s="793"/>
      <c r="B257" s="793"/>
      <c r="C257" s="793"/>
      <c r="D257" s="800"/>
      <c r="E257" s="800"/>
      <c r="F257" s="800"/>
    </row>
    <row r="258" spans="1:9">
      <c r="A258" s="795"/>
      <c r="B258" s="795"/>
      <c r="C258" s="795"/>
      <c r="D258" s="1877" t="s">
        <v>275</v>
      </c>
      <c r="E258" s="1877"/>
      <c r="F258" s="1877"/>
      <c r="I258" s="1774" t="s">
        <v>2473</v>
      </c>
    </row>
    <row r="259" spans="1:9" ht="14.45" customHeight="1">
      <c r="A259" s="797"/>
      <c r="B259" s="798" t="s">
        <v>2621</v>
      </c>
      <c r="D259" s="1990" t="s">
        <v>1400</v>
      </c>
      <c r="E259" s="1990"/>
      <c r="F259" s="1990"/>
    </row>
    <row r="260" spans="1:9">
      <c r="D260" s="1990"/>
      <c r="E260" s="1990"/>
      <c r="F260" s="1990"/>
    </row>
    <row r="261" spans="1:9">
      <c r="D261" s="1961" t="s">
        <v>953</v>
      </c>
      <c r="E261" s="1961"/>
      <c r="F261" s="1961"/>
    </row>
    <row r="262" spans="1:9">
      <c r="D262" s="800"/>
      <c r="E262" s="800"/>
      <c r="F262" s="800"/>
    </row>
    <row r="263" spans="1:9" ht="14.45" customHeight="1">
      <c r="A263" s="797"/>
      <c r="B263" s="798" t="s">
        <v>2558</v>
      </c>
      <c r="D263" s="1958" t="s">
        <v>2265</v>
      </c>
      <c r="E263" s="1958"/>
      <c r="F263" s="1958"/>
      <c r="I263" s="1774" t="s">
        <v>2493</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25">
      <c r="A270" s="797"/>
      <c r="B270" s="798" t="s">
        <v>2558</v>
      </c>
      <c r="D270" s="1922" t="s">
        <v>1296</v>
      </c>
      <c r="E270" s="1922"/>
      <c r="F270" s="1922"/>
    </row>
    <row r="271" spans="1:9">
      <c r="D271" s="1922"/>
      <c r="E271" s="1922"/>
      <c r="F271" s="1922"/>
    </row>
    <row r="272" spans="1:9">
      <c r="D272" s="1922"/>
      <c r="E272" s="1922"/>
      <c r="F272" s="1922"/>
    </row>
    <row r="273" spans="1:9">
      <c r="D273" s="822"/>
      <c r="E273" s="800"/>
      <c r="F273" s="800"/>
    </row>
    <row r="274" spans="1:9">
      <c r="A274" s="1887" t="s">
        <v>1165</v>
      </c>
      <c r="B274" s="1887"/>
      <c r="C274" s="1887"/>
      <c r="D274" s="1887"/>
      <c r="E274" s="1887"/>
      <c r="F274" s="1887"/>
      <c r="G274" s="1887"/>
      <c r="H274" s="1853"/>
      <c r="I274" s="1854"/>
    </row>
    <row r="275" spans="1:9">
      <c r="D275" s="822"/>
      <c r="E275" s="800"/>
      <c r="F275" s="800"/>
    </row>
    <row r="276" spans="1:9">
      <c r="C276" s="793"/>
      <c r="D276" s="1960" t="s">
        <v>1298</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1299</v>
      </c>
      <c r="E280" s="1970"/>
      <c r="F280" s="1970"/>
    </row>
    <row r="281" spans="1:9">
      <c r="E281" s="800"/>
      <c r="F281" s="800"/>
    </row>
    <row r="282" spans="1:9" ht="14.25">
      <c r="A282" s="797"/>
      <c r="B282" s="798" t="s">
        <v>2558</v>
      </c>
      <c r="D282" s="1922" t="s">
        <v>1300</v>
      </c>
      <c r="E282" s="1922"/>
      <c r="F282" s="1922"/>
      <c r="I282" s="1774" t="s">
        <v>2435</v>
      </c>
    </row>
    <row r="283" spans="1:9" ht="14.25">
      <c r="A283" s="797"/>
      <c r="B283" s="797"/>
      <c r="D283" s="1922"/>
      <c r="E283" s="1922"/>
      <c r="F283" s="1922"/>
    </row>
    <row r="284" spans="1:9">
      <c r="D284" s="800"/>
      <c r="E284" s="800"/>
      <c r="F284" s="800"/>
    </row>
    <row r="285" spans="1:9" ht="14.25">
      <c r="A285" s="797"/>
      <c r="B285" s="798" t="s">
        <v>2558</v>
      </c>
      <c r="D285" s="1958" t="s">
        <v>1301</v>
      </c>
      <c r="E285" s="1958"/>
      <c r="F285" s="1958"/>
      <c r="I285" s="1774" t="s">
        <v>2435</v>
      </c>
    </row>
    <row r="286" spans="1:9" ht="14.25">
      <c r="A286" s="797"/>
      <c r="B286" s="797"/>
      <c r="D286" s="1958"/>
      <c r="E286" s="1958"/>
      <c r="F286" s="1958"/>
    </row>
    <row r="287" spans="1:9" ht="14.25">
      <c r="A287" s="797"/>
      <c r="B287" s="797"/>
      <c r="D287" s="1958"/>
      <c r="E287" s="1958"/>
      <c r="F287" s="1958"/>
    </row>
    <row r="288" spans="1:9">
      <c r="D288" s="800"/>
      <c r="E288" s="800"/>
      <c r="F288" s="800"/>
    </row>
    <row r="289" spans="1:9" ht="14.25">
      <c r="A289" s="797"/>
      <c r="B289" s="798" t="s">
        <v>2558</v>
      </c>
      <c r="D289" s="1922" t="s">
        <v>1302</v>
      </c>
      <c r="E289" s="1922"/>
      <c r="F289" s="1922"/>
      <c r="I289" s="1774" t="s">
        <v>2435</v>
      </c>
    </row>
    <row r="290" spans="1:9" ht="14.25">
      <c r="A290" s="797"/>
      <c r="B290" s="797"/>
      <c r="D290" s="1922"/>
      <c r="E290" s="1922"/>
      <c r="F290" s="1922"/>
    </row>
    <row r="291" spans="1:9">
      <c r="A291" s="816"/>
      <c r="B291" s="816"/>
      <c r="E291" s="800"/>
      <c r="F291" s="800"/>
    </row>
    <row r="292" spans="1:9">
      <c r="A292" s="1887" t="s">
        <v>1166</v>
      </c>
      <c r="B292" s="1887"/>
      <c r="C292" s="1887"/>
      <c r="D292" s="1887"/>
      <c r="E292" s="1887"/>
      <c r="F292" s="1887"/>
      <c r="G292" s="1887"/>
      <c r="H292" s="1853"/>
      <c r="I292" s="1854"/>
    </row>
    <row r="293" spans="1:9">
      <c r="A293" s="816"/>
      <c r="B293" s="816"/>
      <c r="D293" s="800"/>
      <c r="E293" s="800"/>
      <c r="F293" s="800"/>
    </row>
    <row r="294" spans="1:9">
      <c r="C294" s="816"/>
      <c r="D294" s="1877" t="s">
        <v>718</v>
      </c>
      <c r="E294" s="1877"/>
      <c r="F294" s="1877"/>
    </row>
    <row r="295" spans="1:9">
      <c r="C295" s="816"/>
      <c r="D295" s="1927" t="s">
        <v>1303</v>
      </c>
      <c r="E295" s="1927"/>
      <c r="F295" s="1927"/>
    </row>
    <row r="296" spans="1:9">
      <c r="C296" s="816"/>
      <c r="D296" s="823"/>
    </row>
    <row r="297" spans="1:9">
      <c r="A297" s="801"/>
      <c r="B297" s="798" t="s">
        <v>2558</v>
      </c>
      <c r="D297" s="1927" t="s">
        <v>1304</v>
      </c>
      <c r="E297" s="1927"/>
      <c r="F297" s="1927"/>
      <c r="I297" s="1774" t="s">
        <v>2436</v>
      </c>
    </row>
    <row r="298" spans="1:9" s="791" customFormat="1" ht="14.25">
      <c r="A298" s="805"/>
      <c r="B298" s="805"/>
      <c r="C298" s="801"/>
      <c r="D298" s="824"/>
      <c r="E298" s="825"/>
      <c r="F298" s="825"/>
      <c r="G298" s="802"/>
      <c r="I298" s="1837"/>
    </row>
    <row r="299" spans="1:9" s="791" customFormat="1" ht="13.7" customHeight="1">
      <c r="A299" s="801"/>
      <c r="B299" s="798" t="s">
        <v>2558</v>
      </c>
      <c r="C299" s="801"/>
      <c r="D299" s="1965" t="s">
        <v>1429</v>
      </c>
      <c r="E299" s="1965"/>
      <c r="F299" s="1965"/>
      <c r="G299" s="802"/>
      <c r="I299" s="1837" t="s">
        <v>2436</v>
      </c>
    </row>
    <row r="300" spans="1:9" s="791" customFormat="1" ht="14.25">
      <c r="A300" s="805"/>
      <c r="B300" s="805"/>
      <c r="C300" s="801"/>
      <c r="D300" s="1965"/>
      <c r="E300" s="1965"/>
      <c r="F300" s="1965"/>
      <c r="G300" s="802"/>
      <c r="I300" s="1837"/>
    </row>
    <row r="301" spans="1:9" s="791" customFormat="1" ht="14.25">
      <c r="A301" s="805"/>
      <c r="B301" s="805"/>
      <c r="C301" s="801"/>
      <c r="D301" s="1965"/>
      <c r="E301" s="1965"/>
      <c r="F301" s="1965"/>
      <c r="G301" s="802"/>
      <c r="I301" s="1837"/>
    </row>
    <row r="302" spans="1:9" s="791" customFormat="1" ht="14.25">
      <c r="A302" s="805"/>
      <c r="B302" s="805"/>
      <c r="C302" s="801"/>
      <c r="D302" s="1965"/>
      <c r="E302" s="1965"/>
      <c r="F302" s="1965"/>
      <c r="G302" s="802"/>
      <c r="I302" s="1837"/>
    </row>
    <row r="303" spans="1:9" s="791" customFormat="1" ht="14.25">
      <c r="A303" s="805"/>
      <c r="B303" s="805"/>
      <c r="C303" s="801"/>
      <c r="D303" s="1965"/>
      <c r="E303" s="1965"/>
      <c r="F303" s="1965"/>
      <c r="G303" s="802"/>
      <c r="I303" s="1837"/>
    </row>
    <row r="304" spans="1:9" s="791" customFormat="1" ht="14.25">
      <c r="A304" s="805"/>
      <c r="B304" s="805"/>
      <c r="C304" s="801"/>
      <c r="D304" s="824"/>
      <c r="E304" s="825"/>
      <c r="F304" s="825"/>
      <c r="G304" s="802"/>
      <c r="I304" s="1837"/>
    </row>
    <row r="305" spans="1:9" s="791" customFormat="1" ht="13.7" customHeight="1">
      <c r="A305" s="801"/>
      <c r="B305" s="798" t="s">
        <v>2558</v>
      </c>
      <c r="C305" s="801"/>
      <c r="D305" s="1965" t="s">
        <v>1306</v>
      </c>
      <c r="E305" s="1965"/>
      <c r="F305" s="1965"/>
      <c r="G305" s="802"/>
      <c r="I305" s="1837" t="s">
        <v>2436</v>
      </c>
    </row>
    <row r="306" spans="1:9" s="791" customFormat="1">
      <c r="A306" s="801"/>
      <c r="B306" s="801"/>
      <c r="C306" s="801"/>
      <c r="D306" s="1965"/>
      <c r="E306" s="1965"/>
      <c r="F306" s="1965"/>
      <c r="G306" s="802"/>
      <c r="I306" s="1837"/>
    </row>
    <row r="307" spans="1:9" s="791" customFormat="1" ht="14.25">
      <c r="A307" s="805"/>
      <c r="B307" s="805"/>
      <c r="C307" s="801"/>
      <c r="D307" s="824"/>
      <c r="E307" s="825"/>
      <c r="F307" s="825"/>
      <c r="G307" s="802"/>
      <c r="I307" s="1837"/>
    </row>
    <row r="308" spans="1:9">
      <c r="A308" s="801"/>
      <c r="B308" s="798" t="s">
        <v>2558</v>
      </c>
      <c r="D308" s="1927" t="s">
        <v>1307</v>
      </c>
      <c r="E308" s="1927"/>
      <c r="F308" s="1927"/>
      <c r="I308" s="1774" t="s">
        <v>2422</v>
      </c>
    </row>
    <row r="309" spans="1:9">
      <c r="E309" s="800"/>
      <c r="F309" s="800"/>
    </row>
    <row r="310" spans="1:9" ht="14.25">
      <c r="A310" s="797"/>
      <c r="B310" s="798" t="s">
        <v>2558</v>
      </c>
      <c r="D310" s="1958" t="s">
        <v>1456</v>
      </c>
      <c r="E310" s="1958"/>
      <c r="F310" s="1958"/>
      <c r="I310" s="1774" t="s">
        <v>2437</v>
      </c>
    </row>
    <row r="311" spans="1:9" ht="14.25">
      <c r="A311" s="797"/>
      <c r="B311" s="797"/>
      <c r="D311" s="1958"/>
      <c r="E311" s="1958"/>
      <c r="F311" s="1958"/>
    </row>
    <row r="312" spans="1:9" ht="14.25">
      <c r="A312" s="797"/>
      <c r="B312" s="797"/>
      <c r="D312" s="1958"/>
      <c r="E312" s="1958"/>
      <c r="F312" s="1958"/>
    </row>
    <row r="313" spans="1:9" ht="14.25">
      <c r="A313" s="797"/>
      <c r="B313" s="797"/>
      <c r="D313" s="1958"/>
      <c r="E313" s="1958"/>
      <c r="F313" s="1958"/>
    </row>
    <row r="314" spans="1:9" ht="14.25">
      <c r="A314" s="797"/>
      <c r="B314" s="797"/>
      <c r="D314" s="1958"/>
      <c r="E314" s="1958"/>
      <c r="F314" s="1958"/>
    </row>
    <row r="315" spans="1:9" ht="14.25">
      <c r="A315" s="797"/>
      <c r="B315" s="797"/>
      <c r="D315" s="1958"/>
      <c r="E315" s="1958"/>
      <c r="F315" s="1958"/>
    </row>
    <row r="316" spans="1:9" ht="14.25">
      <c r="A316" s="797"/>
      <c r="B316" s="797"/>
      <c r="D316" s="1958"/>
      <c r="E316" s="1958"/>
      <c r="F316" s="1958"/>
    </row>
    <row r="317" spans="1:9" ht="14.25">
      <c r="A317" s="797"/>
      <c r="B317" s="797"/>
      <c r="D317" s="1958"/>
      <c r="E317" s="1958"/>
      <c r="F317" s="1958"/>
    </row>
    <row r="318" spans="1:9" ht="14.25">
      <c r="A318" s="797"/>
      <c r="B318" s="797"/>
      <c r="D318" s="1958"/>
      <c r="E318" s="1958"/>
      <c r="F318" s="1958"/>
    </row>
    <row r="319" spans="1:9" ht="14.25">
      <c r="A319" s="797"/>
      <c r="B319" s="797"/>
      <c r="D319" s="1958"/>
      <c r="E319" s="1958"/>
      <c r="F319" s="1958"/>
    </row>
    <row r="320" spans="1:9" ht="14.25">
      <c r="A320" s="797"/>
      <c r="B320" s="797"/>
      <c r="D320" s="1958"/>
      <c r="E320" s="1958"/>
      <c r="F320" s="1958"/>
    </row>
    <row r="321" spans="1:9" ht="14.25">
      <c r="A321" s="797"/>
      <c r="B321" s="797"/>
      <c r="D321" s="1958"/>
      <c r="E321" s="1958"/>
      <c r="F321" s="1958"/>
    </row>
    <row r="322" spans="1:9" ht="14.25">
      <c r="A322" s="797"/>
      <c r="B322" s="797"/>
      <c r="D322" s="1958"/>
      <c r="E322" s="1958"/>
      <c r="F322" s="1958"/>
    </row>
    <row r="323" spans="1:9" ht="14.25">
      <c r="A323" s="797"/>
      <c r="B323" s="797"/>
      <c r="D323" s="1958"/>
      <c r="E323" s="1958"/>
      <c r="F323" s="1958"/>
    </row>
    <row r="324" spans="1:9" ht="14.25">
      <c r="A324" s="797"/>
      <c r="B324" s="797"/>
      <c r="D324" s="1958"/>
      <c r="E324" s="1958"/>
      <c r="F324" s="1958"/>
    </row>
    <row r="325" spans="1:9">
      <c r="D325" s="800"/>
      <c r="E325" s="800"/>
      <c r="F325" s="800"/>
    </row>
    <row r="326" spans="1:9" ht="14.25">
      <c r="A326" s="797"/>
      <c r="B326" s="798" t="s">
        <v>2558</v>
      </c>
      <c r="D326" s="1958" t="s">
        <v>1309</v>
      </c>
      <c r="E326" s="1958"/>
      <c r="F326" s="1958"/>
      <c r="I326" s="1774" t="s">
        <v>2437</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25">
      <c r="A336" s="797"/>
      <c r="B336" s="798" t="s">
        <v>2558</v>
      </c>
      <c r="D336" s="1922" t="s">
        <v>1506</v>
      </c>
      <c r="E336" s="1922"/>
      <c r="F336" s="1922"/>
      <c r="I336" s="1774" t="s">
        <v>2474</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5" thickBot="1">
      <c r="A343" s="1828"/>
      <c r="B343" s="1828"/>
      <c r="C343" s="1828"/>
      <c r="D343" s="1989" t="s">
        <v>1059</v>
      </c>
      <c r="E343" s="1989"/>
      <c r="F343" s="1989"/>
      <c r="G343" s="1851"/>
      <c r="H343" s="1851"/>
      <c r="I343" s="1852"/>
    </row>
    <row r="344" spans="1:9" ht="13.5" thickTop="1">
      <c r="D344" s="1966" t="s">
        <v>1311</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2558</v>
      </c>
      <c r="C347" s="829"/>
      <c r="D347" s="1927" t="s">
        <v>1320</v>
      </c>
      <c r="E347" s="1927"/>
      <c r="F347" s="1927"/>
      <c r="I347" s="1955" t="s">
        <v>2489</v>
      </c>
    </row>
    <row r="348" spans="1:9" ht="12.75" customHeight="1">
      <c r="D348" s="1931" t="s">
        <v>1454</v>
      </c>
      <c r="E348" s="1931"/>
      <c r="F348" s="1931"/>
      <c r="I348" s="1956"/>
    </row>
    <row r="349" spans="1:9">
      <c r="D349" s="1958" t="s">
        <v>1453</v>
      </c>
      <c r="E349" s="1958"/>
      <c r="F349" s="1958"/>
      <c r="I349" s="1956"/>
    </row>
    <row r="350" spans="1:9">
      <c r="D350" s="1958"/>
      <c r="E350" s="1958"/>
      <c r="F350" s="1958"/>
      <c r="I350" s="1956"/>
    </row>
    <row r="351" spans="1:9">
      <c r="D351" s="1958"/>
      <c r="E351" s="1958"/>
      <c r="F351" s="1958"/>
      <c r="I351" s="1957"/>
    </row>
    <row r="352" spans="1:9" ht="14.25">
      <c r="A352" s="797"/>
      <c r="B352" s="798" t="s">
        <v>2558</v>
      </c>
      <c r="C352" s="814"/>
      <c r="D352" s="1934" t="s">
        <v>1312</v>
      </c>
      <c r="E352" s="1934"/>
      <c r="F352" s="1934"/>
      <c r="G352" s="790"/>
      <c r="I352" s="619"/>
    </row>
    <row r="353" spans="1:9">
      <c r="A353" s="814"/>
      <c r="B353" s="814"/>
      <c r="C353" s="814"/>
      <c r="D353" s="786"/>
      <c r="E353" s="786"/>
      <c r="F353" s="800"/>
      <c r="G353" s="790"/>
    </row>
    <row r="354" spans="1:9">
      <c r="A354" s="814"/>
      <c r="B354" s="798" t="s">
        <v>2558</v>
      </c>
      <c r="C354" s="814"/>
      <c r="D354" s="1918" t="s">
        <v>1432</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4" customHeight="1">
      <c r="A367" s="814"/>
      <c r="B367" s="798" t="s">
        <v>2558</v>
      </c>
      <c r="C367" s="814"/>
      <c r="D367" s="1962" t="s">
        <v>1433</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2558</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2558</v>
      </c>
      <c r="C379" s="814"/>
      <c r="D379" s="1937" t="s">
        <v>1314</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1315</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 customHeight="1">
      <c r="A393" s="814"/>
      <c r="B393" s="814"/>
      <c r="C393" s="814"/>
      <c r="D393" s="1930" t="s">
        <v>1316</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2558</v>
      </c>
      <c r="C412" s="814"/>
      <c r="D412" s="1930" t="s">
        <v>1317</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5" customHeight="1">
      <c r="A415" s="797"/>
      <c r="B415" s="798" t="s">
        <v>2558</v>
      </c>
      <c r="D415" s="1930" t="s">
        <v>2475</v>
      </c>
      <c r="E415" s="1930"/>
      <c r="F415" s="1930"/>
    </row>
    <row r="416" spans="1:7" ht="14.45" customHeight="1">
      <c r="A416" s="797"/>
      <c r="D416" s="1930"/>
      <c r="E416" s="1930"/>
      <c r="F416" s="1930"/>
    </row>
    <row r="417" spans="1:7" ht="14.45" customHeight="1">
      <c r="A417" s="797"/>
      <c r="D417" s="1930"/>
      <c r="E417" s="1930"/>
      <c r="F417" s="1930"/>
    </row>
    <row r="418" spans="1:7" ht="14.45" customHeight="1">
      <c r="A418" s="797"/>
      <c r="D418" s="1930"/>
      <c r="E418" s="1930"/>
      <c r="F418" s="1930"/>
    </row>
    <row r="419" spans="1:7" ht="14.45" customHeight="1">
      <c r="A419" s="797"/>
      <c r="D419" s="1930"/>
      <c r="E419" s="1930"/>
      <c r="F419" s="1930"/>
    </row>
    <row r="420" spans="1:7" ht="14.45" customHeight="1">
      <c r="A420" s="797"/>
      <c r="D420" s="878"/>
      <c r="E420" s="878"/>
      <c r="F420" s="878"/>
    </row>
    <row r="421" spans="1:7" ht="13.7" customHeight="1">
      <c r="A421" s="797"/>
      <c r="B421" s="798" t="s">
        <v>2558</v>
      </c>
      <c r="C421" s="814"/>
      <c r="D421" s="1918" t="s">
        <v>1457</v>
      </c>
      <c r="E421" s="1918"/>
      <c r="F421" s="1918"/>
      <c r="G421" s="790"/>
    </row>
    <row r="422" spans="1:7" ht="14.25">
      <c r="A422" s="828"/>
      <c r="B422" s="828"/>
      <c r="C422" s="814"/>
      <c r="D422" s="1918"/>
      <c r="E422" s="1918"/>
      <c r="F422" s="1918"/>
      <c r="G422" s="790"/>
    </row>
    <row r="423" spans="1:7" ht="14.25">
      <c r="A423" s="828"/>
      <c r="B423" s="828"/>
      <c r="C423" s="814"/>
      <c r="D423" s="1918"/>
      <c r="E423" s="1918"/>
      <c r="F423" s="1918"/>
      <c r="G423" s="790"/>
    </row>
    <row r="424" spans="1:7" ht="14.25">
      <c r="A424" s="828"/>
      <c r="B424" s="828"/>
      <c r="C424" s="814"/>
      <c r="D424" s="1918"/>
      <c r="E424" s="1918"/>
      <c r="F424" s="1918"/>
      <c r="G424" s="790"/>
    </row>
    <row r="425" spans="1:7" ht="15.75" customHeight="1">
      <c r="A425" s="828"/>
      <c r="B425" s="828"/>
      <c r="C425" s="814"/>
      <c r="D425" s="1968" t="s">
        <v>1507</v>
      </c>
      <c r="E425" s="1918"/>
      <c r="F425" s="1918"/>
      <c r="G425" s="790"/>
    </row>
    <row r="426" spans="1:7">
      <c r="D426" s="800"/>
      <c r="E426" s="800"/>
      <c r="F426" s="800"/>
      <c r="G426" s="790"/>
    </row>
    <row r="427" spans="1:7" ht="14.25">
      <c r="A427" s="797"/>
      <c r="B427" s="798" t="s">
        <v>2558</v>
      </c>
      <c r="C427" s="829"/>
      <c r="D427" s="1922" t="s">
        <v>1319</v>
      </c>
      <c r="E427" s="1922"/>
      <c r="F427" s="1922"/>
      <c r="G427" s="790"/>
    </row>
    <row r="428" spans="1:7" ht="14.25">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700000000000003" customHeight="1">
      <c r="A457" s="788"/>
      <c r="B457" s="788"/>
      <c r="C457" s="788"/>
      <c r="D457" s="1922"/>
      <c r="E457" s="1922"/>
      <c r="F457" s="1922"/>
      <c r="G457" s="830"/>
      <c r="I457" s="1840"/>
    </row>
    <row r="458" spans="1:9">
      <c r="D458" s="800"/>
      <c r="E458" s="800"/>
      <c r="F458" s="800"/>
      <c r="G458" s="790"/>
    </row>
    <row r="459" spans="1:9" ht="14.25">
      <c r="A459" s="797"/>
      <c r="B459" s="798" t="s">
        <v>2558</v>
      </c>
      <c r="C459" s="829"/>
      <c r="D459" s="1922" t="s">
        <v>1322</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25">
      <c r="B463" s="798" t="s">
        <v>2558</v>
      </c>
      <c r="C463" s="797"/>
      <c r="D463" s="1958" t="s">
        <v>1401</v>
      </c>
      <c r="E463" s="1958"/>
      <c r="F463" s="1958"/>
      <c r="G463" s="790"/>
    </row>
    <row r="464" spans="1:9">
      <c r="D464" s="1958"/>
      <c r="E464" s="1958"/>
      <c r="F464" s="1958"/>
      <c r="G464" s="790"/>
    </row>
    <row r="465" spans="1:7">
      <c r="D465" s="800"/>
      <c r="E465" s="800"/>
      <c r="F465" s="800"/>
      <c r="G465" s="790"/>
    </row>
    <row r="466" spans="1:7" ht="14.25">
      <c r="B466" s="798" t="s">
        <v>2558</v>
      </c>
      <c r="C466" s="797"/>
      <c r="D466" s="1958" t="s">
        <v>1324</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2558</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2558</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2558</v>
      </c>
      <c r="C478" s="790"/>
      <c r="D478" s="1958"/>
      <c r="E478" s="1958"/>
      <c r="F478" s="1958"/>
      <c r="G478" s="790"/>
    </row>
    <row r="479" spans="1:7">
      <c r="A479" s="790"/>
      <c r="C479" s="790"/>
      <c r="D479" s="1958"/>
      <c r="E479" s="1958"/>
      <c r="F479" s="1958"/>
      <c r="G479" s="790"/>
    </row>
    <row r="480" spans="1:7">
      <c r="A480" s="790"/>
      <c r="B480" s="798" t="s">
        <v>2558</v>
      </c>
      <c r="C480" s="790"/>
      <c r="D480" s="1958" t="s">
        <v>1325</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2558</v>
      </c>
      <c r="D486" s="1961" t="s">
        <v>1326</v>
      </c>
      <c r="E486" s="1961"/>
      <c r="F486" s="1961"/>
    </row>
    <row r="487" spans="1:9">
      <c r="A487" s="800"/>
      <c r="B487" s="800"/>
    </row>
    <row r="488" spans="1:9">
      <c r="A488" s="1887" t="s">
        <v>1167</v>
      </c>
      <c r="B488" s="1887"/>
      <c r="C488" s="1887"/>
      <c r="D488" s="1887"/>
      <c r="E488" s="1887"/>
      <c r="F488" s="1887"/>
      <c r="G488" s="1887"/>
      <c r="H488" s="1853"/>
      <c r="I488" s="1854"/>
    </row>
    <row r="489" spans="1:9">
      <c r="A489" s="800"/>
      <c r="B489" s="800"/>
    </row>
    <row r="490" spans="1:9">
      <c r="D490" s="1938" t="s">
        <v>947</v>
      </c>
      <c r="E490" s="1938"/>
      <c r="F490" s="1938"/>
    </row>
    <row r="491" spans="1:9" s="791" customFormat="1" ht="14.25">
      <c r="A491" s="805"/>
      <c r="B491" s="805"/>
      <c r="C491" s="801"/>
      <c r="D491" s="1939" t="s">
        <v>1327</v>
      </c>
      <c r="E491" s="1939"/>
      <c r="F491" s="1939"/>
      <c r="G491" s="802"/>
      <c r="I491" s="1837"/>
    </row>
    <row r="492" spans="1:9" s="791" customFormat="1" ht="14.25">
      <c r="A492" s="805"/>
      <c r="B492" s="805"/>
      <c r="C492" s="801"/>
      <c r="D492" s="787"/>
      <c r="E492" s="672"/>
      <c r="F492" s="672"/>
      <c r="G492" s="802"/>
      <c r="I492" s="1837"/>
    </row>
    <row r="493" spans="1:9" s="791" customFormat="1" ht="14.25">
      <c r="A493" s="797"/>
      <c r="B493" s="798" t="s">
        <v>2558</v>
      </c>
      <c r="C493" s="801"/>
      <c r="D493" s="1940" t="s">
        <v>1328</v>
      </c>
      <c r="E493" s="1940"/>
      <c r="F493" s="1940"/>
      <c r="G493" s="802"/>
      <c r="I493" s="1837" t="s">
        <v>2439</v>
      </c>
    </row>
    <row r="494" spans="1:9" s="791" customFormat="1" ht="14.25">
      <c r="A494" s="797"/>
      <c r="B494" s="797"/>
      <c r="C494" s="801"/>
      <c r="D494" s="1940"/>
      <c r="E494" s="1940"/>
      <c r="F494" s="1940"/>
      <c r="G494" s="802"/>
      <c r="I494" s="1837"/>
    </row>
    <row r="495" spans="1:9" s="791" customFormat="1" ht="14.25">
      <c r="A495" s="797"/>
      <c r="B495" s="797"/>
      <c r="C495" s="801"/>
      <c r="D495" s="785"/>
      <c r="E495" s="672"/>
      <c r="F495" s="672"/>
      <c r="G495" s="802"/>
      <c r="I495" s="1837"/>
    </row>
    <row r="496" spans="1:9" ht="12.75" customHeight="1">
      <c r="B496" s="798" t="s">
        <v>2558</v>
      </c>
      <c r="D496" s="1910" t="s">
        <v>1508</v>
      </c>
      <c r="E496" s="1910"/>
      <c r="F496" s="1910"/>
      <c r="I496" s="1774" t="s">
        <v>2440</v>
      </c>
    </row>
    <row r="497" spans="1:9" ht="14.25">
      <c r="A497" s="797"/>
      <c r="D497" s="1910"/>
      <c r="E497" s="1910"/>
      <c r="F497" s="1910"/>
    </row>
    <row r="498" spans="1:9" ht="14.25">
      <c r="A498" s="797"/>
      <c r="B498" s="797"/>
      <c r="D498" s="1910"/>
      <c r="E498" s="1910"/>
      <c r="F498" s="1910"/>
    </row>
    <row r="499" spans="1:9" ht="14.25">
      <c r="A499" s="797"/>
      <c r="B499" s="797"/>
      <c r="D499" s="1910"/>
      <c r="E499" s="1910"/>
      <c r="F499" s="1910"/>
    </row>
    <row r="500" spans="1:9" ht="14.25">
      <c r="A500" s="797"/>
      <c r="D500" s="893"/>
      <c r="E500" s="893"/>
      <c r="F500" s="893"/>
      <c r="G500" s="790"/>
    </row>
    <row r="501" spans="1:9" ht="14.25">
      <c r="A501" s="797"/>
      <c r="B501" s="798" t="s">
        <v>2558</v>
      </c>
      <c r="D501" s="1927" t="s">
        <v>1331</v>
      </c>
      <c r="E501" s="1927"/>
      <c r="F501" s="1927"/>
      <c r="G501" s="790"/>
      <c r="I501" s="1774" t="s">
        <v>2441</v>
      </c>
    </row>
    <row r="502" spans="1:9" ht="14.25">
      <c r="A502" s="797"/>
      <c r="B502" s="797"/>
      <c r="D502" s="785"/>
      <c r="E502" s="672"/>
      <c r="F502" s="672"/>
      <c r="G502" s="790"/>
    </row>
    <row r="503" spans="1:9" ht="14.25">
      <c r="A503" s="797"/>
      <c r="B503" s="798" t="s">
        <v>2558</v>
      </c>
      <c r="D503" s="1922" t="s">
        <v>1332</v>
      </c>
      <c r="E503" s="1922"/>
      <c r="F503" s="1922"/>
      <c r="G503" s="790"/>
      <c r="I503" s="1774" t="s">
        <v>2441</v>
      </c>
    </row>
    <row r="504" spans="1:9" ht="14.25">
      <c r="A504" s="797"/>
      <c r="D504" s="1922"/>
      <c r="E504" s="1922"/>
      <c r="F504" s="1922"/>
      <c r="G504" s="790"/>
    </row>
    <row r="505" spans="1:9">
      <c r="A505" s="816"/>
      <c r="B505" s="816"/>
      <c r="D505" s="733"/>
      <c r="E505" s="672"/>
      <c r="F505" s="672"/>
      <c r="G505" s="790"/>
    </row>
    <row r="506" spans="1:9">
      <c r="A506" s="816"/>
      <c r="B506" s="798" t="s">
        <v>2558</v>
      </c>
      <c r="D506" s="1927" t="s">
        <v>1333</v>
      </c>
      <c r="E506" s="1927"/>
      <c r="F506" s="1927"/>
      <c r="G506" s="790"/>
      <c r="I506" s="1774" t="s">
        <v>2496</v>
      </c>
    </row>
    <row r="507" spans="1:9" ht="14.25">
      <c r="A507" s="797"/>
      <c r="B507" s="797"/>
      <c r="D507" s="800"/>
    </row>
    <row r="508" spans="1:9">
      <c r="A508" s="1887" t="s">
        <v>1168</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850</v>
      </c>
      <c r="E510" s="1963"/>
      <c r="F510" s="196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2621</v>
      </c>
      <c r="C514" s="799"/>
      <c r="D514" s="1921" t="s">
        <v>2267</v>
      </c>
      <c r="E514" s="1921"/>
      <c r="F514" s="1921"/>
      <c r="G514" s="672"/>
      <c r="I514" s="622" t="s">
        <v>2476</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2558</v>
      </c>
      <c r="C517" s="804"/>
      <c r="D517" s="1921" t="s">
        <v>1206</v>
      </c>
      <c r="E517" s="1921"/>
      <c r="F517" s="1921"/>
      <c r="G517" s="672"/>
      <c r="I517" s="622" t="s">
        <v>2442</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15" customHeight="1">
      <c r="A521" s="795"/>
      <c r="B521" s="798" t="s">
        <v>2558</v>
      </c>
      <c r="C521" s="799"/>
      <c r="D521" s="1967" t="s">
        <v>1232</v>
      </c>
      <c r="E521" s="1967"/>
      <c r="F521" s="1967"/>
      <c r="G521" s="672"/>
      <c r="I521" s="622" t="s">
        <v>2442</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1169</v>
      </c>
      <c r="B524" s="1887"/>
      <c r="C524" s="1887"/>
      <c r="D524" s="1887"/>
      <c r="E524" s="1887"/>
      <c r="F524" s="1887"/>
      <c r="G524" s="1887"/>
      <c r="H524" s="1853"/>
      <c r="I524" s="1854"/>
    </row>
    <row r="525" spans="1:9">
      <c r="A525" s="800"/>
      <c r="B525" s="800"/>
      <c r="C525" s="829"/>
      <c r="F525" s="836"/>
    </row>
    <row r="526" spans="1:9">
      <c r="B526" s="1959" t="s">
        <v>469</v>
      </c>
      <c r="C526" s="1959"/>
      <c r="D526" s="1959"/>
      <c r="E526" s="1959"/>
      <c r="F526" s="1959"/>
    </row>
    <row r="527" spans="1:9">
      <c r="A527" s="800"/>
      <c r="B527" s="800"/>
      <c r="C527" s="829"/>
      <c r="D527" s="800"/>
      <c r="F527" s="800"/>
    </row>
    <row r="528" spans="1:9">
      <c r="A528" s="1888" t="s">
        <v>1170</v>
      </c>
      <c r="B528" s="1888"/>
      <c r="C528" s="1888"/>
      <c r="D528" s="1888"/>
      <c r="E528" s="1888"/>
      <c r="F528" s="1888"/>
      <c r="G528" s="1888"/>
      <c r="H528" s="1853"/>
      <c r="I528" s="1854"/>
    </row>
    <row r="529" spans="1:9">
      <c r="A529" s="800"/>
      <c r="B529" s="800"/>
      <c r="C529" s="829"/>
      <c r="D529" s="800"/>
      <c r="F529" s="800"/>
    </row>
    <row r="530" spans="1:9">
      <c r="C530" s="829"/>
      <c r="D530" s="1877" t="s">
        <v>719</v>
      </c>
      <c r="E530" s="1877"/>
      <c r="F530" s="1877"/>
    </row>
    <row r="531" spans="1:9">
      <c r="C531" s="829"/>
      <c r="D531" s="1927" t="s">
        <v>1227</v>
      </c>
      <c r="E531" s="1927"/>
      <c r="F531" s="1927"/>
    </row>
    <row r="532" spans="1:9">
      <c r="C532" s="829"/>
      <c r="D532" s="785"/>
      <c r="E532" s="785"/>
      <c r="F532" s="785"/>
    </row>
    <row r="533" spans="1:9" ht="13.7" customHeight="1">
      <c r="A533" s="797"/>
      <c r="B533" s="798" t="s">
        <v>2621</v>
      </c>
      <c r="C533" s="829"/>
      <c r="D533" s="1927" t="s">
        <v>948</v>
      </c>
      <c r="E533" s="1927"/>
      <c r="F533" s="1927"/>
      <c r="G533" s="790"/>
      <c r="I533" s="1774" t="s">
        <v>2494</v>
      </c>
    </row>
    <row r="534" spans="1:9" ht="13.7" customHeight="1">
      <c r="A534" s="829"/>
      <c r="B534" s="829"/>
      <c r="C534" s="829"/>
      <c r="D534" s="785"/>
      <c r="E534" s="618"/>
      <c r="F534" s="618"/>
      <c r="G534" s="790"/>
    </row>
    <row r="535" spans="1:9" ht="14.25">
      <c r="A535" s="797"/>
      <c r="B535" s="798" t="s">
        <v>2621</v>
      </c>
      <c r="C535" s="829"/>
      <c r="D535" s="1922" t="s">
        <v>1228</v>
      </c>
      <c r="E535" s="1922"/>
      <c r="F535" s="1922"/>
      <c r="G535" s="790"/>
      <c r="I535" s="1774" t="s">
        <v>2494</v>
      </c>
    </row>
    <row r="536" spans="1:9">
      <c r="A536" s="829"/>
      <c r="B536" s="829"/>
      <c r="C536" s="829"/>
      <c r="D536" s="1922"/>
      <c r="E536" s="1922"/>
      <c r="F536" s="1922"/>
      <c r="G536" s="790"/>
    </row>
    <row r="537" spans="1:9">
      <c r="A537" s="829"/>
      <c r="B537" s="829"/>
      <c r="C537" s="829"/>
      <c r="D537" s="800"/>
      <c r="E537" s="800"/>
      <c r="F537" s="800"/>
      <c r="G537" s="790"/>
    </row>
    <row r="538" spans="1:9" ht="14.25">
      <c r="A538" s="797"/>
      <c r="B538" s="798" t="s">
        <v>2621</v>
      </c>
      <c r="C538" s="829"/>
      <c r="D538" s="1922" t="s">
        <v>1229</v>
      </c>
      <c r="E538" s="1922"/>
      <c r="F538" s="1922"/>
      <c r="G538" s="790"/>
      <c r="I538" s="1774" t="s">
        <v>2443</v>
      </c>
    </row>
    <row r="539" spans="1:9">
      <c r="A539" s="829"/>
      <c r="B539" s="829"/>
      <c r="C539" s="829"/>
      <c r="D539" s="1922"/>
      <c r="E539" s="1922"/>
      <c r="F539" s="1922"/>
      <c r="G539" s="790"/>
    </row>
    <row r="540" spans="1:9">
      <c r="A540" s="829"/>
      <c r="B540" s="829"/>
      <c r="C540" s="829"/>
      <c r="D540" s="800"/>
      <c r="E540" s="800"/>
      <c r="F540" s="800"/>
      <c r="G540" s="790"/>
    </row>
    <row r="541" spans="1:9" ht="14.25">
      <c r="A541" s="797"/>
      <c r="B541" s="798" t="s">
        <v>2621</v>
      </c>
      <c r="C541" s="829"/>
      <c r="D541" s="1922" t="s">
        <v>1230</v>
      </c>
      <c r="E541" s="1922"/>
      <c r="F541" s="1922"/>
      <c r="G541" s="790"/>
      <c r="I541" s="1774" t="s">
        <v>2444</v>
      </c>
    </row>
    <row r="542" spans="1:9">
      <c r="A542" s="829"/>
      <c r="B542" s="829"/>
      <c r="C542" s="829"/>
      <c r="D542" s="1922"/>
      <c r="E542" s="1922"/>
      <c r="F542" s="1922"/>
      <c r="G542" s="790"/>
    </row>
    <row r="543" spans="1:9">
      <c r="A543" s="829"/>
      <c r="B543" s="829"/>
      <c r="C543" s="829"/>
      <c r="D543" s="800"/>
      <c r="E543" s="800"/>
      <c r="F543" s="800"/>
      <c r="G543" s="790"/>
    </row>
    <row r="544" spans="1:9" ht="14.25">
      <c r="A544" s="797"/>
      <c r="B544" s="798" t="s">
        <v>2621</v>
      </c>
      <c r="C544" s="829"/>
      <c r="D544" s="1922" t="s">
        <v>1231</v>
      </c>
      <c r="E544" s="1922"/>
      <c r="F544" s="1922"/>
      <c r="G544" s="790"/>
      <c r="I544" s="1774" t="s">
        <v>2495</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25">
      <c r="A548" s="797"/>
      <c r="B548" s="798" t="s">
        <v>2558</v>
      </c>
      <c r="C548" s="829"/>
      <c r="D548" s="1967" t="s">
        <v>1349</v>
      </c>
      <c r="E548" s="1967"/>
      <c r="F548" s="1967"/>
      <c r="I548" s="1774" t="s">
        <v>2494</v>
      </c>
    </row>
    <row r="549" spans="1:9">
      <c r="A549" s="829"/>
      <c r="B549" s="829"/>
      <c r="C549" s="829"/>
      <c r="D549" s="1967"/>
      <c r="E549" s="1967"/>
      <c r="F549" s="1967"/>
    </row>
    <row r="550" spans="1:9">
      <c r="A550" s="829"/>
      <c r="B550" s="829"/>
      <c r="C550" s="829"/>
      <c r="D550" s="800"/>
      <c r="E550" s="800"/>
      <c r="F550" s="800"/>
    </row>
    <row r="551" spans="1:9" ht="14.25">
      <c r="A551" s="797"/>
      <c r="B551" s="798" t="s">
        <v>2621</v>
      </c>
      <c r="C551" s="829"/>
      <c r="D551" s="1922" t="s">
        <v>1233</v>
      </c>
      <c r="E551" s="1922"/>
      <c r="F551" s="1922"/>
      <c r="I551" s="1774" t="s">
        <v>2494</v>
      </c>
    </row>
    <row r="552" spans="1:9">
      <c r="A552" s="829"/>
      <c r="B552" s="829"/>
      <c r="C552" s="829"/>
      <c r="D552" s="1922"/>
      <c r="E552" s="1922"/>
      <c r="F552" s="1922"/>
      <c r="G552" s="819"/>
    </row>
    <row r="553" spans="1:9">
      <c r="A553" s="829"/>
      <c r="B553" s="829"/>
      <c r="C553" s="829"/>
      <c r="D553" s="800"/>
      <c r="E553" s="800"/>
      <c r="F553" s="800"/>
      <c r="G553" s="819"/>
    </row>
    <row r="554" spans="1:9" ht="14.25">
      <c r="A554" s="797"/>
      <c r="B554" s="798" t="s">
        <v>2621</v>
      </c>
      <c r="C554" s="829"/>
      <c r="D554" s="1927" t="s">
        <v>1234</v>
      </c>
      <c r="E554" s="1927"/>
      <c r="F554" s="1927"/>
      <c r="G554" s="819"/>
      <c r="I554" s="1774" t="s">
        <v>2497</v>
      </c>
    </row>
    <row r="555" spans="1:9">
      <c r="A555" s="816"/>
      <c r="B555" s="816"/>
      <c r="C555" s="829"/>
      <c r="D555" s="1927" t="s">
        <v>880</v>
      </c>
      <c r="E555" s="1927"/>
      <c r="F555" s="1927"/>
      <c r="G555" s="819"/>
    </row>
    <row r="556" spans="1:9">
      <c r="A556" s="816"/>
      <c r="B556" s="816"/>
      <c r="C556" s="829"/>
      <c r="D556" s="672"/>
      <c r="E556" s="1970" t="s">
        <v>1235</v>
      </c>
      <c r="F556" s="1970"/>
      <c r="G556" s="819"/>
    </row>
    <row r="557" spans="1:9" ht="14.25">
      <c r="A557" s="797"/>
      <c r="B557" s="797"/>
      <c r="C557" s="829"/>
      <c r="E557" s="800"/>
      <c r="F557" s="800"/>
      <c r="G557" s="819"/>
    </row>
    <row r="558" spans="1:9" ht="14.25">
      <c r="A558" s="797"/>
      <c r="B558" s="798" t="s">
        <v>2621</v>
      </c>
      <c r="C558" s="829"/>
      <c r="D558" s="1969" t="s">
        <v>1236</v>
      </c>
      <c r="E558" s="1969"/>
      <c r="F558" s="1969"/>
      <c r="G558" s="819"/>
      <c r="I558" s="1774" t="s">
        <v>2445</v>
      </c>
    </row>
    <row r="559" spans="1:9">
      <c r="C559" s="829"/>
      <c r="D559" s="1922" t="s">
        <v>1237</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25">
      <c r="A563" s="797"/>
      <c r="B563" s="798" t="s">
        <v>2621</v>
      </c>
      <c r="C563" s="829"/>
      <c r="D563" s="1922" t="s">
        <v>1238</v>
      </c>
      <c r="E563" s="1922"/>
      <c r="F563" s="1922"/>
      <c r="G563" s="819"/>
      <c r="I563" s="1774" t="s">
        <v>2446</v>
      </c>
    </row>
    <row r="564" spans="1:9" ht="14.25">
      <c r="A564" s="797"/>
      <c r="B564" s="797"/>
      <c r="C564" s="829"/>
      <c r="D564" s="1922"/>
      <c r="E564" s="1922"/>
      <c r="F564" s="1922"/>
      <c r="G564" s="819"/>
    </row>
    <row r="565" spans="1:9" ht="14.25">
      <c r="A565" s="797"/>
      <c r="B565" s="797"/>
      <c r="C565" s="829"/>
      <c r="D565" s="1922"/>
      <c r="E565" s="1922"/>
      <c r="F565" s="1922"/>
      <c r="G565" s="819"/>
    </row>
    <row r="566" spans="1:9" ht="14.25">
      <c r="A566" s="797"/>
      <c r="B566" s="797"/>
      <c r="C566" s="829"/>
      <c r="D566" s="1922"/>
      <c r="E566" s="1922"/>
      <c r="F566" s="1922"/>
      <c r="G566" s="819"/>
    </row>
    <row r="567" spans="1:9" ht="14.25">
      <c r="A567" s="797"/>
      <c r="B567" s="797"/>
      <c r="C567" s="829"/>
      <c r="D567" s="800"/>
      <c r="E567" s="800"/>
      <c r="F567" s="800"/>
      <c r="G567" s="819"/>
    </row>
    <row r="568" spans="1:9">
      <c r="A568" s="1887" t="s">
        <v>1171</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1187</v>
      </c>
      <c r="E571" s="1909"/>
      <c r="F571" s="1909"/>
      <c r="G571" s="819"/>
    </row>
    <row r="572" spans="1:9">
      <c r="A572" s="790"/>
      <c r="B572" s="790"/>
      <c r="C572" s="795"/>
      <c r="D572" s="837"/>
      <c r="G572" s="819"/>
      <c r="I572" s="1774" t="s">
        <v>2447</v>
      </c>
    </row>
    <row r="573" spans="1:9">
      <c r="A573" s="795"/>
      <c r="B573" s="798" t="s">
        <v>2621</v>
      </c>
      <c r="D573" s="1909" t="s">
        <v>954</v>
      </c>
      <c r="E573" s="1909"/>
      <c r="F573" s="1909"/>
      <c r="G573" s="819"/>
    </row>
    <row r="574" spans="1:9">
      <c r="A574" s="816"/>
      <c r="B574" s="816"/>
      <c r="D574" s="814"/>
    </row>
    <row r="575" spans="1:9">
      <c r="A575" s="816"/>
      <c r="B575" s="798" t="s">
        <v>2621</v>
      </c>
      <c r="D575" s="1910" t="s">
        <v>1188</v>
      </c>
      <c r="E575" s="1910"/>
      <c r="F575" s="1910"/>
      <c r="I575" s="1774" t="s">
        <v>2449</v>
      </c>
    </row>
    <row r="576" spans="1:9">
      <c r="A576" s="816"/>
      <c r="B576" s="816"/>
      <c r="D576" s="1910"/>
      <c r="E576" s="1910"/>
      <c r="F576" s="1910"/>
      <c r="G576" s="790"/>
      <c r="I576" s="1774" t="s">
        <v>2448</v>
      </c>
    </row>
    <row r="577" spans="1:9">
      <c r="A577" s="816"/>
      <c r="B577" s="816"/>
      <c r="D577" s="1910"/>
      <c r="E577" s="1910"/>
      <c r="F577" s="1910"/>
      <c r="G577" s="790"/>
    </row>
    <row r="578" spans="1:9">
      <c r="A578" s="816"/>
      <c r="B578" s="816"/>
      <c r="D578" s="1910"/>
      <c r="E578" s="1910"/>
      <c r="F578" s="1910"/>
      <c r="G578" s="790"/>
    </row>
    <row r="579" spans="1:9">
      <c r="A579" s="816"/>
      <c r="B579" s="798" t="s">
        <v>2558</v>
      </c>
      <c r="D579" s="1910" t="s">
        <v>1189</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2621</v>
      </c>
      <c r="D584" s="1910" t="s">
        <v>1190</v>
      </c>
      <c r="E584" s="1910"/>
      <c r="F584" s="1910"/>
      <c r="G584" s="790"/>
    </row>
    <row r="585" spans="1:9">
      <c r="A585" s="816"/>
      <c r="B585" s="816"/>
      <c r="D585" s="1910"/>
      <c r="E585" s="1910"/>
      <c r="F585" s="1910"/>
      <c r="G585" s="790"/>
    </row>
    <row r="586" spans="1:9">
      <c r="A586" s="816"/>
      <c r="B586" s="816"/>
      <c r="D586" s="837"/>
      <c r="G586" s="790"/>
    </row>
    <row r="587" spans="1:9">
      <c r="A587" s="816"/>
      <c r="B587" s="798" t="s">
        <v>2558</v>
      </c>
      <c r="D587" s="1909" t="s">
        <v>1191</v>
      </c>
      <c r="E587" s="1909"/>
      <c r="F587" s="1909"/>
      <c r="G587" s="790"/>
      <c r="I587" s="1774" t="s">
        <v>2498</v>
      </c>
    </row>
    <row r="588" spans="1:9">
      <c r="A588" s="816"/>
      <c r="B588" s="816"/>
      <c r="D588" s="1909"/>
      <c r="E588" s="1909"/>
      <c r="F588" s="1909"/>
      <c r="G588" s="790"/>
    </row>
    <row r="589" spans="1:9" ht="14.25">
      <c r="A589" s="797"/>
      <c r="B589" s="797"/>
      <c r="D589" s="837"/>
      <c r="G589" s="790"/>
    </row>
    <row r="590" spans="1:9">
      <c r="A590" s="1887" t="s">
        <v>1172</v>
      </c>
      <c r="B590" s="1887"/>
      <c r="C590" s="1887"/>
      <c r="D590" s="1887"/>
      <c r="E590" s="1887"/>
      <c r="F590" s="1887"/>
      <c r="G590" s="1887"/>
      <c r="H590" s="1853"/>
      <c r="I590" s="1854"/>
    </row>
    <row r="591" spans="1:9"/>
    <row r="592" spans="1:9">
      <c r="D592" s="1877" t="s">
        <v>1272</v>
      </c>
      <c r="E592" s="1877"/>
      <c r="F592" s="1877"/>
    </row>
    <row r="593" spans="1:9">
      <c r="D593" s="1878" t="s">
        <v>1273</v>
      </c>
      <c r="E593" s="1878"/>
      <c r="F593" s="1878"/>
    </row>
    <row r="594" spans="1:9">
      <c r="D594" s="780"/>
      <c r="E594" s="722"/>
      <c r="F594" s="722"/>
    </row>
    <row r="595" spans="1:9" s="791" customFormat="1" ht="14.25">
      <c r="A595" s="805"/>
      <c r="B595" s="798" t="s">
        <v>2621</v>
      </c>
      <c r="C595" s="801"/>
      <c r="D595" s="1879" t="s">
        <v>1274</v>
      </c>
      <c r="E595" s="1879"/>
      <c r="F595" s="1879"/>
      <c r="G595" s="802"/>
      <c r="I595" s="1837" t="s">
        <v>2477</v>
      </c>
    </row>
    <row r="596" spans="1:9">
      <c r="D596" s="1879"/>
      <c r="E596" s="1879"/>
      <c r="F596" s="1879"/>
    </row>
    <row r="597" spans="1:9">
      <c r="D597" s="1879"/>
      <c r="E597" s="1879"/>
      <c r="F597" s="1879"/>
    </row>
    <row r="598" spans="1:9"/>
    <row r="599" spans="1:9">
      <c r="A599" s="1887" t="s">
        <v>1173</v>
      </c>
      <c r="B599" s="1887"/>
      <c r="C599" s="1887"/>
      <c r="D599" s="1887"/>
      <c r="E599" s="1887"/>
      <c r="F599" s="1887"/>
      <c r="G599" s="1887"/>
      <c r="H599" s="1853"/>
      <c r="I599" s="1854"/>
    </row>
    <row r="600" spans="1:9">
      <c r="A600" s="800"/>
      <c r="B600" s="800"/>
      <c r="G600" s="819"/>
    </row>
    <row r="601" spans="1:9">
      <c r="A601" s="838"/>
      <c r="B601" s="838"/>
      <c r="C601" s="793"/>
      <c r="D601" s="1880" t="s">
        <v>1275</v>
      </c>
      <c r="E601" s="1880"/>
      <c r="F601" s="1880"/>
      <c r="G601" s="819"/>
    </row>
    <row r="602" spans="1:9">
      <c r="A602" s="838"/>
      <c r="B602" s="838"/>
      <c r="C602" s="793"/>
      <c r="D602" s="1880"/>
      <c r="E602" s="1880"/>
      <c r="F602" s="1880"/>
      <c r="G602" s="819"/>
    </row>
    <row r="603" spans="1:9">
      <c r="C603" s="795"/>
      <c r="D603" s="1878" t="s">
        <v>1276</v>
      </c>
      <c r="E603" s="1878"/>
      <c r="F603" s="1878"/>
      <c r="G603" s="819"/>
    </row>
    <row r="604" spans="1:9">
      <c r="C604" s="795"/>
      <c r="D604" s="780"/>
      <c r="E604" s="780"/>
      <c r="F604" s="780"/>
      <c r="G604" s="819"/>
    </row>
    <row r="605" spans="1:9" ht="12.75" customHeight="1">
      <c r="A605" s="816"/>
      <c r="B605" s="798" t="s">
        <v>2621</v>
      </c>
      <c r="D605" s="1881" t="s">
        <v>1277</v>
      </c>
      <c r="E605" s="1881"/>
      <c r="F605" s="1881"/>
      <c r="G605" s="819"/>
      <c r="I605" s="1774" t="s">
        <v>2499</v>
      </c>
    </row>
    <row r="606" spans="1:9">
      <c r="D606" s="1881"/>
      <c r="E606" s="1881"/>
      <c r="F606" s="1881"/>
      <c r="G606" s="819"/>
    </row>
    <row r="607" spans="1:9">
      <c r="D607" s="790"/>
      <c r="G607" s="819"/>
    </row>
    <row r="608" spans="1:9">
      <c r="B608" s="798" t="s">
        <v>2621</v>
      </c>
      <c r="D608" s="1881" t="s">
        <v>1278</v>
      </c>
      <c r="E608" s="1881"/>
      <c r="F608" s="1881"/>
      <c r="G608" s="819"/>
      <c r="I608" s="1774" t="s">
        <v>2450</v>
      </c>
    </row>
    <row r="609" spans="1:9">
      <c r="C609" s="839"/>
      <c r="D609" s="1881"/>
      <c r="E609" s="1881"/>
      <c r="F609" s="1881"/>
      <c r="G609" s="819"/>
    </row>
    <row r="610" spans="1:9">
      <c r="C610" s="839"/>
      <c r="G610" s="819"/>
    </row>
    <row r="611" spans="1:9">
      <c r="B611" s="798" t="s">
        <v>2558</v>
      </c>
      <c r="C611" s="839"/>
      <c r="D611" s="1881" t="s">
        <v>1279</v>
      </c>
      <c r="E611" s="1881"/>
      <c r="F611" s="1881"/>
      <c r="G611" s="819"/>
      <c r="I611" s="1774" t="s">
        <v>2500</v>
      </c>
    </row>
    <row r="612" spans="1:9">
      <c r="C612" s="839"/>
      <c r="D612" s="1881"/>
      <c r="E612" s="1881"/>
      <c r="F612" s="1881"/>
      <c r="G612" s="819"/>
      <c r="I612" s="1850" t="s">
        <v>2501</v>
      </c>
    </row>
    <row r="613" spans="1:9">
      <c r="C613" s="839"/>
      <c r="G613" s="819"/>
    </row>
    <row r="614" spans="1:9">
      <c r="A614" s="1887" t="s">
        <v>1174</v>
      </c>
      <c r="B614" s="1887"/>
      <c r="C614" s="1887"/>
      <c r="D614" s="1887"/>
      <c r="E614" s="1887"/>
      <c r="F614" s="1887"/>
      <c r="G614" s="1887"/>
      <c r="H614" s="1853"/>
      <c r="I614" s="1854"/>
    </row>
    <row r="615" spans="1:9">
      <c r="A615" s="840"/>
      <c r="B615" s="840"/>
      <c r="C615" s="840"/>
      <c r="G615" s="819"/>
    </row>
    <row r="616" spans="1:9">
      <c r="C616" s="816"/>
      <c r="D616" s="1877" t="s">
        <v>1280</v>
      </c>
      <c r="E616" s="1877"/>
      <c r="F616" s="1877"/>
      <c r="G616" s="819"/>
    </row>
    <row r="617" spans="1:9">
      <c r="A617" s="816"/>
      <c r="B617" s="816"/>
      <c r="C617" s="818"/>
      <c r="D617" s="794"/>
      <c r="G617" s="819"/>
    </row>
    <row r="618" spans="1:9" ht="14.25">
      <c r="A618" s="797"/>
      <c r="B618" s="798" t="s">
        <v>2621</v>
      </c>
      <c r="C618" s="818"/>
      <c r="D618" s="1922" t="s">
        <v>1502</v>
      </c>
      <c r="E618" s="1922"/>
      <c r="F618" s="1922"/>
      <c r="G618" s="819"/>
      <c r="I618" s="1774" t="s">
        <v>2478</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25">
      <c r="A625" s="797"/>
      <c r="B625" s="798" t="s">
        <v>2558</v>
      </c>
      <c r="C625" s="818"/>
      <c r="D625" s="1922" t="s">
        <v>1282</v>
      </c>
      <c r="E625" s="1922"/>
      <c r="F625" s="1922"/>
      <c r="G625" s="819"/>
      <c r="I625" s="1774" t="s">
        <v>2502</v>
      </c>
    </row>
    <row r="626" spans="1:9">
      <c r="A626" s="829"/>
      <c r="B626" s="829"/>
      <c r="C626" s="829"/>
      <c r="D626" s="1922"/>
      <c r="E626" s="1922"/>
      <c r="F626" s="1922"/>
      <c r="G626" s="819"/>
    </row>
    <row r="627" spans="1:9">
      <c r="A627" s="829"/>
      <c r="B627" s="829"/>
      <c r="C627" s="829"/>
      <c r="D627" s="785"/>
      <c r="E627" s="841"/>
      <c r="F627" s="841"/>
      <c r="G627" s="819"/>
    </row>
    <row r="628" spans="1:9" ht="14.25">
      <c r="A628" s="797"/>
      <c r="B628" s="798" t="s">
        <v>2558</v>
      </c>
      <c r="C628" s="829"/>
      <c r="D628" s="1879" t="s">
        <v>1439</v>
      </c>
      <c r="E628" s="1879"/>
      <c r="F628" s="1879"/>
      <c r="G628" s="819"/>
      <c r="I628" s="1774" t="s">
        <v>2451</v>
      </c>
    </row>
    <row r="629" spans="1:9" ht="14.25">
      <c r="A629" s="797"/>
      <c r="B629" s="797"/>
      <c r="C629" s="829"/>
      <c r="D629" s="1879"/>
      <c r="E629" s="1879"/>
      <c r="F629" s="1879"/>
      <c r="G629" s="819"/>
    </row>
    <row r="630" spans="1:9" ht="14.25">
      <c r="A630" s="797"/>
      <c r="B630" s="797"/>
      <c r="C630" s="829"/>
      <c r="D630" s="1879"/>
      <c r="E630" s="1879"/>
      <c r="F630" s="1879"/>
      <c r="G630" s="819"/>
    </row>
    <row r="631" spans="1:9">
      <c r="A631" s="829"/>
      <c r="B631" s="798" t="s">
        <v>2558</v>
      </c>
      <c r="C631" s="829"/>
      <c r="D631" s="1927" t="s">
        <v>1284</v>
      </c>
      <c r="E631" s="1927"/>
      <c r="F631" s="1927"/>
      <c r="G631" s="819"/>
      <c r="I631" s="1774" t="s">
        <v>2451</v>
      </c>
    </row>
    <row r="632" spans="1:9">
      <c r="A632" s="829"/>
      <c r="B632" s="829"/>
      <c r="C632" s="829"/>
      <c r="D632" s="727"/>
      <c r="E632" s="727"/>
      <c r="F632" s="727"/>
      <c r="G632" s="819"/>
    </row>
    <row r="633" spans="1:9">
      <c r="A633" s="1887" t="s">
        <v>1175</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1334</v>
      </c>
      <c r="E635" s="1987"/>
      <c r="F635" s="1987"/>
      <c r="G635" s="819"/>
    </row>
    <row r="636" spans="1:9">
      <c r="A636" s="795"/>
      <c r="B636" s="795"/>
      <c r="C636" s="795"/>
      <c r="D636" s="1988" t="s">
        <v>1335</v>
      </c>
      <c r="E636" s="1988"/>
      <c r="F636" s="1988"/>
      <c r="G636" s="819"/>
    </row>
    <row r="637" spans="1:9">
      <c r="A637" s="795"/>
      <c r="B637" s="795"/>
      <c r="C637" s="795"/>
      <c r="D637" s="727"/>
      <c r="E637" s="727"/>
      <c r="F637" s="727"/>
      <c r="G637" s="819"/>
    </row>
    <row r="638" spans="1:9" ht="12.75" customHeight="1">
      <c r="B638" s="798" t="s">
        <v>2621</v>
      </c>
      <c r="C638" s="829"/>
      <c r="D638" s="1964" t="s">
        <v>1523</v>
      </c>
      <c r="E638" s="1964"/>
      <c r="F638" s="1964"/>
      <c r="I638" s="1774" t="s">
        <v>2505</v>
      </c>
    </row>
    <row r="639" spans="1:9">
      <c r="D639" s="1964"/>
      <c r="E639" s="1964"/>
      <c r="F639" s="1964"/>
    </row>
    <row r="640" spans="1:9">
      <c r="D640" s="1964"/>
      <c r="E640" s="1964"/>
      <c r="F640" s="1964"/>
    </row>
    <row r="641" spans="1:9">
      <c r="D641" s="1964"/>
      <c r="E641" s="1964"/>
      <c r="F641" s="1964"/>
    </row>
    <row r="642" spans="1:9" ht="14.45" customHeight="1">
      <c r="A642" s="797"/>
      <c r="B642" s="797"/>
      <c r="C642" s="829"/>
      <c r="D642" s="900"/>
      <c r="E642" s="900"/>
      <c r="F642" s="900"/>
      <c r="G642" s="819"/>
    </row>
    <row r="643" spans="1:9" ht="12.75" customHeight="1">
      <c r="A643" s="795"/>
      <c r="B643" s="798" t="s">
        <v>2558</v>
      </c>
      <c r="C643" s="829"/>
      <c r="D643" s="1964" t="s">
        <v>1526</v>
      </c>
      <c r="E643" s="1964"/>
      <c r="F643" s="1964"/>
      <c r="G643" s="819"/>
      <c r="I643" s="1774" t="s">
        <v>2505</v>
      </c>
    </row>
    <row r="644" spans="1:9" ht="14.25">
      <c r="A644" s="795"/>
      <c r="B644" s="797"/>
      <c r="C644" s="829"/>
      <c r="D644" s="1964"/>
      <c r="E644" s="1964"/>
      <c r="F644" s="1964"/>
      <c r="G644" s="819"/>
    </row>
    <row r="645" spans="1:9" ht="14.25">
      <c r="A645" s="795"/>
      <c r="B645" s="797"/>
      <c r="C645" s="829"/>
      <c r="D645" s="1964"/>
      <c r="E645" s="1964"/>
      <c r="F645" s="1964"/>
      <c r="G645" s="819"/>
    </row>
    <row r="646" spans="1:9" ht="14.25">
      <c r="A646" s="795"/>
      <c r="B646" s="797"/>
      <c r="C646" s="829"/>
      <c r="D646" s="1964"/>
      <c r="E646" s="1964"/>
      <c r="F646" s="1964"/>
      <c r="G646" s="819"/>
    </row>
    <row r="647" spans="1:9" ht="14.25">
      <c r="A647" s="795"/>
      <c r="B647" s="797"/>
      <c r="C647" s="829"/>
      <c r="D647" s="1964"/>
      <c r="E647" s="1964"/>
      <c r="F647" s="1964"/>
      <c r="G647" s="819"/>
    </row>
    <row r="648" spans="1:9" ht="14.25" customHeight="1">
      <c r="A648" s="795"/>
      <c r="B648" s="797"/>
      <c r="C648" s="829"/>
      <c r="F648" s="901"/>
      <c r="G648" s="819"/>
    </row>
    <row r="649" spans="1:9" ht="12.75" customHeight="1">
      <c r="A649" s="795"/>
      <c r="B649" s="798" t="s">
        <v>2558</v>
      </c>
      <c r="C649" s="829"/>
      <c r="D649" s="1964" t="s">
        <v>1524</v>
      </c>
      <c r="E649" s="1964"/>
      <c r="F649" s="1964"/>
      <c r="G649" s="819"/>
      <c r="I649" s="1774" t="s">
        <v>2505</v>
      </c>
    </row>
    <row r="650" spans="1:9" ht="14.25">
      <c r="A650" s="795"/>
      <c r="B650" s="797"/>
      <c r="C650" s="829"/>
      <c r="D650" s="1964"/>
      <c r="E650" s="1964"/>
      <c r="F650" s="1964"/>
      <c r="G650" s="819"/>
    </row>
    <row r="651" spans="1:9" ht="14.25">
      <c r="A651" s="797"/>
      <c r="B651" s="797"/>
      <c r="C651" s="829"/>
      <c r="D651" s="1964"/>
      <c r="E651" s="1964"/>
      <c r="F651" s="1964"/>
      <c r="G651" s="819"/>
    </row>
    <row r="652" spans="1:9" ht="14.25">
      <c r="A652" s="797"/>
      <c r="B652" s="797"/>
      <c r="C652" s="829"/>
      <c r="D652" s="1964"/>
      <c r="E652" s="1964"/>
      <c r="F652" s="1964"/>
      <c r="G652" s="819"/>
    </row>
    <row r="653" spans="1:9" ht="14.25">
      <c r="A653" s="797"/>
      <c r="B653" s="797"/>
      <c r="C653" s="829"/>
      <c r="D653" s="892"/>
      <c r="E653" s="892"/>
      <c r="F653" s="892"/>
      <c r="G653" s="819"/>
    </row>
    <row r="654" spans="1:9" ht="12.75" customHeight="1">
      <c r="A654" s="795"/>
      <c r="B654" s="798" t="s">
        <v>2558</v>
      </c>
      <c r="C654" s="829"/>
      <c r="D654" s="1964" t="s">
        <v>1525</v>
      </c>
      <c r="E654" s="1964"/>
      <c r="F654" s="1964"/>
      <c r="G654" s="819"/>
      <c r="I654" s="1774" t="s">
        <v>2505</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1176</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1212</v>
      </c>
      <c r="E668" s="1927"/>
      <c r="F668" s="1927"/>
      <c r="G668" s="819"/>
      <c r="H668" s="842"/>
      <c r="I668" s="1841"/>
      <c r="J668" s="842"/>
      <c r="K668" s="842"/>
    </row>
    <row r="669" spans="1:11">
      <c r="A669" s="795"/>
      <c r="B669" s="795"/>
      <c r="C669" s="795"/>
      <c r="G669" s="819"/>
      <c r="H669" s="842"/>
      <c r="I669" s="1841"/>
      <c r="J669" s="842"/>
      <c r="K669" s="842"/>
    </row>
    <row r="670" spans="1:11" ht="14.25">
      <c r="A670" s="797"/>
      <c r="B670" s="798" t="s">
        <v>2621</v>
      </c>
      <c r="C670" s="795"/>
      <c r="D670" s="1927" t="s">
        <v>950</v>
      </c>
      <c r="E670" s="1927"/>
      <c r="F670" s="1927"/>
      <c r="G670" s="819"/>
      <c r="H670" s="842"/>
      <c r="I670" s="1841" t="s">
        <v>2479</v>
      </c>
      <c r="J670" s="842"/>
      <c r="K670" s="842"/>
    </row>
    <row r="671" spans="1:11">
      <c r="A671" s="795"/>
      <c r="B671" s="795"/>
      <c r="C671" s="795"/>
      <c r="D671" s="1927" t="s">
        <v>961</v>
      </c>
      <c r="E671" s="1927"/>
      <c r="F671" s="1927"/>
      <c r="G671" s="819"/>
      <c r="H671" s="842"/>
      <c r="I671" s="1841"/>
      <c r="J671" s="842"/>
      <c r="K671" s="842"/>
    </row>
    <row r="672" spans="1:11">
      <c r="A672" s="795"/>
      <c r="B672" s="795"/>
      <c r="C672" s="795"/>
      <c r="D672" s="672"/>
      <c r="E672" s="1973" t="s">
        <v>1213</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2621</v>
      </c>
      <c r="C675" s="795"/>
      <c r="D675" s="1922" t="s">
        <v>1405</v>
      </c>
      <c r="E675" s="1922"/>
      <c r="F675" s="1922"/>
      <c r="G675" s="819"/>
      <c r="H675" s="842"/>
      <c r="I675" s="1841" t="s">
        <v>2503</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2480</v>
      </c>
      <c r="J678" s="842"/>
      <c r="K678" s="842"/>
    </row>
    <row r="679" spans="1:11" ht="14.25">
      <c r="A679" s="797"/>
      <c r="B679" s="798" t="s">
        <v>2558</v>
      </c>
      <c r="C679" s="795"/>
      <c r="D679" s="1927" t="s">
        <v>990</v>
      </c>
      <c r="E679" s="1927"/>
      <c r="F679" s="1927"/>
      <c r="G679" s="819"/>
      <c r="H679" s="842"/>
      <c r="I679" s="1841"/>
      <c r="J679" s="842"/>
      <c r="K679" s="842"/>
    </row>
    <row r="680" spans="1:11" ht="14.25">
      <c r="A680" s="797"/>
      <c r="B680" s="797"/>
      <c r="C680" s="795"/>
      <c r="D680" s="1927" t="s">
        <v>961</v>
      </c>
      <c r="E680" s="1927"/>
      <c r="F680" s="1927"/>
      <c r="G680" s="819"/>
      <c r="H680" s="842"/>
      <c r="I680" s="1841"/>
      <c r="J680" s="842"/>
      <c r="K680" s="842"/>
    </row>
    <row r="681" spans="1:11">
      <c r="A681" s="795"/>
      <c r="B681" s="795"/>
      <c r="C681" s="795"/>
      <c r="D681" s="672"/>
      <c r="E681" s="1970" t="s">
        <v>1215</v>
      </c>
      <c r="F681" s="1970"/>
      <c r="G681" s="819"/>
      <c r="H681" s="842"/>
      <c r="I681" s="1841"/>
      <c r="J681" s="842"/>
      <c r="K681" s="842"/>
    </row>
    <row r="682" spans="1:11">
      <c r="A682" s="795"/>
      <c r="B682" s="795"/>
      <c r="C682" s="795"/>
      <c r="D682" s="794"/>
      <c r="G682" s="819"/>
      <c r="H682" s="842"/>
      <c r="I682" s="1841"/>
      <c r="J682" s="842"/>
      <c r="K682" s="842"/>
    </row>
    <row r="683" spans="1:11" ht="14.25">
      <c r="A683" s="797"/>
      <c r="B683" s="798" t="s">
        <v>2558</v>
      </c>
      <c r="C683" s="795"/>
      <c r="D683" s="1967" t="s">
        <v>1225</v>
      </c>
      <c r="E683" s="1967"/>
      <c r="F683" s="1967"/>
      <c r="G683" s="819"/>
      <c r="H683" s="842"/>
      <c r="I683" s="1841" t="s">
        <v>2452</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2558</v>
      </c>
      <c r="C690" s="834"/>
      <c r="D690" s="1967" t="s">
        <v>1407</v>
      </c>
      <c r="E690" s="1967"/>
      <c r="F690" s="1967"/>
      <c r="G690" s="844"/>
      <c r="H690" s="845"/>
      <c r="I690" s="1842" t="s">
        <v>2452</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2558</v>
      </c>
      <c r="C693" s="795"/>
      <c r="D693" s="1967" t="s">
        <v>1216</v>
      </c>
      <c r="E693" s="1967"/>
      <c r="F693" s="1967"/>
      <c r="G693" s="819"/>
      <c r="H693" s="842"/>
      <c r="I693" s="1841" t="s">
        <v>2452</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2558</v>
      </c>
      <c r="C706" s="795"/>
      <c r="D706" s="1967" t="s">
        <v>1223</v>
      </c>
      <c r="E706" s="1967"/>
      <c r="F706" s="1967"/>
      <c r="G706" s="819"/>
      <c r="H706" s="842"/>
      <c r="I706" s="1841" t="s">
        <v>2504</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2558</v>
      </c>
      <c r="C709" s="795"/>
      <c r="D709" s="1967" t="s">
        <v>1217</v>
      </c>
      <c r="E709" s="1967"/>
      <c r="F709" s="1967"/>
      <c r="G709" s="819"/>
      <c r="H709" s="842"/>
      <c r="I709" s="1841" t="s">
        <v>2504</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2558</v>
      </c>
      <c r="C713" s="795"/>
      <c r="D713" s="1967" t="s">
        <v>1218</v>
      </c>
      <c r="E713" s="1967"/>
      <c r="F713" s="1967"/>
      <c r="G713" s="819"/>
      <c r="H713" s="842"/>
      <c r="I713" s="1841" t="s">
        <v>2504</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25">
      <c r="A717" s="797"/>
      <c r="B717" s="798" t="s">
        <v>2558</v>
      </c>
      <c r="C717" s="795"/>
      <c r="D717" s="1922" t="s">
        <v>1219</v>
      </c>
      <c r="E717" s="1922"/>
      <c r="F717" s="1922"/>
      <c r="G717" s="819"/>
      <c r="H717" s="842"/>
      <c r="I717" s="1841" t="s">
        <v>2453</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25">
      <c r="A722" s="797"/>
      <c r="B722" s="798" t="s">
        <v>2621</v>
      </c>
      <c r="C722" s="795"/>
      <c r="D722" s="1967" t="s">
        <v>1352</v>
      </c>
      <c r="E722" s="1967"/>
      <c r="F722" s="1967"/>
      <c r="G722" s="819"/>
      <c r="H722" s="842"/>
      <c r="I722" s="1841" t="s">
        <v>2469</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1220</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1177</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7" customHeight="1">
      <c r="C733" s="795"/>
      <c r="D733" s="1960" t="s">
        <v>1193</v>
      </c>
      <c r="E733" s="1960"/>
      <c r="F733" s="1960"/>
      <c r="G733" s="847"/>
      <c r="H733" s="842"/>
      <c r="I733" s="1841"/>
      <c r="J733" s="842"/>
      <c r="K733" s="842"/>
    </row>
    <row r="734" spans="1:11">
      <c r="A734" s="795"/>
      <c r="B734" s="795"/>
      <c r="C734" s="795"/>
      <c r="D734" s="1901" t="s">
        <v>1194</v>
      </c>
      <c r="E734" s="1901"/>
      <c r="F734" s="1901"/>
      <c r="G734" s="847"/>
      <c r="H734" s="842"/>
      <c r="I734" s="1841"/>
      <c r="J734" s="842"/>
      <c r="K734" s="842"/>
    </row>
    <row r="735" spans="1:11">
      <c r="A735" s="795"/>
      <c r="B735" s="795"/>
      <c r="C735" s="795"/>
      <c r="G735" s="847"/>
      <c r="H735" s="842"/>
      <c r="I735" s="1841"/>
      <c r="J735" s="842"/>
      <c r="K735" s="842"/>
    </row>
    <row r="736" spans="1:11" s="791" customFormat="1" ht="14.25">
      <c r="A736" s="797"/>
      <c r="B736" s="798" t="s">
        <v>2621</v>
      </c>
      <c r="C736" s="788"/>
      <c r="D736" s="1922" t="s">
        <v>1195</v>
      </c>
      <c r="E736" s="1922"/>
      <c r="F736" s="1922"/>
      <c r="G736" s="847"/>
      <c r="H736" s="845"/>
      <c r="I736" s="1842" t="s">
        <v>2454</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2558</v>
      </c>
      <c r="C743" s="851"/>
      <c r="D743" s="1879" t="s">
        <v>1458</v>
      </c>
      <c r="E743" s="1879"/>
      <c r="F743" s="1879"/>
      <c r="G743" s="852"/>
      <c r="I743" s="1843" t="s">
        <v>2454</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25">
      <c r="A748" s="797"/>
      <c r="B748" s="798" t="s">
        <v>2621</v>
      </c>
      <c r="C748" s="851"/>
      <c r="D748" s="1974" t="s">
        <v>1459</v>
      </c>
      <c r="E748" s="1974"/>
      <c r="F748" s="1974"/>
      <c r="G748" s="852"/>
      <c r="I748" s="1843" t="s">
        <v>2455</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25">
      <c r="A752" s="797"/>
      <c r="B752" s="798" t="s">
        <v>2558</v>
      </c>
      <c r="C752" s="801"/>
      <c r="D752" s="1879" t="s">
        <v>1402</v>
      </c>
      <c r="E752" s="1879"/>
      <c r="F752" s="1879"/>
      <c r="G752" s="848"/>
      <c r="H752" s="842"/>
      <c r="I752" s="1841" t="s">
        <v>2454</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2558</v>
      </c>
      <c r="C755" s="801"/>
      <c r="D755" s="1879" t="s">
        <v>1424</v>
      </c>
      <c r="E755" s="1879"/>
      <c r="F755" s="1879"/>
      <c r="G755" s="848"/>
      <c r="H755" s="842"/>
      <c r="I755" s="1841" t="s">
        <v>2454</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2323</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2382</v>
      </c>
      <c r="E761" s="1972"/>
      <c r="F761" s="1972"/>
      <c r="G761" s="686"/>
    </row>
    <row r="762" spans="1:11">
      <c r="A762" s="93"/>
      <c r="B762" s="93"/>
      <c r="C762" s="1732"/>
      <c r="D762" s="1986" t="s">
        <v>2268</v>
      </c>
      <c r="E762" s="1986"/>
      <c r="F762" s="1986"/>
      <c r="G762" s="686"/>
    </row>
    <row r="763" spans="1:11">
      <c r="A763" s="93"/>
      <c r="B763" s="93"/>
      <c r="C763" s="1732"/>
      <c r="D763" s="733"/>
      <c r="E763" s="733"/>
      <c r="F763" s="733"/>
      <c r="G763" s="686"/>
    </row>
    <row r="764" spans="1:11">
      <c r="A764" s="93"/>
      <c r="B764" s="798" t="s">
        <v>2558</v>
      </c>
      <c r="C764" s="1732"/>
      <c r="D764" s="1906" t="s">
        <v>2269</v>
      </c>
      <c r="E764" s="1906"/>
      <c r="F764" s="1906"/>
      <c r="G764" s="686"/>
      <c r="I764" s="1841" t="s">
        <v>2506</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1775" t="s">
        <v>2558</v>
      </c>
      <c r="C768" s="1735"/>
      <c r="D768" s="1906" t="s">
        <v>2270</v>
      </c>
      <c r="E768" s="1906"/>
      <c r="F768" s="1906"/>
      <c r="G768" s="686"/>
      <c r="I768" s="1841" t="s">
        <v>2506</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25">
      <c r="A772" s="714"/>
      <c r="B772" s="1775" t="s">
        <v>2558</v>
      </c>
      <c r="C772" s="1740"/>
      <c r="D772" s="1906" t="s">
        <v>2271</v>
      </c>
      <c r="E772" s="1906"/>
      <c r="F772" s="1906"/>
      <c r="G772" s="1739"/>
      <c r="I772" s="1841" t="s">
        <v>2506</v>
      </c>
    </row>
    <row r="773" spans="1:9" ht="14.25">
      <c r="A773" s="714"/>
      <c r="B773" s="714"/>
      <c r="C773" s="1740"/>
      <c r="D773" s="1906"/>
      <c r="E773" s="1906"/>
      <c r="F773" s="1906"/>
      <c r="G773" s="1739"/>
    </row>
    <row r="774" spans="1:9" ht="14.25">
      <c r="A774" s="714"/>
      <c r="B774" s="714"/>
      <c r="C774" s="1740"/>
      <c r="D774" s="1906"/>
      <c r="E774" s="1906"/>
      <c r="F774" s="1906"/>
      <c r="G774" s="1739"/>
    </row>
    <row r="775" spans="1:9" ht="14.25">
      <c r="A775" s="714"/>
      <c r="B775" s="714"/>
      <c r="C775" s="1740"/>
      <c r="D775" s="1708"/>
      <c r="E775" s="6"/>
      <c r="F775" s="6"/>
      <c r="G775" s="1739"/>
    </row>
    <row r="776" spans="1:9" ht="14.25">
      <c r="A776" s="714"/>
      <c r="B776" s="1775" t="s">
        <v>2558</v>
      </c>
      <c r="C776" s="1740"/>
      <c r="D776" s="1906" t="s">
        <v>2272</v>
      </c>
      <c r="E776" s="1906"/>
      <c r="F776" s="1906"/>
      <c r="G776" s="1739"/>
      <c r="I776" s="1841" t="s">
        <v>2506</v>
      </c>
    </row>
    <row r="777" spans="1:9" ht="14.25">
      <c r="A777" s="714"/>
      <c r="B777" s="714"/>
      <c r="C777" s="1740"/>
      <c r="D777" s="1906"/>
      <c r="E777" s="1906"/>
      <c r="F777" s="1906"/>
      <c r="G777" s="1739"/>
    </row>
    <row r="778" spans="1:9" ht="14.25">
      <c r="A778" s="714"/>
      <c r="B778" s="714"/>
      <c r="C778" s="1740"/>
      <c r="D778" s="1906"/>
      <c r="E778" s="1906"/>
      <c r="F778" s="1906"/>
      <c r="G778" s="1739"/>
    </row>
    <row r="779" spans="1:9" ht="14.25">
      <c r="A779" s="714"/>
      <c r="B779" s="714"/>
      <c r="C779" s="1740"/>
      <c r="D779" s="1906"/>
      <c r="E779" s="1906"/>
      <c r="F779" s="1906"/>
      <c r="G779" s="1739"/>
    </row>
    <row r="780" spans="1:9" ht="14.25">
      <c r="A780" s="714"/>
      <c r="B780" s="714"/>
      <c r="C780" s="1740"/>
      <c r="D780" s="1906"/>
      <c r="E780" s="1906"/>
      <c r="F780" s="1906"/>
      <c r="G780" s="1739"/>
    </row>
    <row r="781" spans="1:9" ht="14.25">
      <c r="A781" s="714"/>
      <c r="B781" s="714"/>
      <c r="C781" s="1740"/>
      <c r="D781" s="1906"/>
      <c r="E781" s="1906"/>
      <c r="F781" s="1906"/>
      <c r="G781" s="1739"/>
    </row>
    <row r="782" spans="1:9" ht="14.25">
      <c r="A782" s="714"/>
      <c r="B782" s="714"/>
      <c r="C782" s="1740"/>
      <c r="D782" s="1906" t="s">
        <v>2324</v>
      </c>
      <c r="E782" s="1906"/>
      <c r="F782" s="1906"/>
      <c r="G782" s="1739"/>
    </row>
    <row r="783" spans="1:9" ht="14.25">
      <c r="A783" s="714"/>
      <c r="B783" s="714"/>
      <c r="C783" s="1740"/>
      <c r="D783" s="1906"/>
      <c r="E783" s="1906"/>
      <c r="F783" s="1906"/>
      <c r="G783" s="1739"/>
    </row>
    <row r="784" spans="1:9" ht="14.25">
      <c r="A784" s="714"/>
      <c r="B784" s="714"/>
      <c r="C784" s="1740"/>
      <c r="D784" s="1906"/>
      <c r="E784" s="1906"/>
      <c r="F784" s="1906"/>
      <c r="G784" s="1739"/>
    </row>
    <row r="785" spans="1:9" ht="14.25">
      <c r="A785" s="714"/>
      <c r="B785" s="556"/>
      <c r="C785" s="1740"/>
      <c r="D785" s="1741"/>
      <c r="E785" s="1741"/>
      <c r="F785" s="1741"/>
      <c r="G785" s="1739"/>
    </row>
    <row r="786" spans="1:9" ht="14.25">
      <c r="A786" s="714"/>
      <c r="B786" s="1775" t="s">
        <v>2558</v>
      </c>
      <c r="C786" s="1740"/>
      <c r="D786" s="1906" t="s">
        <v>2273</v>
      </c>
      <c r="E786" s="1906"/>
      <c r="F786" s="1906"/>
      <c r="G786" s="1739"/>
      <c r="I786" s="1841" t="s">
        <v>2506</v>
      </c>
    </row>
    <row r="787" spans="1:9" ht="14.25">
      <c r="A787" s="714"/>
      <c r="B787" s="714"/>
      <c r="C787" s="1740"/>
      <c r="D787" s="1906"/>
      <c r="E787" s="1906"/>
      <c r="F787" s="1906"/>
      <c r="G787" s="1739"/>
    </row>
    <row r="788" spans="1:9" ht="14.25">
      <c r="A788" s="714"/>
      <c r="B788" s="714"/>
      <c r="C788" s="1740"/>
      <c r="D788" s="1906"/>
      <c r="E788" s="1906"/>
      <c r="F788" s="1906"/>
      <c r="G788" s="1739"/>
    </row>
    <row r="789" spans="1:9" ht="14.25">
      <c r="A789" s="714"/>
      <c r="B789" s="714"/>
      <c r="C789" s="1740"/>
      <c r="D789" s="1906"/>
      <c r="E789" s="1906"/>
      <c r="F789" s="1906"/>
      <c r="G789" s="1739"/>
    </row>
    <row r="790" spans="1:9" ht="14.25">
      <c r="A790" s="714"/>
      <c r="B790" s="714"/>
      <c r="C790" s="1740"/>
      <c r="D790" s="1906"/>
      <c r="E790" s="1906"/>
      <c r="F790" s="1906"/>
      <c r="G790" s="1739"/>
    </row>
    <row r="791" spans="1:9" ht="14.25">
      <c r="A791" s="714"/>
      <c r="B791" s="714"/>
      <c r="C791" s="1740"/>
      <c r="D791" s="1906"/>
      <c r="E791" s="1906"/>
      <c r="F791" s="1906"/>
      <c r="G791" s="1739"/>
    </row>
    <row r="792" spans="1:9" ht="14.25">
      <c r="A792" s="714"/>
      <c r="B792" s="714"/>
      <c r="C792" s="1740"/>
      <c r="D792" s="1717"/>
      <c r="E792" s="1717"/>
      <c r="F792" s="1717"/>
      <c r="G792" s="1739"/>
    </row>
    <row r="793" spans="1:9" ht="14.25">
      <c r="A793" s="714"/>
      <c r="B793" s="1775" t="s">
        <v>2558</v>
      </c>
      <c r="C793" s="1740"/>
      <c r="D793" s="1906" t="s">
        <v>2274</v>
      </c>
      <c r="E793" s="1906"/>
      <c r="F793" s="1906"/>
      <c r="G793" s="1739"/>
      <c r="I793" s="1841" t="s">
        <v>2506</v>
      </c>
    </row>
    <row r="794" spans="1:9" ht="14.25">
      <c r="A794" s="714"/>
      <c r="B794" s="714"/>
      <c r="C794" s="1740"/>
      <c r="D794" s="1906"/>
      <c r="E794" s="1906"/>
      <c r="F794" s="1906"/>
      <c r="G794" s="1739"/>
    </row>
    <row r="795" spans="1:9" ht="14.25">
      <c r="A795" s="714"/>
      <c r="B795" s="714"/>
      <c r="C795" s="1740"/>
      <c r="D795" s="1906"/>
      <c r="E795" s="1906"/>
      <c r="F795" s="1906"/>
      <c r="G795" s="1739"/>
    </row>
    <row r="796" spans="1:9" ht="14.25">
      <c r="A796" s="714"/>
      <c r="B796" s="714"/>
      <c r="C796" s="1740"/>
      <c r="D796" s="1906"/>
      <c r="E796" s="1906"/>
      <c r="F796" s="1906"/>
      <c r="G796" s="1739"/>
    </row>
    <row r="797" spans="1:9" ht="14.25">
      <c r="A797" s="714"/>
      <c r="B797" s="714"/>
      <c r="C797" s="1740"/>
      <c r="D797" s="1906"/>
      <c r="E797" s="1906"/>
      <c r="F797" s="1906"/>
      <c r="G797" s="1739"/>
    </row>
    <row r="798" spans="1:9" ht="14.25">
      <c r="A798" s="714"/>
      <c r="B798" s="714"/>
      <c r="C798" s="1740"/>
      <c r="D798" s="1906"/>
      <c r="E798" s="1906"/>
      <c r="F798" s="1906"/>
      <c r="G798" s="1739"/>
    </row>
    <row r="799" spans="1:9" ht="14.25">
      <c r="A799" s="714"/>
      <c r="B799" s="714"/>
      <c r="C799" s="1740"/>
      <c r="D799" s="1717"/>
      <c r="E799" s="1717"/>
      <c r="F799" s="1717"/>
      <c r="G799" s="1739"/>
    </row>
    <row r="800" spans="1:9" ht="14.25">
      <c r="A800" s="714"/>
      <c r="B800" s="1775" t="s">
        <v>2558</v>
      </c>
      <c r="C800" s="1740"/>
      <c r="D800" s="1919" t="s">
        <v>2275</v>
      </c>
      <c r="E800" s="1919"/>
      <c r="F800" s="1919"/>
      <c r="G800" s="1739"/>
      <c r="I800" s="1841" t="s">
        <v>2506</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2276</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2325</v>
      </c>
      <c r="E809" s="1903"/>
      <c r="F809" s="1903"/>
      <c r="G809" s="678"/>
    </row>
    <row r="810" spans="1:9" ht="14.25" customHeight="1">
      <c r="A810" s="714"/>
      <c r="B810" s="714"/>
      <c r="C810" s="556"/>
      <c r="D810" s="1861" t="s">
        <v>2277</v>
      </c>
      <c r="E810" s="1861"/>
      <c r="F810" s="1861"/>
      <c r="G810" s="678"/>
    </row>
    <row r="811" spans="1:9" ht="12.75" customHeight="1">
      <c r="A811" s="714"/>
      <c r="B811" s="714"/>
      <c r="C811" s="556"/>
      <c r="D811" s="1703"/>
      <c r="E811" s="1703"/>
      <c r="F811" s="1703"/>
      <c r="G811" s="678"/>
    </row>
    <row r="812" spans="1:9" ht="12.75" customHeight="1">
      <c r="A812" s="1742"/>
      <c r="B812" s="798" t="s">
        <v>2621</v>
      </c>
      <c r="C812" s="1740"/>
      <c r="D812" s="1861" t="s">
        <v>2278</v>
      </c>
      <c r="E812" s="1861"/>
      <c r="F812" s="1861"/>
      <c r="G812" s="678"/>
      <c r="I812" s="1774" t="s">
        <v>2472</v>
      </c>
    </row>
    <row r="813" spans="1:9" ht="14.25" customHeight="1">
      <c r="A813" s="1725"/>
      <c r="B813" s="1725"/>
      <c r="C813" s="1740"/>
      <c r="D813" s="5" t="s">
        <v>2254</v>
      </c>
      <c r="E813" s="1865" t="s">
        <v>2279</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2280</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2621</v>
      </c>
      <c r="C826" s="1740"/>
      <c r="D826" s="1861" t="s">
        <v>2281</v>
      </c>
      <c r="E826" s="1861"/>
      <c r="F826" s="1861"/>
      <c r="G826" s="678"/>
      <c r="I826" s="1774" t="s">
        <v>2492</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2558</v>
      </c>
      <c r="C830" s="1744"/>
      <c r="D830" s="1992" t="s">
        <v>2282</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2558</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93" t="s">
        <v>2286</v>
      </c>
      <c r="F841" s="1993"/>
      <c r="G841" s="678"/>
    </row>
    <row r="842" spans="1:9" ht="12.75" customHeight="1">
      <c r="A842" s="403"/>
      <c r="B842" s="403"/>
      <c r="C842" s="1744"/>
      <c r="D842" s="1721"/>
      <c r="E842" s="678"/>
      <c r="F842" s="678"/>
      <c r="G842" s="678"/>
    </row>
    <row r="843" spans="1:9" ht="12.75" customHeight="1">
      <c r="A843" s="403"/>
      <c r="B843" s="798" t="s">
        <v>2558</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94" t="s">
        <v>2289</v>
      </c>
      <c r="E851" s="1994"/>
      <c r="F851" s="1994"/>
      <c r="G851" s="1739"/>
    </row>
    <row r="852" spans="1:9" ht="12.75" customHeight="1">
      <c r="A852" s="1742"/>
      <c r="B852" s="1742"/>
      <c r="C852" s="313"/>
      <c r="D852" s="1750"/>
      <c r="E852" s="1750"/>
      <c r="F852" s="1750"/>
      <c r="G852" s="1739"/>
    </row>
    <row r="853" spans="1:9" ht="12.75" customHeight="1">
      <c r="A853" s="714"/>
      <c r="B853" s="798" t="s">
        <v>2621</v>
      </c>
      <c r="C853" s="556"/>
      <c r="D853" s="1886" t="s">
        <v>2290</v>
      </c>
      <c r="E853" s="1886"/>
      <c r="F853" s="1886"/>
      <c r="G853" s="1739"/>
      <c r="I853" s="1774" t="s">
        <v>2473</v>
      </c>
    </row>
    <row r="854" spans="1:9" ht="12.75" customHeight="1">
      <c r="A854" s="1742"/>
      <c r="B854" s="1742"/>
      <c r="C854" s="556"/>
      <c r="D854" s="5" t="s">
        <v>2251</v>
      </c>
      <c r="E854" s="1996" t="s">
        <v>2286</v>
      </c>
      <c r="F854" s="1996"/>
      <c r="G854" s="1739"/>
    </row>
    <row r="855" spans="1:9" ht="12.75" customHeight="1">
      <c r="A855" s="1742"/>
      <c r="B855" s="1742"/>
      <c r="C855" s="556"/>
      <c r="D855" s="1708"/>
      <c r="E855" s="1738"/>
      <c r="F855" s="1738"/>
      <c r="G855" s="1739"/>
    </row>
    <row r="856" spans="1:9" ht="12.75" customHeight="1">
      <c r="A856" s="714"/>
      <c r="B856" s="798" t="s">
        <v>2621</v>
      </c>
      <c r="C856" s="556"/>
      <c r="D856" s="1861" t="s">
        <v>2291</v>
      </c>
      <c r="E856" s="1935"/>
      <c r="F856" s="1935"/>
      <c r="G856" s="678"/>
      <c r="I856" s="1774" t="s">
        <v>2493</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2558</v>
      </c>
      <c r="C859" s="557"/>
      <c r="D859" s="1997" t="s">
        <v>2292</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2558</v>
      </c>
      <c r="C868" s="556"/>
      <c r="D868" s="1890" t="s">
        <v>2284</v>
      </c>
      <c r="E868" s="1890"/>
      <c r="F868" s="1890"/>
      <c r="G868" s="1739"/>
      <c r="I868" s="1774" t="s">
        <v>2473</v>
      </c>
    </row>
    <row r="869" spans="1:9" ht="12.75" customHeight="1">
      <c r="A869" s="714"/>
      <c r="B869" s="714"/>
      <c r="C869" s="556"/>
      <c r="D869" s="1890" t="s">
        <v>2285</v>
      </c>
      <c r="E869" s="1890"/>
      <c r="F869" s="1890"/>
      <c r="G869" s="1739"/>
    </row>
    <row r="870" spans="1:9" ht="12.75" customHeight="1">
      <c r="A870" s="714"/>
      <c r="B870" s="714"/>
      <c r="C870" s="556"/>
      <c r="D870" s="5" t="s">
        <v>1503</v>
      </c>
      <c r="E870" s="1998" t="s">
        <v>2286</v>
      </c>
      <c r="F870" s="1998"/>
      <c r="G870" s="1739"/>
    </row>
    <row r="871" spans="1:9" ht="12.75" customHeight="1">
      <c r="A871" s="714"/>
      <c r="B871" s="714"/>
      <c r="C871" s="556"/>
      <c r="D871" s="1708"/>
      <c r="E871" s="1738"/>
      <c r="F871" s="1738"/>
      <c r="G871" s="1739"/>
    </row>
    <row r="872" spans="1:9" ht="12.75" customHeight="1">
      <c r="A872" s="714"/>
      <c r="B872" s="798" t="s">
        <v>2558</v>
      </c>
      <c r="C872" s="556"/>
      <c r="D872" s="1861" t="s">
        <v>2287</v>
      </c>
      <c r="E872" s="1861"/>
      <c r="F872" s="1861"/>
      <c r="G872" s="1739"/>
      <c r="I872" s="1774" t="s">
        <v>2493</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2327</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2333</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2621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5" t="s">
        <v>2328</v>
      </c>
      <c r="E883" s="1905"/>
      <c r="F883" s="1905"/>
      <c r="G883" s="1739"/>
    </row>
    <row r="884" spans="1:9" ht="12.75" customHeight="1">
      <c r="A884" s="1714"/>
      <c r="B884" s="1714"/>
      <c r="C884" s="1746"/>
      <c r="D884" s="1886" t="s">
        <v>2293</v>
      </c>
      <c r="E884" s="1886"/>
      <c r="F884" s="1886"/>
      <c r="G884" s="1739"/>
    </row>
    <row r="885" spans="1:9" ht="12.75" customHeight="1">
      <c r="A885" s="1756"/>
      <c r="B885" s="1756"/>
      <c r="C885" s="1740"/>
      <c r="D885" s="5"/>
      <c r="E885" s="1738"/>
      <c r="F885" s="1738"/>
      <c r="G885" s="1739"/>
    </row>
    <row r="886" spans="1:9" ht="12.75" customHeight="1">
      <c r="A886" s="714"/>
      <c r="B886" s="798" t="s">
        <v>2621</v>
      </c>
      <c r="C886" s="556"/>
      <c r="D886" s="1861" t="s">
        <v>2297</v>
      </c>
      <c r="E886" s="1861"/>
      <c r="F886" s="1861"/>
      <c r="G886" s="678"/>
      <c r="I886" s="1774" t="s">
        <v>2457</v>
      </c>
    </row>
    <row r="887" spans="1:9" ht="12.75" customHeight="1">
      <c r="A887" s="1742"/>
      <c r="B887" s="1742"/>
      <c r="C887" s="556"/>
      <c r="D887" s="1861"/>
      <c r="E887" s="1861"/>
      <c r="F887" s="1861"/>
      <c r="G887" s="678"/>
    </row>
    <row r="888" spans="1:9" s="1772" customFormat="1" ht="12.75" customHeight="1">
      <c r="A888" s="1846"/>
      <c r="B888" s="1846"/>
      <c r="C888" s="1746"/>
      <c r="D888" s="1861" t="s">
        <v>2296</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2558</v>
      </c>
      <c r="C891" s="486"/>
      <c r="D891" s="1993" t="s">
        <v>2294</v>
      </c>
      <c r="E891" s="1993"/>
      <c r="F891" s="1993"/>
      <c r="G891" s="1739"/>
      <c r="I891" s="1774" t="s">
        <v>2456</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2558</v>
      </c>
      <c r="C900" s="1740"/>
      <c r="D900" s="1861" t="s">
        <v>2298</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2558</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2558</v>
      </c>
      <c r="C908" s="1740"/>
      <c r="D908" s="1886" t="s">
        <v>2300</v>
      </c>
      <c r="E908" s="1886"/>
      <c r="F908" s="1886"/>
      <c r="G908" s="1739"/>
    </row>
    <row r="909" spans="1:9" ht="12.75" customHeight="1">
      <c r="A909" s="1756"/>
      <c r="B909" s="1756"/>
      <c r="C909" s="1740"/>
      <c r="D909" s="1708"/>
      <c r="E909" s="1738"/>
      <c r="F909" s="1738"/>
      <c r="G909" s="1739"/>
    </row>
    <row r="910" spans="1:9" ht="12.75" customHeight="1">
      <c r="A910" s="1756"/>
      <c r="B910" s="798" t="s">
        <v>2558</v>
      </c>
      <c r="C910" s="1740"/>
      <c r="D910" s="1886" t="s">
        <v>2301</v>
      </c>
      <c r="E910" s="1886"/>
      <c r="F910" s="1886"/>
      <c r="G910" s="1739"/>
    </row>
    <row r="911" spans="1:9" ht="12.75" customHeight="1">
      <c r="A911" s="487"/>
      <c r="B911" s="487"/>
      <c r="C911" s="486"/>
      <c r="D911" s="183"/>
      <c r="E911" s="678"/>
      <c r="F911" s="1739"/>
      <c r="G911" s="1739"/>
    </row>
    <row r="912" spans="1:9" ht="12.75" customHeight="1">
      <c r="A912" s="1752"/>
      <c r="B912" s="798" t="s">
        <v>2621</v>
      </c>
      <c r="C912" s="1753"/>
      <c r="D912" s="1993" t="s">
        <v>2295</v>
      </c>
      <c r="E912" s="1993"/>
      <c r="F912" s="1993"/>
      <c r="G912" s="1754"/>
      <c r="I912" s="1774" t="s">
        <v>2508</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2558</v>
      </c>
      <c r="C922" s="486"/>
      <c r="D922" s="1995" t="s">
        <v>2511</v>
      </c>
      <c r="E922" s="1995"/>
      <c r="F922" s="1995"/>
      <c r="G922" s="1739"/>
      <c r="I922" s="1774" t="s">
        <v>2508</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2621</v>
      </c>
      <c r="C930" s="486"/>
      <c r="D930" s="1921" t="s">
        <v>2509</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2558</v>
      </c>
      <c r="C937" s="1740"/>
      <c r="D937" s="1999" t="s">
        <v>2302</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2558</v>
      </c>
      <c r="C942" s="486"/>
      <c r="D942" s="1993" t="s">
        <v>2510</v>
      </c>
      <c r="E942" s="1993"/>
      <c r="F942" s="1993"/>
      <c r="G942" s="1739"/>
      <c r="I942" s="1774" t="s">
        <v>2508</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2558</v>
      </c>
      <c r="C948" s="556"/>
      <c r="D948" s="1886" t="s">
        <v>2329</v>
      </c>
      <c r="E948" s="1886"/>
      <c r="F948" s="1886"/>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2621</v>
      </c>
      <c r="C951" s="556"/>
      <c r="D951" s="1861" t="s">
        <v>2305</v>
      </c>
      <c r="E951" s="1861"/>
      <c r="F951" s="1861"/>
      <c r="G951" s="677"/>
      <c r="I951" s="1774" t="s">
        <v>2508</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2306</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86" t="s">
        <v>2307</v>
      </c>
      <c r="E970" s="1886"/>
      <c r="F970" s="1886"/>
      <c r="G970" s="678"/>
    </row>
    <row r="971" spans="1:9" ht="12.75" customHeight="1">
      <c r="A971" s="1714"/>
      <c r="B971" s="1714"/>
      <c r="C971" s="1746"/>
      <c r="D971" s="6"/>
      <c r="E971" s="6"/>
      <c r="F971" s="1738"/>
      <c r="G971" s="677"/>
    </row>
    <row r="972" spans="1:9" ht="12.75" customHeight="1">
      <c r="A972" s="1742"/>
      <c r="B972" s="798" t="s">
        <v>2621</v>
      </c>
      <c r="C972" s="556"/>
      <c r="D972" s="1865" t="s">
        <v>2308</v>
      </c>
      <c r="E972" s="1865"/>
      <c r="F972" s="1865"/>
      <c r="G972" s="677"/>
      <c r="I972" s="1774" t="s">
        <v>2486</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2558</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2558</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2558</v>
      </c>
      <c r="C989" s="556"/>
      <c r="D989" s="1886" t="s">
        <v>2311</v>
      </c>
      <c r="E989" s="1886"/>
      <c r="F989" s="1886"/>
      <c r="G989" s="677"/>
    </row>
    <row r="990" spans="1:7" ht="12.75" customHeight="1">
      <c r="A990" s="1742"/>
      <c r="B990" s="1742"/>
      <c r="C990" s="556"/>
      <c r="D990" s="6"/>
      <c r="E990" s="6"/>
      <c r="F990" s="6"/>
      <c r="G990" s="677"/>
    </row>
    <row r="991" spans="1:7" ht="12.75" customHeight="1">
      <c r="A991" s="714"/>
      <c r="B991" s="798" t="s">
        <v>2558</v>
      </c>
      <c r="C991" s="556"/>
      <c r="D991" s="1886" t="s">
        <v>2312</v>
      </c>
      <c r="E991" s="1886"/>
      <c r="F991" s="1886"/>
      <c r="G991" s="677"/>
    </row>
    <row r="992" spans="1:7" ht="12.75" customHeight="1">
      <c r="A992" s="1742"/>
      <c r="B992" s="1742"/>
      <c r="C992" s="556"/>
      <c r="D992" s="1708"/>
      <c r="E992" s="6"/>
      <c r="F992" s="6"/>
      <c r="G992" s="677"/>
    </row>
    <row r="993" spans="1:9" ht="12.75" customHeight="1">
      <c r="A993" s="714"/>
      <c r="B993" s="798" t="s">
        <v>2621</v>
      </c>
      <c r="C993" s="556"/>
      <c r="D993" s="1886" t="s">
        <v>2313</v>
      </c>
      <c r="E993" s="1886"/>
      <c r="F993" s="1886"/>
      <c r="G993" s="677"/>
    </row>
    <row r="994" spans="1:9" ht="12.75" customHeight="1">
      <c r="A994" s="1742"/>
      <c r="B994" s="1742"/>
      <c r="C994" s="556"/>
      <c r="D994" s="1708"/>
      <c r="E994" s="6"/>
      <c r="F994" s="6"/>
      <c r="G994" s="677"/>
    </row>
    <row r="995" spans="1:9" ht="12.75" customHeight="1">
      <c r="A995" s="714"/>
      <c r="B995" s="798" t="s">
        <v>2621</v>
      </c>
      <c r="C995" s="556"/>
      <c r="D995" s="1861" t="s">
        <v>2314</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2558</v>
      </c>
      <c r="C998" s="1759"/>
      <c r="D998" s="1904" t="s">
        <v>2315</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2558</v>
      </c>
      <c r="C1001" s="1759"/>
      <c r="D1001" s="2005" t="s">
        <v>2316</v>
      </c>
      <c r="E1001" s="2005"/>
      <c r="F1001" s="2005"/>
      <c r="G1001" s="1760"/>
    </row>
    <row r="1002" spans="1:9" ht="12.75" customHeight="1">
      <c r="A1002" s="1759"/>
      <c r="B1002" s="1759"/>
      <c r="C1002" s="1759"/>
      <c r="D1002" s="1761"/>
      <c r="E1002" s="1762"/>
      <c r="F1002" s="1762"/>
      <c r="G1002" s="1760"/>
    </row>
    <row r="1003" spans="1:9" ht="12.75" customHeight="1">
      <c r="A1003" s="714"/>
      <c r="B1003" s="798" t="s">
        <v>2558</v>
      </c>
      <c r="C1003" s="556"/>
      <c r="D1003" s="1886" t="s">
        <v>2317</v>
      </c>
      <c r="E1003" s="1886"/>
      <c r="F1003" s="1886"/>
      <c r="G1003" s="678"/>
    </row>
    <row r="1004" spans="1:9" ht="12.75" customHeight="1">
      <c r="A1004" s="714"/>
      <c r="B1004" s="714"/>
      <c r="C1004" s="556"/>
      <c r="D1004" s="1708"/>
      <c r="E1004" s="6"/>
      <c r="F1004" s="6"/>
      <c r="G1004" s="678"/>
    </row>
    <row r="1005" spans="1:9" ht="12.75" customHeight="1">
      <c r="A1005" s="714"/>
      <c r="B1005" s="798" t="s">
        <v>2558</v>
      </c>
      <c r="C1005" s="556"/>
      <c r="D1005" s="1861" t="s">
        <v>2318</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2319</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2320</v>
      </c>
      <c r="E1010" s="1905"/>
      <c r="F1010" s="1905"/>
      <c r="G1010" s="678"/>
    </row>
    <row r="1011" spans="1:9" ht="12.75" customHeight="1">
      <c r="A1011" s="1726"/>
      <c r="B1011" s="1726"/>
      <c r="C1011" s="557"/>
      <c r="D1011" s="2004" t="s">
        <v>2321</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2335</v>
      </c>
      <c r="E1013" s="1905"/>
      <c r="F1013" s="1905"/>
      <c r="G1013" s="678"/>
      <c r="I1013" s="1774" t="s">
        <v>2458</v>
      </c>
    </row>
    <row r="1014" spans="1:9" ht="12.75" customHeight="1">
      <c r="A1014" s="1742"/>
      <c r="B1014" s="798" t="s">
        <v>2621</v>
      </c>
      <c r="C1014" s="556"/>
      <c r="D1014" s="2004" t="s">
        <v>1504</v>
      </c>
      <c r="E1014" s="2004"/>
      <c r="F1014" s="2004"/>
      <c r="G1014" s="678"/>
    </row>
    <row r="1015" spans="1:9" s="1772" customFormat="1" ht="12.75" customHeight="1">
      <c r="A1015" s="1742"/>
      <c r="B1015" s="714"/>
      <c r="C1015" s="556"/>
      <c r="D1015" s="2000" t="s">
        <v>2322</v>
      </c>
      <c r="E1015" s="2000"/>
      <c r="F1015" s="2000"/>
      <c r="G1015" s="678"/>
      <c r="I1015" s="1774"/>
    </row>
    <row r="1016" spans="1:9" ht="12.75" customHeight="1">
      <c r="A1016" s="1742"/>
      <c r="B1016" s="1742"/>
      <c r="C1016" s="556"/>
      <c r="D1016" s="2004"/>
      <c r="E1016" s="2004"/>
      <c r="F1016" s="2004"/>
      <c r="G1016" s="678"/>
    </row>
    <row r="1017" spans="1:9" ht="12.75" customHeight="1">
      <c r="A1017" s="2001" t="s">
        <v>2331</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1505</v>
      </c>
      <c r="E1019" s="1899"/>
      <c r="F1019" s="1899"/>
      <c r="G1019" s="686"/>
    </row>
    <row r="1020" spans="1:9" ht="12.75" customHeight="1">
      <c r="A1020" s="254"/>
      <c r="B1020" s="1775" t="s">
        <v>2621</v>
      </c>
      <c r="C1020" s="1776"/>
      <c r="D1020" s="1878" t="s">
        <v>1504</v>
      </c>
      <c r="E1020" s="1878"/>
      <c r="F1020" s="1878"/>
      <c r="G1020" s="686"/>
    </row>
    <row r="1021" spans="1:9" ht="12.75" customHeight="1">
      <c r="A1021" s="254"/>
      <c r="B1021" s="1772"/>
      <c r="C1021" s="1776"/>
      <c r="D1021" s="1878" t="s">
        <v>2332</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1184</v>
      </c>
      <c r="E1023" s="2002"/>
      <c r="F1023" s="2002"/>
      <c r="G1023" s="686"/>
      <c r="I1023" s="1774" t="s">
        <v>2487</v>
      </c>
    </row>
    <row r="1024" spans="1:9" ht="12.75" customHeight="1">
      <c r="A1024" s="503"/>
      <c r="B1024" s="503"/>
      <c r="C1024" s="502"/>
      <c r="D1024" s="2003" t="s">
        <v>1201</v>
      </c>
      <c r="E1024" s="2003"/>
      <c r="F1024" s="2003"/>
      <c r="G1024" s="1763"/>
    </row>
    <row r="1025" spans="1:9" ht="12.75" customHeight="1">
      <c r="A1025" s="714"/>
      <c r="B1025" s="1775" t="s">
        <v>2558</v>
      </c>
      <c r="C1025" s="557"/>
      <c r="D1025" s="1890" t="s">
        <v>1069</v>
      </c>
      <c r="E1025" s="1890"/>
      <c r="F1025" s="1890"/>
      <c r="G1025" s="678"/>
    </row>
    <row r="1026" spans="1:9" ht="12.75" customHeight="1">
      <c r="A1026" s="1726"/>
      <c r="B1026" s="1726"/>
      <c r="C1026" s="557"/>
      <c r="D1026" s="6"/>
      <c r="E1026" s="1977" t="s">
        <v>1185</v>
      </c>
      <c r="F1026" s="1977"/>
      <c r="G1026" s="678"/>
    </row>
    <row r="1027" spans="1:9">
      <c r="A1027" s="790"/>
      <c r="B1027" s="790"/>
      <c r="C1027" s="790"/>
      <c r="D1027" s="790"/>
      <c r="E1027" s="790"/>
      <c r="F1027" s="790"/>
      <c r="G1027" s="790"/>
    </row>
    <row r="1028" spans="1:9">
      <c r="A1028" s="2001" t="s">
        <v>2352</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2558</v>
      </c>
      <c r="C1033" s="790"/>
      <c r="D1033" s="2008" t="s">
        <v>2336</v>
      </c>
      <c r="E1033" s="2008"/>
      <c r="F1033" s="2008"/>
      <c r="G1033" s="790"/>
      <c r="I1033" s="1774" t="s">
        <v>2459</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2558</v>
      </c>
      <c r="C1043" s="790"/>
      <c r="D1043" s="2008" t="s">
        <v>2340</v>
      </c>
      <c r="E1043" s="2008"/>
      <c r="F1043" s="2008"/>
      <c r="G1043" s="790"/>
      <c r="I1043" s="1774" t="s">
        <v>2461</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2341</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2558</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2558</v>
      </c>
      <c r="C1058" s="790"/>
      <c r="D1058" s="1766" t="s">
        <v>2350</v>
      </c>
      <c r="E1058" s="1771"/>
      <c r="F1058" s="790"/>
      <c r="G1058" s="790"/>
      <c r="I1058" s="1774" t="s">
        <v>2464</v>
      </c>
    </row>
    <row r="1059" spans="1:9" s="1772" customFormat="1">
      <c r="D1059" s="2009" t="s">
        <v>2351</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2558</v>
      </c>
      <c r="C1066" s="790"/>
      <c r="D1066" s="2006" t="s">
        <v>2343</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1" t="s">
        <v>2353</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2558</v>
      </c>
      <c r="C1076" s="790"/>
      <c r="D1076" s="2006" t="s">
        <v>2354</v>
      </c>
      <c r="E1076" s="2006"/>
      <c r="F1076" s="2006"/>
      <c r="G1076" s="790"/>
      <c r="I1076" s="1774" t="s">
        <v>2466</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2558</v>
      </c>
      <c r="C1080" s="790"/>
      <c r="D1080" s="2006" t="s">
        <v>2355</v>
      </c>
      <c r="E1080" s="2006"/>
      <c r="F1080" s="2006"/>
      <c r="G1080" s="790"/>
      <c r="I1080" s="1774" t="s">
        <v>2467</v>
      </c>
    </row>
    <row r="1081" spans="1:9" s="1772" customFormat="1">
      <c r="D1081" s="2006"/>
      <c r="E1081" s="2006"/>
      <c r="F1081" s="2006"/>
      <c r="I1081" s="1774"/>
    </row>
    <row r="1082" spans="1:9" s="1772" customFormat="1">
      <c r="D1082" s="1767"/>
      <c r="I1082" s="1774"/>
    </row>
    <row r="1083" spans="1:9">
      <c r="A1083" s="790"/>
      <c r="B1083" s="1775" t="s">
        <v>2558</v>
      </c>
      <c r="C1083" s="790"/>
      <c r="D1083" s="2006" t="s">
        <v>2514</v>
      </c>
      <c r="E1083" s="2006"/>
      <c r="F1083" s="2006"/>
      <c r="G1083" s="790"/>
      <c r="I1083" s="1774" t="s">
        <v>2512</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2513</v>
      </c>
    </row>
    <row r="1090" spans="1:9">
      <c r="A1090" s="790"/>
      <c r="B1090" s="1775" t="s">
        <v>2558</v>
      </c>
      <c r="C1090" s="790"/>
      <c r="D1090" s="2006" t="s">
        <v>2356</v>
      </c>
      <c r="E1090" s="2006"/>
      <c r="F1090" s="2006"/>
      <c r="G1090" s="790"/>
      <c r="I1090" s="1837" t="s">
        <v>2468</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2621</v>
      </c>
      <c r="C1094" s="790"/>
      <c r="D1094" s="2007" t="s">
        <v>2515</v>
      </c>
      <c r="E1094" s="2007"/>
      <c r="F1094" s="2007"/>
      <c r="G1094" s="790"/>
      <c r="I1094" s="1774" t="s">
        <v>2469</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2558</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89" t="s">
        <v>105</v>
      </c>
      <c r="B8" s="2389"/>
      <c r="C8" s="2389"/>
      <c r="D8" s="2389"/>
      <c r="E8" s="2389"/>
      <c r="F8" s="2389"/>
      <c r="G8" s="2389"/>
      <c r="H8" s="2389"/>
      <c r="I8" s="2389"/>
      <c r="J8" s="2389"/>
      <c r="K8" s="2389"/>
      <c r="L8" s="2389"/>
      <c r="M8" s="2389"/>
      <c r="N8" s="2389"/>
      <c r="O8" s="2389"/>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1571"/>
      <c r="AN8" s="1571"/>
      <c r="AO8" s="1571"/>
      <c r="AP8" s="1571"/>
      <c r="AQ8" s="1571"/>
      <c r="AR8" s="1571"/>
      <c r="AS8" s="1571"/>
      <c r="AT8" s="1571"/>
      <c r="AU8" s="1571"/>
      <c r="AV8" s="1571"/>
      <c r="AW8" s="1571"/>
      <c r="AX8" s="1571"/>
      <c r="AY8" s="1571"/>
    </row>
    <row r="9" spans="1:96" s="719" customFormat="1" ht="12.75">
      <c r="A9" s="2093" t="s">
        <v>1990</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10"/>
      <c r="AN9" s="1510"/>
      <c r="AO9" s="1510"/>
      <c r="AP9" s="1510"/>
      <c r="AQ9" s="1510"/>
      <c r="AR9" s="1510"/>
      <c r="AS9" s="1510"/>
      <c r="AT9" s="1510"/>
      <c r="AU9" s="1510"/>
      <c r="AV9" s="1510"/>
      <c r="AW9" s="1510"/>
      <c r="AX9" s="1510"/>
      <c r="AY9" s="1510"/>
      <c r="CR9" s="25"/>
    </row>
    <row r="10" spans="1:96" ht="15" customHeight="1">
      <c r="A10" s="2231" t="s">
        <v>1991</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 customHeight="1">
      <c r="A11" s="2093" t="s">
        <v>2011</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10"/>
      <c r="AN11" s="1510"/>
      <c r="AO11" s="1510"/>
      <c r="AP11" s="1510"/>
      <c r="AQ11" s="1510"/>
      <c r="AR11" s="1510"/>
      <c r="AS11" s="1510"/>
      <c r="AT11" s="1510"/>
      <c r="AU11" s="1510"/>
      <c r="AV11" s="1510"/>
      <c r="AW11" s="1510"/>
      <c r="AX11" s="1510"/>
      <c r="AY11" s="1510"/>
    </row>
    <row r="12" spans="1:96" ht="12.75">
      <c r="A12" s="2204" t="s">
        <v>2519</v>
      </c>
      <c r="B12" s="2205"/>
      <c r="C12" s="2205"/>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2205"/>
      <c r="AM12" s="1516"/>
      <c r="AN12" s="1516"/>
      <c r="AO12" s="1516"/>
      <c r="AP12" s="1516"/>
      <c r="AQ12" s="1516"/>
      <c r="AR12" s="1516"/>
      <c r="AS12" s="1516"/>
      <c r="AT12" s="1516"/>
      <c r="AU12" s="1516"/>
      <c r="AV12" s="1516"/>
      <c r="AW12" s="1516"/>
      <c r="AX12" s="1516"/>
      <c r="AY12" s="1516"/>
    </row>
    <row r="13" spans="1:96" ht="12.75">
      <c r="A13" s="1873" t="s">
        <v>1385</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1" t="s">
        <v>2550</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213" t="s">
        <v>2520</v>
      </c>
      <c r="I18" s="2214"/>
      <c r="J18" s="2214"/>
      <c r="K18" s="2214"/>
      <c r="L18" s="2214"/>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row>
    <row r="19" spans="1:96" ht="12.75" customHeight="1"/>
    <row r="20" spans="1:96" ht="14.25" customHeight="1">
      <c r="A20" s="2233" t="s">
        <v>935</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4"/>
      <c r="AN20" s="1574"/>
      <c r="AO20" s="1574"/>
      <c r="AP20" s="1574"/>
      <c r="AQ20" s="1574"/>
      <c r="AR20" s="1574"/>
      <c r="AS20" s="1574"/>
      <c r="AT20" s="1574"/>
      <c r="AU20" s="1574"/>
      <c r="AV20" s="1574"/>
      <c r="AW20" s="1574"/>
      <c r="AX20" s="1574"/>
      <c r="AY20" s="1574"/>
    </row>
    <row r="21" spans="1:96" ht="12.75" customHeight="1">
      <c r="A21" s="2212" t="s">
        <v>1115</v>
      </c>
      <c r="B21" s="2212"/>
      <c r="C21" s="2212"/>
      <c r="D21" s="2212"/>
      <c r="E21" s="2212"/>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9">
        <f>'Basis &amp; Credits'!AB56</f>
        <v>4756876</v>
      </c>
      <c r="N26" s="2209"/>
      <c r="O26" s="2209"/>
      <c r="P26" s="2209"/>
      <c r="Q26" s="220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9">
        <f>'Basis &amp; Credits'!AB77</f>
        <v>2842825</v>
      </c>
      <c r="N27" s="2159"/>
      <c r="O27" s="2159"/>
      <c r="P27" s="2159"/>
      <c r="Q27" s="215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29" t="s">
        <v>705</v>
      </c>
      <c r="P33" s="202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6"/>
      <c r="H122" s="2206"/>
      <c r="I122" s="239" t="s">
        <v>187</v>
      </c>
      <c r="L122" s="2206"/>
      <c r="M122" s="2206"/>
      <c r="N122" s="220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5"/>
      <c r="D124" s="2215"/>
      <c r="E124" s="2215"/>
      <c r="F124" s="2215"/>
      <c r="G124" s="2215"/>
      <c r="H124" s="2215"/>
      <c r="I124" s="2215"/>
      <c r="J124" s="2215"/>
      <c r="K124" s="221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06"/>
      <c r="Z126" s="2206"/>
      <c r="AA126" s="2206"/>
      <c r="AB126" s="2206"/>
      <c r="AC126" s="2206"/>
      <c r="AD126" s="2206"/>
      <c r="AE126" s="2206"/>
      <c r="AF126" s="2206"/>
      <c r="AG126" s="2206"/>
      <c r="AH126" s="2206"/>
      <c r="AI126" s="2206"/>
      <c r="AJ126" s="2206"/>
      <c r="AK126" s="220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07" t="s">
        <v>2548</v>
      </c>
      <c r="Z129" s="2207"/>
      <c r="AA129" s="2207"/>
      <c r="AB129" s="2207"/>
      <c r="AC129" s="2207"/>
      <c r="AD129" s="2207"/>
      <c r="AE129" s="2207"/>
      <c r="AF129" s="2207"/>
      <c r="AG129" s="2207"/>
      <c r="AH129" s="2207"/>
      <c r="AI129" s="2207"/>
      <c r="AJ129" s="2207"/>
      <c r="AK129" s="220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07" t="s">
        <v>2597</v>
      </c>
      <c r="Z132" s="2207"/>
      <c r="AA132" s="2207"/>
      <c r="AB132" s="2207"/>
      <c r="AC132" s="2207"/>
      <c r="AD132" s="2207"/>
      <c r="AE132" s="2207"/>
      <c r="AF132" s="2207"/>
      <c r="AG132" s="2207"/>
      <c r="AH132" s="2207"/>
      <c r="AI132" s="2207"/>
      <c r="AJ132" s="2207"/>
      <c r="AK132" s="22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7"/>
      <c r="G150" s="2137"/>
      <c r="H150" s="2137"/>
      <c r="I150" s="2137"/>
      <c r="J150" s="2137"/>
      <c r="K150" s="2137"/>
      <c r="L150" s="2137"/>
      <c r="M150" s="2137"/>
      <c r="N150" s="2137"/>
      <c r="O150" s="2137"/>
      <c r="P150" s="2137"/>
      <c r="Q150" s="2137"/>
      <c r="R150" s="2137"/>
      <c r="S150" s="2137"/>
      <c r="T150" s="213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3" t="s">
        <v>2540</v>
      </c>
      <c r="P153" s="2214"/>
      <c r="Q153" s="2214"/>
      <c r="R153" s="2214"/>
      <c r="S153" s="2214"/>
      <c r="T153" s="2214"/>
      <c r="U153" s="2214"/>
      <c r="V153" s="2214"/>
      <c r="W153" s="2214"/>
      <c r="X153" s="2214"/>
      <c r="Y153" s="2214"/>
      <c r="Z153" s="2214"/>
      <c r="AA153" s="2214"/>
      <c r="AB153" s="2214"/>
      <c r="AC153" s="2214"/>
      <c r="AD153" s="2214"/>
      <c r="AE153" s="2214"/>
      <c r="AF153" s="2214"/>
      <c r="AG153" s="2214"/>
      <c r="AH153" s="2214"/>
    </row>
    <row r="154" spans="1:96" ht="12.75" customHeight="1">
      <c r="D154" s="466" t="s">
        <v>462</v>
      </c>
      <c r="F154" s="32"/>
      <c r="G154" s="32"/>
      <c r="H154" s="32"/>
      <c r="I154" s="32"/>
      <c r="J154" s="32"/>
      <c r="K154" s="32"/>
      <c r="L154" s="32"/>
      <c r="M154" s="32"/>
      <c r="N154" s="32"/>
      <c r="O154" s="2091" t="s">
        <v>2616</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2.75">
      <c r="D155" s="13" t="s">
        <v>463</v>
      </c>
      <c r="F155" s="13"/>
      <c r="G155" s="13"/>
      <c r="H155" s="13"/>
      <c r="I155" s="13"/>
      <c r="J155" s="13"/>
      <c r="K155" s="13"/>
      <c r="L155" s="13"/>
      <c r="M155" s="13"/>
      <c r="N155" s="13"/>
      <c r="O155" s="2234" t="s">
        <v>2617</v>
      </c>
      <c r="P155" s="2235"/>
      <c r="Q155" s="2235"/>
      <c r="R155" s="2235"/>
      <c r="S155" s="2235"/>
      <c r="T155" s="2235"/>
      <c r="U155" s="2235"/>
      <c r="V155" s="2235"/>
      <c r="W155" s="2235"/>
      <c r="X155" s="2235"/>
      <c r="Y155" s="2235"/>
      <c r="Z155" s="2235"/>
      <c r="AA155" s="2235"/>
      <c r="AB155" s="2235"/>
      <c r="AC155" s="2235"/>
      <c r="AD155" s="2235"/>
      <c r="AE155" s="2235"/>
      <c r="AF155" s="2235"/>
      <c r="AG155" s="2235"/>
      <c r="AH155" s="2235"/>
      <c r="AZ155" s="25"/>
    </row>
    <row r="156" spans="1:96" ht="12.75">
      <c r="D156" s="32" t="s">
        <v>322</v>
      </c>
      <c r="F156" s="32"/>
      <c r="G156" s="32"/>
      <c r="H156" s="32"/>
      <c r="I156" s="32"/>
      <c r="J156" s="32"/>
      <c r="K156" s="32"/>
      <c r="L156" s="32"/>
      <c r="M156" s="32"/>
      <c r="N156" s="32"/>
      <c r="O156" s="2039" t="s">
        <v>2541</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2.75">
      <c r="D157" s="32" t="s">
        <v>323</v>
      </c>
      <c r="F157" s="32"/>
      <c r="G157" s="32"/>
      <c r="H157" s="32"/>
      <c r="I157" s="32"/>
      <c r="J157" s="32"/>
      <c r="K157" s="32"/>
      <c r="L157" s="32"/>
      <c r="M157" s="32"/>
      <c r="N157" s="32"/>
      <c r="O157" s="2213" t="s">
        <v>2542</v>
      </c>
      <c r="P157" s="2214"/>
      <c r="Q157" s="2214"/>
      <c r="R157" s="2214"/>
      <c r="S157" s="2214"/>
      <c r="T157" s="2214"/>
      <c r="U157" s="2214"/>
      <c r="V157" s="2214"/>
      <c r="W157" s="2214"/>
      <c r="X157" s="2214"/>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51">
        <v>95667</v>
      </c>
      <c r="P158" s="2251"/>
      <c r="Q158" s="2251"/>
      <c r="R158" s="2251"/>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16">
        <v>9166255161</v>
      </c>
      <c r="P159" s="2216"/>
      <c r="Q159" s="2216"/>
      <c r="R159" s="2216"/>
      <c r="S159" s="2216"/>
      <c r="T159" s="2216"/>
      <c r="V159" s="146" t="s">
        <v>277</v>
      </c>
      <c r="W159" s="2252"/>
      <c r="X159" s="2252"/>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16">
        <v>9166255592</v>
      </c>
      <c r="P160" s="2216"/>
      <c r="Q160" s="2216"/>
      <c r="R160" s="2216"/>
      <c r="S160" s="2216"/>
      <c r="T160" s="2216"/>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8" t="s">
        <v>2543</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17" t="s">
        <v>1455</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4" t="s">
        <v>571</v>
      </c>
      <c r="B169" s="2054"/>
      <c r="C169" s="2054"/>
      <c r="D169" s="2054"/>
      <c r="E169" s="2054"/>
      <c r="F169" s="2054"/>
      <c r="G169" s="2054"/>
      <c r="H169" s="2054"/>
      <c r="I169" s="2054"/>
      <c r="J169" s="2054"/>
      <c r="K169" s="2054"/>
      <c r="L169" s="2054"/>
      <c r="M169" s="2054"/>
      <c r="N169" s="2054"/>
      <c r="O169" s="2054"/>
      <c r="P169" s="2054"/>
      <c r="Q169" s="2054"/>
      <c r="R169" s="2054"/>
      <c r="S169" s="2054"/>
      <c r="T169" s="2054"/>
      <c r="U169" s="2054"/>
      <c r="V169" s="2054"/>
      <c r="W169" s="2054"/>
      <c r="X169" s="2054"/>
      <c r="Y169" s="2054"/>
      <c r="Z169" s="2054"/>
      <c r="AA169" s="2054"/>
      <c r="AB169" s="2054"/>
      <c r="AC169" s="2054"/>
      <c r="AD169" s="2054"/>
      <c r="AE169" s="2054"/>
      <c r="AF169" s="2054"/>
      <c r="AG169" s="2054"/>
      <c r="AH169" s="2054"/>
      <c r="AI169" s="2054"/>
      <c r="AJ169" s="2054"/>
      <c r="AK169" s="2054"/>
      <c r="AL169" s="2054"/>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55"/>
      <c r="B170" s="2055"/>
      <c r="C170" s="2055"/>
      <c r="D170" s="2055"/>
      <c r="E170" s="2055"/>
      <c r="F170" s="2055"/>
      <c r="G170" s="2055"/>
      <c r="H170" s="2055"/>
      <c r="I170" s="2055"/>
      <c r="J170" s="2055"/>
      <c r="K170" s="2055"/>
      <c r="L170" s="2055"/>
      <c r="M170" s="2055"/>
      <c r="N170" s="2055"/>
      <c r="O170" s="2055"/>
      <c r="P170" s="2055"/>
      <c r="Q170" s="2055"/>
      <c r="R170" s="2055"/>
      <c r="S170" s="2055"/>
      <c r="T170" s="2055"/>
      <c r="U170" s="2055"/>
      <c r="V170" s="2055"/>
      <c r="W170" s="2055"/>
      <c r="X170" s="2055"/>
      <c r="Y170" s="2055"/>
      <c r="Z170" s="2055"/>
      <c r="AA170" s="2055"/>
      <c r="AB170" s="2055"/>
      <c r="AC170" s="2055"/>
      <c r="AD170" s="2055"/>
      <c r="AE170" s="2055"/>
      <c r="AF170" s="2055"/>
      <c r="AG170" s="2055"/>
      <c r="AH170" s="2055"/>
      <c r="AI170" s="2055"/>
      <c r="AJ170" s="2055"/>
      <c r="AK170" s="2055"/>
      <c r="AL170" s="2055"/>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24" t="s">
        <v>389</v>
      </c>
      <c r="K173" s="2224"/>
      <c r="L173" s="2224"/>
      <c r="M173" s="2224"/>
      <c r="N173" s="2224"/>
      <c r="O173" s="2224"/>
      <c r="P173" s="2224"/>
      <c r="Q173" s="2224"/>
      <c r="R173" s="2224"/>
      <c r="S173" s="222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39" t="s">
        <v>2521</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29" t="s">
        <v>705</v>
      </c>
      <c r="V175" s="202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85"/>
      <c r="V176" s="2085"/>
      <c r="W176" s="4" t="s">
        <v>315</v>
      </c>
      <c r="X176" s="2228"/>
      <c r="Y176" s="222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29"/>
      <c r="S177" s="202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6"/>
      <c r="AG178" s="2396"/>
      <c r="AH178" s="4" t="s">
        <v>315</v>
      </c>
      <c r="AI178" s="2194"/>
      <c r="AJ178" s="2194"/>
      <c r="AK178" s="219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29" t="s">
        <v>705</v>
      </c>
      <c r="Y180" s="202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127" t="str">
        <f>H18</f>
        <v>Terracina at Whitney Ranch</v>
      </c>
      <c r="J184" s="2127"/>
      <c r="K184" s="2127"/>
      <c r="L184" s="2127"/>
      <c r="M184" s="2127"/>
      <c r="N184" s="2127"/>
      <c r="O184" s="2127"/>
      <c r="P184" s="2127"/>
      <c r="Q184" s="2127"/>
      <c r="R184" s="2127"/>
      <c r="S184" s="2127"/>
      <c r="T184" s="2127"/>
      <c r="U184" s="2127"/>
      <c r="V184" s="2127"/>
      <c r="W184" s="2127"/>
      <c r="X184" s="2127"/>
      <c r="Y184" s="2127"/>
      <c r="Z184" s="2127"/>
      <c r="AA184" s="2127"/>
      <c r="AB184" s="2127"/>
      <c r="AC184" s="2127"/>
      <c r="AD184" s="2127"/>
      <c r="AE184" s="2127"/>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91"/>
      <c r="J185" s="2063"/>
      <c r="K185" s="2063"/>
      <c r="L185" s="2063"/>
      <c r="M185" s="2063"/>
      <c r="N185" s="2063"/>
      <c r="O185" s="2063"/>
      <c r="P185" s="2063"/>
      <c r="Q185" s="2063"/>
      <c r="R185" s="2063"/>
      <c r="S185" s="2063"/>
      <c r="T185" s="2063"/>
      <c r="U185" s="2063"/>
      <c r="V185" s="2063"/>
      <c r="W185" s="2063"/>
      <c r="X185" s="2063"/>
      <c r="Y185" s="2063"/>
      <c r="Z185" s="2063"/>
      <c r="AA185" s="2063"/>
      <c r="AB185" s="2063"/>
      <c r="AC185" s="2063"/>
      <c r="AD185" s="2063"/>
      <c r="AE185" s="206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13" t="s">
        <v>2648</v>
      </c>
      <c r="F187" s="2013"/>
      <c r="G187" s="2013"/>
      <c r="H187" s="2013"/>
      <c r="I187" s="2013"/>
      <c r="J187" s="2013"/>
      <c r="K187" s="2013"/>
      <c r="L187" s="2013"/>
      <c r="M187" s="2013"/>
      <c r="N187" s="2013"/>
      <c r="O187" s="2013"/>
      <c r="P187" s="2013"/>
      <c r="Q187" s="2013"/>
      <c r="R187" s="2013"/>
      <c r="S187" s="2013"/>
      <c r="T187" s="2013"/>
      <c r="U187" s="2013"/>
      <c r="V187" s="2013"/>
      <c r="W187" s="2013"/>
      <c r="X187" s="2013"/>
      <c r="Y187" s="2013"/>
      <c r="Z187" s="2013"/>
      <c r="AA187" s="2013"/>
      <c r="AB187" s="2013"/>
      <c r="AC187" s="2013"/>
      <c r="AD187" s="2013"/>
      <c r="AE187" s="201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14"/>
      <c r="F188" s="2014"/>
      <c r="G188" s="2014"/>
      <c r="H188" s="2014"/>
      <c r="I188" s="2014"/>
      <c r="J188" s="2014"/>
      <c r="K188" s="2014"/>
      <c r="L188" s="2014"/>
      <c r="M188" s="2014"/>
      <c r="N188" s="2014"/>
      <c r="O188" s="2014"/>
      <c r="P188" s="2014"/>
      <c r="Q188" s="2014"/>
      <c r="R188" s="2014"/>
      <c r="S188" s="2014"/>
      <c r="T188" s="2014"/>
      <c r="U188" s="2014"/>
      <c r="V188" s="2014"/>
      <c r="W188" s="2014"/>
      <c r="X188" s="2014"/>
      <c r="Y188" s="2014"/>
      <c r="Z188" s="2014"/>
      <c r="AA188" s="2014"/>
      <c r="AB188" s="2014"/>
      <c r="AC188" s="2014"/>
      <c r="AD188" s="2014"/>
      <c r="AE188" s="201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39" t="s">
        <v>2542</v>
      </c>
      <c r="J189" s="2039"/>
      <c r="K189" s="2039"/>
      <c r="L189" s="2039"/>
      <c r="M189" s="2039"/>
      <c r="N189" s="2039"/>
      <c r="O189" s="2039"/>
      <c r="P189" s="2039"/>
      <c r="Q189" s="25" t="s">
        <v>616</v>
      </c>
      <c r="T189" s="2039" t="s">
        <v>68</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63">
        <v>95765</v>
      </c>
      <c r="J190" s="2063"/>
      <c r="K190" s="2063"/>
      <c r="L190" s="2063"/>
      <c r="M190" s="2063"/>
      <c r="N190" s="2063"/>
      <c r="O190" s="25" t="s">
        <v>619</v>
      </c>
      <c r="P190" s="25"/>
      <c r="Q190" s="25"/>
      <c r="R190" s="25"/>
      <c r="S190" s="25"/>
      <c r="T190" s="2255">
        <v>213.09</v>
      </c>
      <c r="U190" s="2255"/>
      <c r="V190" s="2255"/>
      <c r="W190" s="2255"/>
      <c r="X190" s="2255"/>
      <c r="Y190" s="2255"/>
      <c r="Z190" s="2255"/>
      <c r="AA190" s="2255"/>
      <c r="AB190" s="2255"/>
      <c r="AC190" s="2255"/>
      <c r="AD190" s="2255"/>
      <c r="AE190" s="225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13" t="s">
        <v>2544</v>
      </c>
      <c r="O191" s="2013"/>
      <c r="P191" s="2013"/>
      <c r="Q191" s="2013"/>
      <c r="R191" s="2013"/>
      <c r="S191" s="2013"/>
      <c r="T191" s="2013"/>
      <c r="U191" s="2013"/>
      <c r="V191" s="2013"/>
      <c r="W191" s="2013"/>
      <c r="X191" s="2013"/>
      <c r="Y191" s="2013"/>
      <c r="Z191" s="2013"/>
      <c r="AA191" s="2013"/>
      <c r="AB191" s="2013"/>
      <c r="AC191" s="2013"/>
      <c r="AD191" s="2013"/>
      <c r="AE191" s="201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14"/>
      <c r="O192" s="2014"/>
      <c r="P192" s="2014"/>
      <c r="Q192" s="2014"/>
      <c r="R192" s="2014"/>
      <c r="S192" s="2014"/>
      <c r="T192" s="2014"/>
      <c r="U192" s="2014"/>
      <c r="V192" s="2014"/>
      <c r="W192" s="2014"/>
      <c r="X192" s="2014"/>
      <c r="Y192" s="2014"/>
      <c r="Z192" s="2014"/>
      <c r="AA192" s="2014"/>
      <c r="AB192" s="2014"/>
      <c r="AC192" s="2014"/>
      <c r="AD192" s="2014"/>
      <c r="AE192" s="201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0"/>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29" t="s">
        <v>577</v>
      </c>
      <c r="U194" s="2029"/>
      <c r="W194" s="25" t="s">
        <v>721</v>
      </c>
      <c r="X194" s="25"/>
      <c r="Y194" s="25"/>
      <c r="Z194" s="25"/>
      <c r="AA194" s="25"/>
      <c r="AB194" s="25"/>
      <c r="AC194" s="25"/>
      <c r="AD194" s="25"/>
      <c r="AE194" s="25"/>
      <c r="AF194" s="25"/>
      <c r="AG194" s="25"/>
      <c r="AH194" s="2029">
        <v>4</v>
      </c>
      <c r="AI194" s="202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9" t="s">
        <v>705</v>
      </c>
      <c r="U195" s="2069"/>
      <c r="V195" s="12"/>
      <c r="W195" s="25" t="s">
        <v>722</v>
      </c>
      <c r="X195" s="25"/>
      <c r="Y195" s="25"/>
      <c r="Z195" s="25"/>
      <c r="AA195" s="25"/>
      <c r="AB195" s="25"/>
      <c r="AC195" s="25"/>
      <c r="AD195" s="25"/>
      <c r="AE195" s="25"/>
      <c r="AF195" s="25"/>
      <c r="AG195" s="25"/>
      <c r="AH195" s="2029">
        <v>6</v>
      </c>
      <c r="AI195" s="2029"/>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9" t="s">
        <v>705</v>
      </c>
      <c r="U196" s="2069"/>
      <c r="W196" s="25" t="s">
        <v>723</v>
      </c>
      <c r="X196" s="25"/>
      <c r="Y196" s="25"/>
      <c r="Z196" s="25"/>
      <c r="AA196" s="25"/>
      <c r="AB196" s="25"/>
      <c r="AC196" s="25"/>
      <c r="AD196" s="25"/>
      <c r="AE196" s="25"/>
      <c r="AF196" s="25"/>
      <c r="AG196" s="25"/>
      <c r="AH196" s="2029">
        <v>1</v>
      </c>
      <c r="AI196" s="202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9"/>
      <c r="U197" s="206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9" t="s">
        <v>705</v>
      </c>
      <c r="Z198" s="202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127" t="s">
        <v>403</v>
      </c>
      <c r="E203" s="2127"/>
      <c r="F203" s="2127"/>
      <c r="G203" s="2127"/>
      <c r="H203" s="2127"/>
      <c r="I203" s="2127"/>
      <c r="J203" s="2127"/>
      <c r="K203" s="2127"/>
      <c r="L203" s="2127"/>
      <c r="M203" s="2127"/>
      <c r="P203" s="2232">
        <f>M26</f>
        <v>4756876</v>
      </c>
      <c r="Q203" s="2227"/>
      <c r="R203" s="2227"/>
      <c r="S203" s="2227"/>
      <c r="T203" s="2227"/>
      <c r="U203" s="2227"/>
      <c r="V203" s="25"/>
      <c r="W203" s="25"/>
      <c r="X203" s="25"/>
      <c r="Y203" s="25"/>
      <c r="Z203" s="2225" t="s">
        <v>2642</v>
      </c>
      <c r="AA203" s="2225"/>
      <c r="AB203" s="2225"/>
      <c r="AC203" s="2225"/>
      <c r="AD203" s="2225"/>
      <c r="AE203" s="2225"/>
      <c r="AF203" s="222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30" t="s">
        <v>1476</v>
      </c>
      <c r="E204" s="2127"/>
      <c r="F204" s="2127"/>
      <c r="G204" s="2127"/>
      <c r="H204" s="2127"/>
      <c r="I204" s="2127"/>
      <c r="J204" s="2127"/>
      <c r="K204" s="2127"/>
      <c r="L204" s="2127"/>
      <c r="M204" s="2127"/>
      <c r="P204" s="2227">
        <f>M27</f>
        <v>2842825</v>
      </c>
      <c r="Q204" s="2227"/>
      <c r="R204" s="2227"/>
      <c r="S204" s="2227"/>
      <c r="T204" s="2227"/>
      <c r="U204" s="2227"/>
      <c r="V204" s="47"/>
      <c r="W204" s="58" t="s">
        <v>2218</v>
      </c>
      <c r="Z204" s="2225"/>
      <c r="AA204" s="2225"/>
      <c r="AB204" s="2225"/>
      <c r="AC204" s="2225"/>
      <c r="AD204" s="2225"/>
      <c r="AE204" s="2225"/>
      <c r="AF204" s="2225"/>
      <c r="AG204" s="25" t="s">
        <v>1477</v>
      </c>
      <c r="AH204" s="25"/>
      <c r="AI204" s="25"/>
      <c r="AJ204" s="25"/>
      <c r="AK204" s="25"/>
      <c r="AL204" s="25"/>
      <c r="AM204" s="25"/>
      <c r="AN204" s="25"/>
      <c r="AO204" s="25"/>
      <c r="AP204" s="2029" t="s">
        <v>705</v>
      </c>
      <c r="AQ204" s="2029"/>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6"/>
      <c r="AA205" s="2226"/>
      <c r="AB205" s="2226"/>
      <c r="AC205" s="2226"/>
      <c r="AD205" s="2226"/>
      <c r="AE205" s="2226"/>
      <c r="AF205" s="2226"/>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14" t="s">
        <v>2522</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14" t="s">
        <v>1154</v>
      </c>
      <c r="E210" s="2214"/>
      <c r="F210" s="2214"/>
      <c r="G210" s="2214"/>
      <c r="H210" s="2214"/>
      <c r="I210" s="2214"/>
      <c r="J210" s="2214"/>
      <c r="K210" s="2214"/>
      <c r="L210" s="2214"/>
      <c r="M210" s="221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9"/>
      <c r="Z211" s="202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4" t="s">
        <v>625</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33"/>
      <c r="AC214" s="2033"/>
      <c r="AD214" s="2033"/>
      <c r="AE214" s="2033"/>
      <c r="AF214" s="2033"/>
      <c r="AG214" s="2033"/>
      <c r="AH214" s="2033"/>
      <c r="AI214" s="2033"/>
      <c r="AJ214" s="2033"/>
      <c r="AK214" s="2033"/>
      <c r="AL214" s="2033"/>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33"/>
      <c r="AC215" s="2033"/>
      <c r="AD215" s="2033"/>
      <c r="AE215" s="2033"/>
      <c r="AF215" s="2033"/>
      <c r="AG215" s="2033"/>
      <c r="AH215" s="2033"/>
      <c r="AI215" s="2033"/>
      <c r="AJ215" s="2033"/>
      <c r="AK215" s="2033"/>
      <c r="AL215" s="203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4" t="s">
        <v>1182</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54" t="s">
        <v>572</v>
      </c>
      <c r="B221" s="2054"/>
      <c r="C221" s="2054"/>
      <c r="D221" s="2054"/>
      <c r="E221" s="2054"/>
      <c r="F221" s="2054"/>
      <c r="G221" s="2054"/>
      <c r="H221" s="2054"/>
      <c r="I221" s="2054"/>
      <c r="J221" s="2054"/>
      <c r="K221" s="2054"/>
      <c r="L221" s="2054"/>
      <c r="M221" s="2054"/>
      <c r="N221" s="2054"/>
      <c r="O221" s="2054"/>
      <c r="P221" s="2054"/>
      <c r="Q221" s="2054"/>
      <c r="R221" s="2054"/>
      <c r="S221" s="2054"/>
      <c r="T221" s="2054"/>
      <c r="U221" s="2054"/>
      <c r="V221" s="2054"/>
      <c r="W221" s="2054"/>
      <c r="X221" s="2054"/>
      <c r="Y221" s="2054"/>
      <c r="Z221" s="2054"/>
      <c r="AA221" s="2054"/>
      <c r="AB221" s="2054"/>
      <c r="AC221" s="2054"/>
      <c r="AD221" s="2054"/>
      <c r="AE221" s="2054"/>
      <c r="AF221" s="2054"/>
      <c r="AG221" s="2054"/>
      <c r="AH221" s="2054"/>
      <c r="AI221" s="2054"/>
      <c r="AJ221" s="2054"/>
      <c r="AK221" s="2054"/>
      <c r="AL221" s="2054"/>
      <c r="AM221" s="144"/>
      <c r="AN221" s="144"/>
      <c r="AO221" s="144"/>
      <c r="AP221" s="144"/>
      <c r="AQ221" s="144"/>
      <c r="AR221" s="144"/>
      <c r="AS221" s="144"/>
      <c r="AT221" s="144"/>
      <c r="AU221" s="144"/>
      <c r="AV221" s="144"/>
      <c r="AW221" s="144"/>
      <c r="AX221" s="144"/>
      <c r="AY221" s="144"/>
      <c r="BA221" s="58"/>
    </row>
    <row r="222" spans="1:96" ht="13.5" thickBot="1">
      <c r="A222" s="2055"/>
      <c r="B222" s="2055"/>
      <c r="C222" s="2055"/>
      <c r="D222" s="2055"/>
      <c r="E222" s="2055"/>
      <c r="F222" s="2055"/>
      <c r="G222" s="2055"/>
      <c r="H222" s="2055"/>
      <c r="I222" s="2055"/>
      <c r="J222" s="2055"/>
      <c r="K222" s="2055"/>
      <c r="L222" s="2055"/>
      <c r="M222" s="2055"/>
      <c r="N222" s="2055"/>
      <c r="O222" s="2055"/>
      <c r="P222" s="2055"/>
      <c r="Q222" s="2055"/>
      <c r="R222" s="2055"/>
      <c r="S222" s="2055"/>
      <c r="T222" s="2055"/>
      <c r="U222" s="2055"/>
      <c r="V222" s="2055"/>
      <c r="W222" s="2055"/>
      <c r="X222" s="2055"/>
      <c r="Y222" s="2055"/>
      <c r="Z222" s="2055"/>
      <c r="AA222" s="2055"/>
      <c r="AB222" s="2055"/>
      <c r="AC222" s="2055"/>
      <c r="AD222" s="2055"/>
      <c r="AE222" s="2055"/>
      <c r="AF222" s="2055"/>
      <c r="AG222" s="2055"/>
      <c r="AH222" s="2055"/>
      <c r="AI222" s="2055"/>
      <c r="AJ222" s="2055"/>
      <c r="AK222" s="2055"/>
      <c r="AL222" s="205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9" t="s">
        <v>625</v>
      </c>
      <c r="AJ225" s="202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9" t="s">
        <v>625</v>
      </c>
      <c r="AJ226" s="202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9" t="s">
        <v>577</v>
      </c>
      <c r="AJ227" s="202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9" t="s">
        <v>625</v>
      </c>
      <c r="AJ228" s="202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29" t="str">
        <f>H16</f>
        <v>USA Properties Fund, Inc.</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75">
      <c r="D232" s="57" t="s">
        <v>90</v>
      </c>
      <c r="E232" s="57"/>
      <c r="F232" s="57"/>
      <c r="G232" s="57"/>
      <c r="H232" s="57"/>
      <c r="I232" s="57"/>
      <c r="J232" s="57"/>
      <c r="K232" s="7"/>
      <c r="M232" s="2213" t="s">
        <v>2545</v>
      </c>
      <c r="N232" s="2214"/>
      <c r="O232" s="2214"/>
      <c r="P232" s="2214"/>
      <c r="Q232" s="2214"/>
      <c r="R232" s="2214"/>
      <c r="S232" s="2214"/>
      <c r="T232" s="2214"/>
      <c r="U232" s="2214"/>
      <c r="V232" s="2214"/>
      <c r="W232" s="2214"/>
      <c r="X232" s="2214"/>
      <c r="Y232" s="2214"/>
      <c r="Z232" s="2214"/>
      <c r="AA232" s="2214"/>
      <c r="AB232" s="2214"/>
      <c r="AC232" s="2214"/>
      <c r="AD232" s="2214"/>
      <c r="AE232" s="2214"/>
      <c r="AZ232" s="7"/>
      <c r="BA232" s="58"/>
      <c r="BB232" s="334" t="s">
        <v>570</v>
      </c>
      <c r="BG232" s="389">
        <f>IF(AND(AND($M$248="nonprofit",$M$256="nonprofit",$M$264="for profit")),2,0)</f>
        <v>0</v>
      </c>
      <c r="BQ232" s="61"/>
    </row>
    <row r="233" spans="1:69" ht="12.75">
      <c r="D233" s="57" t="s">
        <v>614</v>
      </c>
      <c r="E233" s="57"/>
      <c r="M233" s="2213" t="s">
        <v>2546</v>
      </c>
      <c r="N233" s="2214"/>
      <c r="O233" s="2214"/>
      <c r="P233" s="2214"/>
      <c r="Q233" s="2214"/>
      <c r="R233" s="2214"/>
      <c r="S233" s="2214"/>
      <c r="T233" s="2214"/>
      <c r="V233" s="59" t="s">
        <v>91</v>
      </c>
      <c r="W233" s="2091" t="s">
        <v>2547</v>
      </c>
      <c r="X233" s="2062"/>
      <c r="Y233" s="57" t="s">
        <v>617</v>
      </c>
      <c r="AC233" s="2214">
        <v>95661</v>
      </c>
      <c r="AD233" s="2214"/>
      <c r="AE233" s="2214"/>
      <c r="BB233" s="334" t="s">
        <v>570</v>
      </c>
      <c r="BG233" s="389">
        <f>IF(AND(AND($M$248="nonprofit",$M$256="for profit",$M$264="nonprofit")),2,0)</f>
        <v>0</v>
      </c>
    </row>
    <row r="234" spans="1:69" ht="12.75">
      <c r="D234" s="60" t="s">
        <v>92</v>
      </c>
      <c r="E234" s="7"/>
      <c r="F234" s="7"/>
      <c r="G234" s="7"/>
      <c r="H234" s="7"/>
      <c r="I234" s="7"/>
      <c r="J234" s="7"/>
      <c r="K234" s="29"/>
      <c r="M234" s="2213" t="s">
        <v>2548</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40">
        <v>9168653981</v>
      </c>
      <c r="N235" s="2040"/>
      <c r="O235" s="2040"/>
      <c r="P235" s="2040"/>
      <c r="Q235" s="2040"/>
      <c r="R235" s="2040"/>
      <c r="S235" s="7" t="s">
        <v>212</v>
      </c>
      <c r="T235" s="7"/>
      <c r="U235" s="2062"/>
      <c r="V235" s="2062"/>
      <c r="W235" s="2062"/>
      <c r="X235" s="7" t="s">
        <v>94</v>
      </c>
      <c r="Z235" s="2040"/>
      <c r="AA235" s="2040"/>
      <c r="AB235" s="2040"/>
      <c r="AC235" s="2040"/>
      <c r="AD235" s="2040"/>
      <c r="AE235" s="2040"/>
      <c r="BB235" s="385"/>
      <c r="BG235" s="386"/>
    </row>
    <row r="236" spans="1:69" ht="12.75">
      <c r="D236" s="60" t="s">
        <v>95</v>
      </c>
      <c r="E236" s="7"/>
      <c r="F236" s="7"/>
      <c r="M236" s="2208" t="s">
        <v>2549</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63" t="s">
        <v>558</v>
      </c>
      <c r="N237" s="2063"/>
      <c r="O237" s="2063"/>
      <c r="P237" s="2063"/>
      <c r="Q237" s="2063"/>
      <c r="R237" s="2063"/>
      <c r="S237" s="2063"/>
      <c r="T237" s="2063"/>
      <c r="U237" s="387" t="s">
        <v>974</v>
      </c>
      <c r="V237" s="325"/>
      <c r="W237" s="325"/>
      <c r="X237" s="325"/>
      <c r="Y237" s="325"/>
      <c r="Z237" s="325"/>
      <c r="AA237" s="2218"/>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1" t="s">
        <v>2639</v>
      </c>
      <c r="N242" s="2210"/>
      <c r="O242" s="2210"/>
      <c r="P242" s="2210"/>
      <c r="Q242" s="2210"/>
      <c r="R242" s="2210"/>
      <c r="S242" s="2210"/>
      <c r="T242" s="2210"/>
      <c r="U242" s="2210"/>
      <c r="V242" s="2210"/>
      <c r="W242" s="2210"/>
      <c r="X242" s="2210"/>
      <c r="Y242" s="2210"/>
      <c r="Z242" s="2210"/>
      <c r="AA242" s="2210"/>
      <c r="AB242" s="2210"/>
      <c r="AC242" s="2210"/>
      <c r="AD242" s="2210"/>
      <c r="AE242" s="2210"/>
      <c r="AF242" s="2210" t="s">
        <v>2551</v>
      </c>
      <c r="AG242" s="2210"/>
      <c r="AH242" s="2210"/>
      <c r="AI242" s="2210"/>
      <c r="AJ242" s="2210"/>
      <c r="AK242" s="221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3" t="s">
        <v>2545</v>
      </c>
      <c r="N243" s="2214"/>
      <c r="O243" s="2214"/>
      <c r="P243" s="2214"/>
      <c r="Q243" s="2214"/>
      <c r="R243" s="2214"/>
      <c r="S243" s="2214"/>
      <c r="T243" s="2214"/>
      <c r="U243" s="2214"/>
      <c r="V243" s="2214"/>
      <c r="W243" s="2214"/>
      <c r="X243" s="2214"/>
      <c r="Y243" s="2214"/>
      <c r="Z243" s="2214"/>
      <c r="AA243" s="2214"/>
      <c r="AB243" s="2214"/>
      <c r="AC243" s="2214"/>
      <c r="AD243" s="2214"/>
      <c r="AE243" s="221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13" t="s">
        <v>2546</v>
      </c>
      <c r="N244" s="2214"/>
      <c r="O244" s="2214"/>
      <c r="P244" s="2214"/>
      <c r="Q244" s="2214"/>
      <c r="R244" s="2214"/>
      <c r="S244" s="2214"/>
      <c r="T244" s="2214"/>
      <c r="V244" s="59" t="s">
        <v>91</v>
      </c>
      <c r="W244" s="2091" t="s">
        <v>2547</v>
      </c>
      <c r="X244" s="2062"/>
      <c r="Y244" s="57" t="s">
        <v>617</v>
      </c>
      <c r="AC244" s="2214">
        <v>95661</v>
      </c>
      <c r="AD244" s="2214"/>
      <c r="AE244" s="2214"/>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13" t="s">
        <v>2548</v>
      </c>
      <c r="N245" s="2214"/>
      <c r="O245" s="2214"/>
      <c r="P245" s="2214"/>
      <c r="Q245" s="2214"/>
      <c r="R245" s="2214"/>
      <c r="S245" s="2214"/>
      <c r="T245" s="2214"/>
      <c r="U245" s="2214"/>
      <c r="V245" s="2214"/>
      <c r="W245" s="2214"/>
      <c r="X245" s="2214"/>
      <c r="Y245" s="2214"/>
      <c r="Z245" s="2214"/>
      <c r="AA245" s="2214"/>
      <c r="AB245" s="2214"/>
      <c r="AC245" s="2214"/>
      <c r="AD245" s="2214"/>
      <c r="AE245" s="2214"/>
      <c r="AH245" s="2100">
        <v>8.9999999999999993E-3</v>
      </c>
      <c r="AI245" s="2100"/>
      <c r="AJ245" s="2100"/>
      <c r="AK245" s="210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40">
        <v>9168653981</v>
      </c>
      <c r="N246" s="2040"/>
      <c r="O246" s="2040"/>
      <c r="P246" s="2040"/>
      <c r="Q246" s="2040"/>
      <c r="R246" s="2040"/>
      <c r="S246" s="7" t="s">
        <v>212</v>
      </c>
      <c r="T246" s="7"/>
      <c r="U246" s="2062"/>
      <c r="V246" s="2062"/>
      <c r="W246" s="2062"/>
      <c r="X246" s="7" t="s">
        <v>94</v>
      </c>
      <c r="Z246" s="2040"/>
      <c r="AA246" s="2040"/>
      <c r="AB246" s="2040"/>
      <c r="AC246" s="2040"/>
      <c r="AD246" s="2040"/>
      <c r="AE246" s="2040"/>
      <c r="BB246" s="7" t="s">
        <v>178</v>
      </c>
      <c r="BG246" s="12">
        <v>3</v>
      </c>
      <c r="BH246" s="12" t="s">
        <v>568</v>
      </c>
      <c r="BN246" s="390"/>
      <c r="BO246" s="39"/>
    </row>
    <row r="247" spans="1:72" ht="12.75">
      <c r="A247" s="29"/>
      <c r="B247" s="7"/>
      <c r="C247" s="7"/>
      <c r="D247" s="60" t="s">
        <v>95</v>
      </c>
      <c r="E247" s="7"/>
      <c r="F247" s="7"/>
      <c r="M247" s="2208" t="s">
        <v>2549</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63" t="s">
        <v>568</v>
      </c>
      <c r="N248" s="2063"/>
      <c r="O248" s="2063"/>
      <c r="P248" s="2063"/>
      <c r="Q248" s="2063"/>
      <c r="R248" s="2063"/>
      <c r="S248" s="2063"/>
      <c r="T248" s="2063"/>
      <c r="U248" s="387" t="s">
        <v>974</v>
      </c>
      <c r="V248" s="325"/>
      <c r="W248" s="325"/>
      <c r="X248" s="325"/>
      <c r="Y248" s="325"/>
      <c r="Z248" s="325"/>
      <c r="AA248" s="2218" t="s">
        <v>2550</v>
      </c>
      <c r="AB248" s="2219"/>
      <c r="AC248" s="2219"/>
      <c r="AD248" s="2219"/>
      <c r="AE248" s="2219"/>
      <c r="AF248" s="2219"/>
      <c r="AG248" s="2219"/>
      <c r="AH248" s="2219"/>
      <c r="AI248" s="2219"/>
      <c r="AJ248" s="2219"/>
      <c r="AK248" s="221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1" t="s">
        <v>2552</v>
      </c>
      <c r="N250" s="2210"/>
      <c r="O250" s="2210"/>
      <c r="P250" s="2210"/>
      <c r="Q250" s="2210"/>
      <c r="R250" s="2210"/>
      <c r="S250" s="2210"/>
      <c r="T250" s="2210"/>
      <c r="U250" s="2210"/>
      <c r="V250" s="2210"/>
      <c r="W250" s="2210"/>
      <c r="X250" s="2210"/>
      <c r="Y250" s="2210"/>
      <c r="Z250" s="2210"/>
      <c r="AA250" s="2210"/>
      <c r="AB250" s="2210"/>
      <c r="AC250" s="2210"/>
      <c r="AD250" s="2210"/>
      <c r="AE250" s="2210"/>
      <c r="AF250" s="2210" t="s">
        <v>2553</v>
      </c>
      <c r="AG250" s="2210"/>
      <c r="AH250" s="2210"/>
      <c r="AI250" s="2210"/>
      <c r="AJ250" s="2210"/>
      <c r="AK250" s="2210"/>
      <c r="BN250" s="61"/>
    </row>
    <row r="251" spans="1:72" ht="12.75">
      <c r="A251" s="29"/>
      <c r="B251" s="7"/>
      <c r="C251" s="7"/>
      <c r="D251" s="57" t="s">
        <v>90</v>
      </c>
      <c r="E251" s="57"/>
      <c r="F251" s="57"/>
      <c r="G251" s="57"/>
      <c r="H251" s="57"/>
      <c r="I251" s="57"/>
      <c r="J251" s="57"/>
      <c r="K251" s="57"/>
      <c r="L251" s="7"/>
      <c r="M251" s="2213" t="s">
        <v>2554</v>
      </c>
      <c r="N251" s="2213"/>
      <c r="O251" s="2213"/>
      <c r="P251" s="2213"/>
      <c r="Q251" s="2213"/>
      <c r="R251" s="2213"/>
      <c r="S251" s="2213"/>
      <c r="T251" s="2213"/>
      <c r="U251" s="2213"/>
      <c r="V251" s="2213"/>
      <c r="W251" s="2213"/>
      <c r="X251" s="2213"/>
      <c r="Y251" s="2213"/>
      <c r="Z251" s="2213"/>
      <c r="AA251" s="2213"/>
      <c r="AB251" s="2213"/>
      <c r="AC251" s="2213"/>
      <c r="AD251" s="2213"/>
      <c r="AE251" s="2213"/>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3" t="s">
        <v>2555</v>
      </c>
      <c r="N252" s="2214"/>
      <c r="O252" s="2214"/>
      <c r="P252" s="2214"/>
      <c r="Q252" s="2214"/>
      <c r="R252" s="2214"/>
      <c r="S252" s="2214"/>
      <c r="T252" s="2214"/>
      <c r="V252" s="59" t="s">
        <v>91</v>
      </c>
      <c r="W252" s="2091" t="s">
        <v>2547</v>
      </c>
      <c r="X252" s="2062"/>
      <c r="Y252" s="57" t="s">
        <v>617</v>
      </c>
      <c r="AC252" s="2214">
        <v>92780</v>
      </c>
      <c r="AD252" s="2214"/>
      <c r="AE252" s="2214"/>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13" t="s">
        <v>2556</v>
      </c>
      <c r="N253" s="2214"/>
      <c r="O253" s="2214"/>
      <c r="P253" s="2214"/>
      <c r="Q253" s="2214"/>
      <c r="R253" s="2214"/>
      <c r="S253" s="2214"/>
      <c r="T253" s="2214"/>
      <c r="U253" s="2214"/>
      <c r="V253" s="2214"/>
      <c r="W253" s="2214"/>
      <c r="X253" s="2214"/>
      <c r="Y253" s="2214"/>
      <c r="Z253" s="2214"/>
      <c r="AA253" s="2214"/>
      <c r="AB253" s="2214"/>
      <c r="AC253" s="2214"/>
      <c r="AD253" s="2214"/>
      <c r="AE253" s="2214"/>
      <c r="AF253" s="719"/>
      <c r="AG253" s="719"/>
      <c r="AH253" s="2100">
        <v>1E-3</v>
      </c>
      <c r="AI253" s="2100"/>
      <c r="AJ253" s="2100"/>
      <c r="AK253" s="21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0">
        <v>7146281654</v>
      </c>
      <c r="N254" s="2040"/>
      <c r="O254" s="2040"/>
      <c r="P254" s="2040"/>
      <c r="Q254" s="2040"/>
      <c r="R254" s="2040"/>
      <c r="S254" s="7" t="s">
        <v>212</v>
      </c>
      <c r="T254" s="7"/>
      <c r="U254" s="2062"/>
      <c r="V254" s="2062"/>
      <c r="W254" s="2062"/>
      <c r="X254" s="7" t="s">
        <v>94</v>
      </c>
      <c r="Z254" s="2040"/>
      <c r="AA254" s="2040"/>
      <c r="AB254" s="2040"/>
      <c r="AC254" s="2040"/>
      <c r="AD254" s="2040"/>
      <c r="AE254" s="2040"/>
    </row>
    <row r="255" spans="1:72" ht="12.75">
      <c r="A255" s="29"/>
      <c r="B255" s="7"/>
      <c r="C255" s="7"/>
      <c r="D255" s="60" t="s">
        <v>95</v>
      </c>
      <c r="E255" s="7"/>
      <c r="F255" s="7"/>
      <c r="M255" s="2208" t="s">
        <v>2557</v>
      </c>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63" t="s">
        <v>566</v>
      </c>
      <c r="N256" s="2063"/>
      <c r="O256" s="2063"/>
      <c r="P256" s="2063"/>
      <c r="Q256" s="2063"/>
      <c r="R256" s="2063"/>
      <c r="S256" s="2063"/>
      <c r="T256" s="2063"/>
      <c r="U256" s="387" t="s">
        <v>974</v>
      </c>
      <c r="V256" s="325"/>
      <c r="W256" s="325"/>
      <c r="X256" s="325"/>
      <c r="Y256" s="325"/>
      <c r="Z256" s="325"/>
      <c r="AA256" s="2218" t="s">
        <v>2558</v>
      </c>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t="s">
        <v>316</v>
      </c>
      <c r="AG258" s="2210"/>
      <c r="AH258" s="2210"/>
      <c r="AI258" s="2210"/>
      <c r="AJ258" s="2210"/>
      <c r="AK258" s="221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4"/>
      <c r="N259" s="2214"/>
      <c r="O259" s="2214"/>
      <c r="P259" s="2214"/>
      <c r="Q259" s="2214"/>
      <c r="R259" s="2214"/>
      <c r="S259" s="2214"/>
      <c r="T259" s="2214"/>
      <c r="U259" s="2214"/>
      <c r="V259" s="2214"/>
      <c r="W259" s="2214"/>
      <c r="X259" s="2214"/>
      <c r="Y259" s="2214"/>
      <c r="Z259" s="2214"/>
      <c r="AA259" s="2214"/>
      <c r="AB259" s="2214"/>
      <c r="AC259" s="2214"/>
      <c r="AD259" s="2214"/>
      <c r="AE259" s="221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4"/>
      <c r="N260" s="2214"/>
      <c r="O260" s="2214"/>
      <c r="P260" s="2214"/>
      <c r="Q260" s="2214"/>
      <c r="R260" s="2214"/>
      <c r="S260" s="2214"/>
      <c r="T260" s="2214"/>
      <c r="V260" s="59" t="s">
        <v>91</v>
      </c>
      <c r="W260" s="2062"/>
      <c r="X260" s="2062"/>
      <c r="Y260" s="57" t="s">
        <v>617</v>
      </c>
      <c r="AC260" s="2214"/>
      <c r="AD260" s="2214"/>
      <c r="AE260" s="221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4"/>
      <c r="N261" s="2214"/>
      <c r="O261" s="2214"/>
      <c r="P261" s="2214"/>
      <c r="Q261" s="2214"/>
      <c r="R261" s="2214"/>
      <c r="S261" s="2214"/>
      <c r="T261" s="2214"/>
      <c r="U261" s="2214"/>
      <c r="V261" s="2214"/>
      <c r="W261" s="2214"/>
      <c r="X261" s="2214"/>
      <c r="Y261" s="2214"/>
      <c r="Z261" s="2214"/>
      <c r="AA261" s="2214"/>
      <c r="AB261" s="2214"/>
      <c r="AC261" s="2214"/>
      <c r="AD261" s="2214"/>
      <c r="AE261" s="2214"/>
      <c r="AF261" s="719"/>
      <c r="AG261" s="719"/>
      <c r="AH261" s="2100"/>
      <c r="AI261" s="2100"/>
      <c r="AJ261" s="2100"/>
      <c r="AK261" s="21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0"/>
      <c r="N262" s="2040"/>
      <c r="O262" s="2040"/>
      <c r="P262" s="2040"/>
      <c r="Q262" s="2040"/>
      <c r="R262" s="2040"/>
      <c r="S262" s="7" t="s">
        <v>212</v>
      </c>
      <c r="T262" s="7"/>
      <c r="U262" s="2062"/>
      <c r="V262" s="2062"/>
      <c r="W262" s="2062"/>
      <c r="X262" s="7" t="s">
        <v>94</v>
      </c>
      <c r="Z262" s="2040"/>
      <c r="AA262" s="2040"/>
      <c r="AB262" s="2040"/>
      <c r="AC262" s="2040"/>
      <c r="AD262" s="2040"/>
      <c r="AE262" s="204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53"/>
      <c r="AB263" s="2253"/>
      <c r="AC263" s="2253"/>
      <c r="AD263" s="2253"/>
      <c r="AE263" s="225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63" t="s">
        <v>316</v>
      </c>
      <c r="N264" s="2063"/>
      <c r="O264" s="2063"/>
      <c r="P264" s="2063"/>
      <c r="Q264" s="2063"/>
      <c r="R264" s="2063"/>
      <c r="S264" s="2063"/>
      <c r="T264" s="2063"/>
      <c r="U264" s="387" t="s">
        <v>974</v>
      </c>
      <c r="V264" s="325"/>
      <c r="W264" s="325"/>
      <c r="X264" s="325"/>
      <c r="Y264" s="325"/>
      <c r="Z264" s="325"/>
      <c r="AA264" s="2254"/>
      <c r="AB264" s="2254"/>
      <c r="AC264" s="2254"/>
      <c r="AD264" s="2254"/>
      <c r="AE264" s="2254"/>
      <c r="AF264" s="2254"/>
      <c r="AG264" s="2254"/>
      <c r="AH264" s="2254"/>
      <c r="AI264" s="2254"/>
      <c r="AJ264" s="2254"/>
      <c r="AK264" s="225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22" t="str">
        <f>BO245</f>
        <v>Joint Venture</v>
      </c>
      <c r="U266" s="2222"/>
      <c r="V266" s="2222"/>
      <c r="W266" s="2222"/>
      <c r="X266" s="2222"/>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4" t="s">
        <v>286</v>
      </c>
      <c r="E269" s="2214"/>
      <c r="F269" s="2214"/>
      <c r="G269" s="2214"/>
      <c r="H269" s="2214"/>
      <c r="J269" s="12" t="s">
        <v>285</v>
      </c>
      <c r="X269" s="2223"/>
      <c r="Y269" s="2223"/>
      <c r="Z269" s="2223"/>
      <c r="AA269" s="2223"/>
      <c r="AB269" s="2223"/>
      <c r="AC269" s="222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1" t="s">
        <v>2550</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3" t="s">
        <v>2545</v>
      </c>
      <c r="M274" s="2214"/>
      <c r="N274" s="2214"/>
      <c r="O274" s="2214"/>
      <c r="P274" s="2214"/>
      <c r="Q274" s="2214"/>
      <c r="R274" s="2214"/>
      <c r="S274" s="2214"/>
      <c r="T274" s="2214"/>
      <c r="U274" s="2214"/>
      <c r="V274" s="2214"/>
      <c r="W274" s="2214"/>
      <c r="X274" s="2214"/>
      <c r="Y274" s="2214"/>
      <c r="Z274" s="2214"/>
      <c r="AA274" s="2214"/>
      <c r="AB274" s="2214"/>
      <c r="AC274" s="2214"/>
      <c r="AD274" s="2214"/>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3" t="s">
        <v>2546</v>
      </c>
      <c r="M275" s="2214"/>
      <c r="N275" s="2214"/>
      <c r="O275" s="2214"/>
      <c r="P275" s="2214"/>
      <c r="Q275" s="2214"/>
      <c r="R275" s="2214"/>
      <c r="S275" s="2214"/>
      <c r="U275" s="59" t="s">
        <v>91</v>
      </c>
      <c r="V275" s="2091" t="s">
        <v>2559</v>
      </c>
      <c r="W275" s="2062"/>
      <c r="X275" s="57" t="s">
        <v>617</v>
      </c>
      <c r="AB275" s="2214">
        <v>95661</v>
      </c>
      <c r="AC275" s="2214"/>
      <c r="AD275" s="221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3" t="s">
        <v>2548</v>
      </c>
      <c r="M276" s="2214"/>
      <c r="N276" s="2214"/>
      <c r="O276" s="2214"/>
      <c r="P276" s="2214"/>
      <c r="Q276" s="2214"/>
      <c r="R276" s="2214"/>
      <c r="S276" s="2214"/>
      <c r="T276" s="2214"/>
      <c r="U276" s="2214"/>
      <c r="V276" s="2214"/>
      <c r="W276" s="2214"/>
      <c r="X276" s="2214"/>
      <c r="Y276" s="2214"/>
      <c r="Z276" s="2214"/>
      <c r="AA276" s="2214"/>
      <c r="AB276" s="2214"/>
      <c r="AC276" s="2214"/>
      <c r="AD276" s="221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40">
        <v>9168653981</v>
      </c>
      <c r="M277" s="2040"/>
      <c r="N277" s="2040"/>
      <c r="O277" s="2040"/>
      <c r="P277" s="2040"/>
      <c r="Q277" s="2040"/>
      <c r="R277" s="7" t="s">
        <v>212</v>
      </c>
      <c r="S277" s="7"/>
      <c r="T277" s="2062"/>
      <c r="U277" s="2062"/>
      <c r="V277" s="2062"/>
      <c r="W277" s="7" t="s">
        <v>94</v>
      </c>
      <c r="Y277" s="2040"/>
      <c r="Z277" s="2040"/>
      <c r="AA277" s="2040"/>
      <c r="AB277" s="2040"/>
      <c r="AC277" s="2040"/>
      <c r="AD277" s="2040"/>
      <c r="BN277" s="61"/>
    </row>
    <row r="278" spans="1:66" ht="12.75">
      <c r="D278" s="60" t="s">
        <v>95</v>
      </c>
      <c r="E278" s="7"/>
      <c r="F278" s="7"/>
      <c r="L278" s="2208" t="s">
        <v>2549</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657</v>
      </c>
      <c r="E279" s="58"/>
      <c r="F279" s="58"/>
      <c r="G279" s="58"/>
      <c r="H279" s="58"/>
      <c r="I279" s="58"/>
      <c r="L279" s="2091" t="s">
        <v>2644</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4" t="s">
        <v>573</v>
      </c>
      <c r="B281" s="2054"/>
      <c r="C281" s="2054"/>
      <c r="D281" s="2054"/>
      <c r="E281" s="2054"/>
      <c r="F281" s="2054"/>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4"/>
      <c r="AE281" s="2054"/>
      <c r="AF281" s="2054"/>
      <c r="AG281" s="2054"/>
      <c r="AH281" s="2054"/>
      <c r="AI281" s="2054"/>
      <c r="AJ281" s="2054"/>
      <c r="AK281" s="2054"/>
      <c r="AL281" s="2054"/>
      <c r="AM281" s="144"/>
      <c r="AN281" s="144"/>
      <c r="AO281" s="144"/>
      <c r="AP281" s="144"/>
      <c r="AQ281" s="144"/>
      <c r="AR281" s="144"/>
      <c r="AS281" s="144"/>
      <c r="AT281" s="144"/>
      <c r="AU281" s="144"/>
      <c r="AV281" s="144"/>
      <c r="AW281" s="144"/>
      <c r="AX281" s="144"/>
      <c r="AY281" s="144"/>
      <c r="BN281" s="61"/>
    </row>
    <row r="282" spans="1:66" ht="13.5" thickBot="1">
      <c r="A282" s="2055"/>
      <c r="B282" s="2055"/>
      <c r="C282" s="2055"/>
      <c r="D282" s="2055"/>
      <c r="E282" s="2055"/>
      <c r="F282" s="2055"/>
      <c r="G282" s="2055"/>
      <c r="H282" s="2055"/>
      <c r="I282" s="2055"/>
      <c r="J282" s="2055"/>
      <c r="K282" s="2055"/>
      <c r="L282" s="2055"/>
      <c r="M282" s="2055"/>
      <c r="N282" s="2055"/>
      <c r="O282" s="2055"/>
      <c r="P282" s="2055"/>
      <c r="Q282" s="2055"/>
      <c r="R282" s="2055"/>
      <c r="S282" s="2055"/>
      <c r="T282" s="2055"/>
      <c r="U282" s="2055"/>
      <c r="V282" s="2055"/>
      <c r="W282" s="2055"/>
      <c r="X282" s="2055"/>
      <c r="Y282" s="2055"/>
      <c r="Z282" s="2055"/>
      <c r="AA282" s="2055"/>
      <c r="AB282" s="2055"/>
      <c r="AC282" s="2055"/>
      <c r="AD282" s="2055"/>
      <c r="AE282" s="2055"/>
      <c r="AF282" s="2055"/>
      <c r="AG282" s="2055"/>
      <c r="AH282" s="2055"/>
      <c r="AI282" s="2055"/>
      <c r="AJ282" s="2055"/>
      <c r="AK282" s="2055"/>
      <c r="AL282" s="205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9" t="s">
        <v>2560</v>
      </c>
      <c r="I286" s="2039"/>
      <c r="J286" s="2039"/>
      <c r="K286" s="2039"/>
      <c r="L286" s="2039"/>
      <c r="M286" s="2039"/>
      <c r="N286" s="2039"/>
      <c r="O286" s="2039"/>
      <c r="P286" s="2039"/>
      <c r="Q286" s="2039"/>
      <c r="R286" s="2039"/>
      <c r="T286" s="58" t="s">
        <v>599</v>
      </c>
      <c r="V286" s="58"/>
      <c r="W286" s="58"/>
      <c r="X286" s="58"/>
      <c r="Y286" s="58"/>
      <c r="AA286" s="2039" t="s">
        <v>2574</v>
      </c>
      <c r="AB286" s="2039"/>
      <c r="AC286" s="2039"/>
      <c r="AD286" s="2039"/>
      <c r="AE286" s="2039"/>
      <c r="AF286" s="2039"/>
      <c r="AG286" s="2039"/>
      <c r="AH286" s="2039"/>
      <c r="AI286" s="2039"/>
      <c r="AJ286" s="2039"/>
      <c r="AK286" s="2039"/>
      <c r="BN286" s="61"/>
    </row>
    <row r="287" spans="1:66" ht="12.75">
      <c r="B287" s="58" t="s">
        <v>503</v>
      </c>
      <c r="C287" s="58"/>
      <c r="D287" s="58"/>
      <c r="E287" s="58"/>
      <c r="F287" s="58"/>
      <c r="H287" s="2063" t="s">
        <v>2561</v>
      </c>
      <c r="I287" s="2063"/>
      <c r="J287" s="2063"/>
      <c r="K287" s="2063"/>
      <c r="L287" s="2063"/>
      <c r="M287" s="2063"/>
      <c r="N287" s="2063"/>
      <c r="O287" s="2063"/>
      <c r="P287" s="2063"/>
      <c r="Q287" s="2063"/>
      <c r="R287" s="2063"/>
      <c r="T287" s="58" t="s">
        <v>503</v>
      </c>
      <c r="V287" s="58"/>
      <c r="W287" s="58"/>
      <c r="X287" s="58"/>
      <c r="Y287" s="58"/>
      <c r="AA287" s="2063" t="s">
        <v>2589</v>
      </c>
      <c r="AB287" s="2063"/>
      <c r="AC287" s="2063"/>
      <c r="AD287" s="2063"/>
      <c r="AE287" s="2063"/>
      <c r="AF287" s="2063"/>
      <c r="AG287" s="2063"/>
      <c r="AH287" s="2063"/>
      <c r="AI287" s="2063"/>
      <c r="AJ287" s="2063"/>
      <c r="AK287" s="2063"/>
      <c r="BN287" s="61"/>
    </row>
    <row r="288" spans="1:66" ht="12.75">
      <c r="B288" s="58" t="s">
        <v>504</v>
      </c>
      <c r="C288" s="58"/>
      <c r="D288" s="58"/>
      <c r="E288" s="58"/>
      <c r="F288" s="58"/>
      <c r="H288" s="2063" t="s">
        <v>2562</v>
      </c>
      <c r="I288" s="2063"/>
      <c r="J288" s="2063"/>
      <c r="K288" s="2063"/>
      <c r="L288" s="2063"/>
      <c r="M288" s="2063"/>
      <c r="N288" s="2063"/>
      <c r="O288" s="2063"/>
      <c r="P288" s="2063"/>
      <c r="Q288" s="2063"/>
      <c r="R288" s="2063"/>
      <c r="T288" s="58" t="s">
        <v>79</v>
      </c>
      <c r="V288" s="58"/>
      <c r="W288" s="58"/>
      <c r="X288" s="58"/>
      <c r="Y288" s="58"/>
      <c r="AA288" s="2063" t="s">
        <v>2590</v>
      </c>
      <c r="AB288" s="2063"/>
      <c r="AC288" s="2063"/>
      <c r="AD288" s="2063"/>
      <c r="AE288" s="2063"/>
      <c r="AF288" s="2063"/>
      <c r="AG288" s="2063"/>
      <c r="AH288" s="2063"/>
      <c r="AI288" s="2063"/>
      <c r="AJ288" s="2063"/>
      <c r="AK288" s="2063"/>
      <c r="BN288" s="61"/>
    </row>
    <row r="289" spans="2:66" ht="12.75" customHeight="1">
      <c r="B289" s="58" t="s">
        <v>92</v>
      </c>
      <c r="C289" s="58"/>
      <c r="D289" s="58"/>
      <c r="E289" s="58"/>
      <c r="F289" s="58"/>
      <c r="H289" s="2063" t="s">
        <v>2563</v>
      </c>
      <c r="I289" s="2063"/>
      <c r="J289" s="2063"/>
      <c r="K289" s="2063"/>
      <c r="L289" s="2063"/>
      <c r="M289" s="2063"/>
      <c r="N289" s="2063"/>
      <c r="O289" s="2063"/>
      <c r="P289" s="2063"/>
      <c r="Q289" s="2063"/>
      <c r="R289" s="2063"/>
      <c r="T289" s="58" t="s">
        <v>92</v>
      </c>
      <c r="V289" s="58"/>
      <c r="W289" s="58"/>
      <c r="X289" s="58"/>
      <c r="Y289" s="58"/>
      <c r="AA289" s="2063" t="s">
        <v>2575</v>
      </c>
      <c r="AB289" s="2063"/>
      <c r="AC289" s="2063"/>
      <c r="AD289" s="2063"/>
      <c r="AE289" s="2063"/>
      <c r="AF289" s="2063"/>
      <c r="AG289" s="2063"/>
      <c r="AH289" s="2063"/>
      <c r="AI289" s="2063"/>
      <c r="AJ289" s="2063"/>
      <c r="AK289" s="2063"/>
      <c r="BN289" s="61"/>
    </row>
    <row r="290" spans="2:66" ht="12.75" customHeight="1">
      <c r="B290" s="58" t="s">
        <v>93</v>
      </c>
      <c r="C290" s="58"/>
      <c r="D290" s="58"/>
      <c r="E290" s="58"/>
      <c r="F290" s="58"/>
      <c r="G290" s="58"/>
      <c r="H290" s="2221">
        <v>9167736060</v>
      </c>
      <c r="I290" s="2221"/>
      <c r="J290" s="2221"/>
      <c r="K290" s="2221"/>
      <c r="L290" s="2221"/>
      <c r="M290" s="2221"/>
      <c r="N290" s="7" t="s">
        <v>212</v>
      </c>
      <c r="O290" s="7"/>
      <c r="P290" s="2214"/>
      <c r="Q290" s="2214"/>
      <c r="R290" s="2214"/>
      <c r="S290" s="58"/>
      <c r="T290" s="58" t="s">
        <v>93</v>
      </c>
      <c r="V290" s="58"/>
      <c r="W290" s="58"/>
      <c r="X290" s="58"/>
      <c r="Y290" s="58"/>
      <c r="AA290" s="2195">
        <v>9492216278</v>
      </c>
      <c r="AB290" s="2195"/>
      <c r="AC290" s="2195"/>
      <c r="AD290" s="2195"/>
      <c r="AE290" s="2195"/>
      <c r="AF290" s="2195"/>
      <c r="AG290" s="7" t="s">
        <v>212</v>
      </c>
      <c r="AH290" s="7"/>
      <c r="AI290" s="2214"/>
      <c r="AJ290" s="2214"/>
      <c r="AK290" s="2214"/>
      <c r="BN290" s="61"/>
    </row>
    <row r="291" spans="2:66" ht="12.75" customHeight="1">
      <c r="B291" s="58" t="s">
        <v>94</v>
      </c>
      <c r="C291" s="58"/>
      <c r="D291" s="58"/>
      <c r="E291" s="58"/>
      <c r="F291" s="58"/>
      <c r="G291" s="58"/>
      <c r="H291" s="2131">
        <v>9167735866</v>
      </c>
      <c r="I291" s="2131"/>
      <c r="J291" s="2131"/>
      <c r="K291" s="2131"/>
      <c r="L291" s="2131"/>
      <c r="M291" s="2131"/>
      <c r="N291" s="60"/>
      <c r="O291" s="60"/>
      <c r="P291" s="62"/>
      <c r="Q291" s="62"/>
      <c r="R291" s="62"/>
      <c r="S291" s="58"/>
      <c r="T291" s="58" t="s">
        <v>94</v>
      </c>
      <c r="V291" s="58"/>
      <c r="W291" s="58"/>
      <c r="X291" s="58"/>
      <c r="Y291" s="58"/>
      <c r="AA291" s="2131" t="s">
        <v>625</v>
      </c>
      <c r="AB291" s="2040"/>
      <c r="AC291" s="2040"/>
      <c r="AD291" s="2040"/>
      <c r="AE291" s="2040"/>
      <c r="AF291" s="2040"/>
      <c r="AG291" s="60"/>
      <c r="AH291" s="60"/>
      <c r="AI291" s="62"/>
      <c r="AJ291" s="62"/>
      <c r="AK291" s="62"/>
      <c r="BN291" s="61"/>
    </row>
    <row r="292" spans="2:66" ht="12.75" customHeight="1">
      <c r="B292" s="58" t="s">
        <v>80</v>
      </c>
      <c r="C292" s="58"/>
      <c r="D292" s="58"/>
      <c r="E292" s="58"/>
      <c r="F292" s="58"/>
      <c r="G292" s="58"/>
      <c r="H292" s="2063" t="s">
        <v>2564</v>
      </c>
      <c r="I292" s="2063"/>
      <c r="J292" s="2063"/>
      <c r="K292" s="2063"/>
      <c r="L292" s="2063"/>
      <c r="M292" s="2063"/>
      <c r="N292" s="2039"/>
      <c r="O292" s="2039"/>
      <c r="P292" s="2039"/>
      <c r="Q292" s="2039"/>
      <c r="R292" s="2039"/>
      <c r="S292" s="58"/>
      <c r="T292" s="58" t="s">
        <v>80</v>
      </c>
      <c r="V292" s="58"/>
      <c r="W292" s="58"/>
      <c r="X292" s="58"/>
      <c r="Y292" s="58"/>
      <c r="AA292" s="2063" t="s">
        <v>2576</v>
      </c>
      <c r="AB292" s="2063"/>
      <c r="AC292" s="2063"/>
      <c r="AD292" s="2063"/>
      <c r="AE292" s="2063"/>
      <c r="AF292" s="2063"/>
      <c r="AG292" s="2039"/>
      <c r="AH292" s="2039"/>
      <c r="AI292" s="2039"/>
      <c r="AJ292" s="2039"/>
      <c r="AK292" s="20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213" t="s">
        <v>2568</v>
      </c>
      <c r="I294" s="2039"/>
      <c r="J294" s="2039"/>
      <c r="K294" s="2039"/>
      <c r="L294" s="2039"/>
      <c r="M294" s="2039"/>
      <c r="N294" s="2039"/>
      <c r="O294" s="2039"/>
      <c r="P294" s="2039"/>
      <c r="Q294" s="2039"/>
      <c r="R294" s="2039"/>
      <c r="T294" s="58" t="s">
        <v>374</v>
      </c>
      <c r="V294" s="58"/>
      <c r="W294" s="58"/>
      <c r="X294" s="58"/>
      <c r="Y294" s="58"/>
      <c r="AA294" s="2039" t="s">
        <v>2565</v>
      </c>
      <c r="AB294" s="2039"/>
      <c r="AC294" s="2039"/>
      <c r="AD294" s="2039"/>
      <c r="AE294" s="2039"/>
      <c r="AF294" s="2039"/>
      <c r="AG294" s="2039"/>
      <c r="AH294" s="2039"/>
      <c r="AI294" s="2039"/>
      <c r="AJ294" s="2039"/>
      <c r="AK294" s="2039"/>
      <c r="BN294" s="61"/>
    </row>
    <row r="295" spans="2:66" ht="12.75">
      <c r="B295" s="58" t="s">
        <v>503</v>
      </c>
      <c r="C295" s="58"/>
      <c r="D295" s="58"/>
      <c r="E295" s="58"/>
      <c r="F295" s="58"/>
      <c r="H295" s="2091" t="s">
        <v>2569</v>
      </c>
      <c r="I295" s="2063"/>
      <c r="J295" s="2063"/>
      <c r="K295" s="2063"/>
      <c r="L295" s="2063"/>
      <c r="M295" s="2063"/>
      <c r="N295" s="2063"/>
      <c r="O295" s="2063"/>
      <c r="P295" s="2063"/>
      <c r="Q295" s="2063"/>
      <c r="R295" s="2063"/>
      <c r="T295" s="58" t="s">
        <v>503</v>
      </c>
      <c r="V295" s="58"/>
      <c r="W295" s="58"/>
      <c r="X295" s="58"/>
      <c r="Y295" s="58"/>
      <c r="AA295" s="2063" t="s">
        <v>2545</v>
      </c>
      <c r="AB295" s="2063"/>
      <c r="AC295" s="2063"/>
      <c r="AD295" s="2063"/>
      <c r="AE295" s="2063"/>
      <c r="AF295" s="2063"/>
      <c r="AG295" s="2063"/>
      <c r="AH295" s="2063"/>
      <c r="AI295" s="2063"/>
      <c r="AJ295" s="2063"/>
      <c r="AK295" s="2063"/>
      <c r="BN295" s="61"/>
    </row>
    <row r="296" spans="2:66" ht="12.75">
      <c r="B296" s="58" t="s">
        <v>504</v>
      </c>
      <c r="C296" s="58"/>
      <c r="D296" s="58"/>
      <c r="E296" s="58"/>
      <c r="F296" s="58"/>
      <c r="H296" s="2091" t="s">
        <v>2570</v>
      </c>
      <c r="I296" s="2063"/>
      <c r="J296" s="2063"/>
      <c r="K296" s="2063"/>
      <c r="L296" s="2063"/>
      <c r="M296" s="2063"/>
      <c r="N296" s="2063"/>
      <c r="O296" s="2063"/>
      <c r="P296" s="2063"/>
      <c r="Q296" s="2063"/>
      <c r="R296" s="2063"/>
      <c r="T296" s="58" t="s">
        <v>79</v>
      </c>
      <c r="V296" s="58"/>
      <c r="W296" s="58"/>
      <c r="X296" s="58"/>
      <c r="Y296" s="58"/>
      <c r="AA296" s="2063" t="s">
        <v>2562</v>
      </c>
      <c r="AB296" s="2063"/>
      <c r="AC296" s="2063"/>
      <c r="AD296" s="2063"/>
      <c r="AE296" s="2063"/>
      <c r="AF296" s="2063"/>
      <c r="AG296" s="2063"/>
      <c r="AH296" s="2063"/>
      <c r="AI296" s="2063"/>
      <c r="AJ296" s="2063"/>
      <c r="AK296" s="2063"/>
      <c r="BN296" s="61"/>
    </row>
    <row r="297" spans="2:66" ht="12.75">
      <c r="B297" s="58" t="s">
        <v>92</v>
      </c>
      <c r="C297" s="58"/>
      <c r="D297" s="58"/>
      <c r="E297" s="58"/>
      <c r="F297" s="58"/>
      <c r="H297" s="2091" t="s">
        <v>2571</v>
      </c>
      <c r="I297" s="2063"/>
      <c r="J297" s="2063"/>
      <c r="K297" s="2063"/>
      <c r="L297" s="2063"/>
      <c r="M297" s="2063"/>
      <c r="N297" s="2063"/>
      <c r="O297" s="2063"/>
      <c r="P297" s="2063"/>
      <c r="Q297" s="2063"/>
      <c r="R297" s="2063"/>
      <c r="T297" s="58" t="s">
        <v>92</v>
      </c>
      <c r="V297" s="58"/>
      <c r="W297" s="58"/>
      <c r="X297" s="58"/>
      <c r="Y297" s="58"/>
      <c r="AA297" s="2063" t="s">
        <v>2566</v>
      </c>
      <c r="AB297" s="2063"/>
      <c r="AC297" s="2063"/>
      <c r="AD297" s="2063"/>
      <c r="AE297" s="2063"/>
      <c r="AF297" s="2063"/>
      <c r="AG297" s="2063"/>
      <c r="AH297" s="2063"/>
      <c r="AI297" s="2063"/>
      <c r="AJ297" s="2063"/>
      <c r="AK297" s="2063"/>
      <c r="BN297" s="61"/>
    </row>
    <row r="298" spans="2:66" ht="12.75">
      <c r="B298" s="58" t="s">
        <v>93</v>
      </c>
      <c r="C298" s="58"/>
      <c r="D298" s="58"/>
      <c r="E298" s="58"/>
      <c r="F298" s="58"/>
      <c r="G298" s="58"/>
      <c r="H298" s="2221">
        <v>2132398048</v>
      </c>
      <c r="I298" s="2221"/>
      <c r="J298" s="2221"/>
      <c r="K298" s="2221"/>
      <c r="L298" s="2221"/>
      <c r="M298" s="2221"/>
      <c r="N298" s="7" t="s">
        <v>212</v>
      </c>
      <c r="O298" s="7"/>
      <c r="P298" s="2214"/>
      <c r="Q298" s="2214"/>
      <c r="R298" s="2214"/>
      <c r="S298" s="58"/>
      <c r="T298" s="58" t="s">
        <v>93</v>
      </c>
      <c r="V298" s="58"/>
      <c r="W298" s="58"/>
      <c r="X298" s="58"/>
      <c r="Y298" s="58"/>
      <c r="AA298" s="2221">
        <v>9167243856</v>
      </c>
      <c r="AB298" s="2221"/>
      <c r="AC298" s="2221"/>
      <c r="AD298" s="2221"/>
      <c r="AE298" s="2221"/>
      <c r="AF298" s="2221"/>
      <c r="AG298" s="7" t="s">
        <v>212</v>
      </c>
      <c r="AH298" s="7"/>
      <c r="AI298" s="2214"/>
      <c r="AJ298" s="2214"/>
      <c r="AK298" s="2214"/>
      <c r="BN298" s="61"/>
    </row>
    <row r="299" spans="2:66" ht="12.75" customHeight="1">
      <c r="B299" s="58" t="s">
        <v>94</v>
      </c>
      <c r="C299" s="58"/>
      <c r="D299" s="58"/>
      <c r="E299" s="58"/>
      <c r="F299" s="58"/>
      <c r="G299" s="58"/>
      <c r="H299" s="2131">
        <v>2132390410</v>
      </c>
      <c r="I299" s="2131"/>
      <c r="J299" s="2131"/>
      <c r="K299" s="2131"/>
      <c r="L299" s="2131"/>
      <c r="M299" s="2131"/>
      <c r="N299" s="60"/>
      <c r="O299" s="60"/>
      <c r="P299" s="62"/>
      <c r="Q299" s="62"/>
      <c r="R299" s="62"/>
      <c r="S299" s="58"/>
      <c r="T299" s="58" t="s">
        <v>94</v>
      </c>
      <c r="V299" s="58"/>
      <c r="W299" s="58"/>
      <c r="X299" s="58"/>
      <c r="Y299" s="58"/>
      <c r="AA299" s="2131">
        <v>9167735866</v>
      </c>
      <c r="AB299" s="2131"/>
      <c r="AC299" s="2131"/>
      <c r="AD299" s="2131"/>
      <c r="AE299" s="2131"/>
      <c r="AF299" s="2131"/>
      <c r="AG299" s="60"/>
      <c r="AH299" s="60"/>
      <c r="AI299" s="62"/>
      <c r="AJ299" s="62"/>
      <c r="AK299" s="62"/>
      <c r="BN299" s="61"/>
    </row>
    <row r="300" spans="2:66" ht="12.75" customHeight="1">
      <c r="B300" s="58" t="s">
        <v>80</v>
      </c>
      <c r="C300" s="58"/>
      <c r="D300" s="58"/>
      <c r="E300" s="58"/>
      <c r="F300" s="58"/>
      <c r="G300" s="58"/>
      <c r="H300" s="2063" t="s">
        <v>2572</v>
      </c>
      <c r="I300" s="2063"/>
      <c r="J300" s="2063"/>
      <c r="K300" s="2063"/>
      <c r="L300" s="2063"/>
      <c r="M300" s="2063"/>
      <c r="N300" s="2039"/>
      <c r="O300" s="2039"/>
      <c r="P300" s="2039"/>
      <c r="Q300" s="2039"/>
      <c r="R300" s="2039"/>
      <c r="S300" s="58"/>
      <c r="T300" s="58" t="s">
        <v>80</v>
      </c>
      <c r="V300" s="58"/>
      <c r="W300" s="58"/>
      <c r="X300" s="58"/>
      <c r="Y300" s="58"/>
      <c r="AA300" s="2063" t="s">
        <v>2567</v>
      </c>
      <c r="AB300" s="2063"/>
      <c r="AC300" s="2063"/>
      <c r="AD300" s="2063"/>
      <c r="AE300" s="2063"/>
      <c r="AF300" s="2063"/>
      <c r="AG300" s="2039"/>
      <c r="AH300" s="2039"/>
      <c r="AI300" s="2039"/>
      <c r="AJ300" s="2039"/>
      <c r="AK300" s="2039"/>
      <c r="BN300" s="61"/>
    </row>
    <row r="301" spans="2:66" ht="12.75" customHeight="1">
      <c r="BN301" s="61"/>
    </row>
    <row r="302" spans="2:66" ht="12.75" customHeight="1">
      <c r="B302" s="58" t="s">
        <v>81</v>
      </c>
      <c r="C302" s="58"/>
      <c r="D302" s="58"/>
      <c r="E302" s="58"/>
      <c r="F302" s="58"/>
      <c r="H302" s="2039" t="s">
        <v>2558</v>
      </c>
      <c r="I302" s="2039"/>
      <c r="J302" s="2039"/>
      <c r="K302" s="2039"/>
      <c r="L302" s="2039"/>
      <c r="M302" s="2039"/>
      <c r="N302" s="2039"/>
      <c r="O302" s="2039"/>
      <c r="P302" s="2039"/>
      <c r="Q302" s="2039"/>
      <c r="R302" s="2039"/>
      <c r="T302" s="7" t="s">
        <v>942</v>
      </c>
      <c r="V302" s="58"/>
      <c r="W302" s="58"/>
      <c r="X302" s="58"/>
      <c r="Y302" s="58"/>
      <c r="AA302" s="2039" t="s">
        <v>2558</v>
      </c>
      <c r="AB302" s="2039"/>
      <c r="AC302" s="2039"/>
      <c r="AD302" s="2039"/>
      <c r="AE302" s="2039"/>
      <c r="AF302" s="2039"/>
      <c r="AG302" s="2039"/>
      <c r="AH302" s="2039"/>
      <c r="AI302" s="2039"/>
      <c r="AJ302" s="2039"/>
      <c r="AK302" s="2039"/>
      <c r="BN302" s="61"/>
    </row>
    <row r="303" spans="2:66" ht="12.75">
      <c r="B303" s="58" t="s">
        <v>503</v>
      </c>
      <c r="C303" s="58"/>
      <c r="D303" s="58"/>
      <c r="E303" s="58"/>
      <c r="F303" s="58"/>
      <c r="H303" s="2063"/>
      <c r="I303" s="2063"/>
      <c r="J303" s="2063"/>
      <c r="K303" s="2063"/>
      <c r="L303" s="2063"/>
      <c r="M303" s="2063"/>
      <c r="N303" s="2063"/>
      <c r="O303" s="2063"/>
      <c r="P303" s="2063"/>
      <c r="Q303" s="2063"/>
      <c r="R303" s="2063"/>
      <c r="T303" s="58" t="s">
        <v>503</v>
      </c>
      <c r="V303" s="58"/>
      <c r="W303" s="58"/>
      <c r="X303" s="58"/>
      <c r="Y303" s="58"/>
      <c r="AA303" s="2063"/>
      <c r="AB303" s="2063"/>
      <c r="AC303" s="2063"/>
      <c r="AD303" s="2063"/>
      <c r="AE303" s="2063"/>
      <c r="AF303" s="2063"/>
      <c r="AG303" s="2063"/>
      <c r="AH303" s="2063"/>
      <c r="AI303" s="2063"/>
      <c r="AJ303" s="2063"/>
      <c r="AK303" s="2063"/>
      <c r="BN303" s="61"/>
    </row>
    <row r="304" spans="2:66" ht="12.75">
      <c r="B304" s="58" t="s">
        <v>504</v>
      </c>
      <c r="C304" s="58"/>
      <c r="D304" s="58"/>
      <c r="E304" s="58"/>
      <c r="F304" s="58"/>
      <c r="H304" s="2063"/>
      <c r="I304" s="2063"/>
      <c r="J304" s="2063"/>
      <c r="K304" s="2063"/>
      <c r="L304" s="2063"/>
      <c r="M304" s="2063"/>
      <c r="N304" s="2063"/>
      <c r="O304" s="2063"/>
      <c r="P304" s="2063"/>
      <c r="Q304" s="2063"/>
      <c r="R304" s="2063"/>
      <c r="T304" s="58" t="s">
        <v>79</v>
      </c>
      <c r="V304" s="58"/>
      <c r="W304" s="58"/>
      <c r="X304" s="58"/>
      <c r="Y304" s="58"/>
      <c r="AA304" s="2063"/>
      <c r="AB304" s="2063"/>
      <c r="AC304" s="2063"/>
      <c r="AD304" s="2063"/>
      <c r="AE304" s="2063"/>
      <c r="AF304" s="2063"/>
      <c r="AG304" s="2063"/>
      <c r="AH304" s="2063"/>
      <c r="AI304" s="2063"/>
      <c r="AJ304" s="2063"/>
      <c r="AK304" s="2063"/>
      <c r="BN304" s="61"/>
    </row>
    <row r="305" spans="2:66" ht="12.75">
      <c r="B305" s="58" t="s">
        <v>92</v>
      </c>
      <c r="C305" s="58"/>
      <c r="D305" s="58"/>
      <c r="E305" s="58"/>
      <c r="F305" s="58"/>
      <c r="H305" s="2063"/>
      <c r="I305" s="2063"/>
      <c r="J305" s="2063"/>
      <c r="K305" s="2063"/>
      <c r="L305" s="2063"/>
      <c r="M305" s="2063"/>
      <c r="N305" s="2063"/>
      <c r="O305" s="2063"/>
      <c r="P305" s="2063"/>
      <c r="Q305" s="2063"/>
      <c r="R305" s="2063"/>
      <c r="T305" s="58" t="s">
        <v>92</v>
      </c>
      <c r="V305" s="58"/>
      <c r="W305" s="58"/>
      <c r="X305" s="58"/>
      <c r="Y305" s="58"/>
      <c r="AA305" s="2063"/>
      <c r="AB305" s="2063"/>
      <c r="AC305" s="2063"/>
      <c r="AD305" s="2063"/>
      <c r="AE305" s="2063"/>
      <c r="AF305" s="2063"/>
      <c r="AG305" s="2063"/>
      <c r="AH305" s="2063"/>
      <c r="AI305" s="2063"/>
      <c r="AJ305" s="2063"/>
      <c r="AK305" s="2063"/>
      <c r="BN305" s="61"/>
    </row>
    <row r="306" spans="2:66" ht="12.75">
      <c r="B306" s="58" t="s">
        <v>93</v>
      </c>
      <c r="C306" s="58"/>
      <c r="D306" s="58"/>
      <c r="E306" s="58"/>
      <c r="F306" s="58"/>
      <c r="G306" s="58"/>
      <c r="H306" s="2195"/>
      <c r="I306" s="2195"/>
      <c r="J306" s="2195"/>
      <c r="K306" s="2195"/>
      <c r="L306" s="2195"/>
      <c r="M306" s="2195"/>
      <c r="N306" s="7" t="s">
        <v>212</v>
      </c>
      <c r="O306" s="7"/>
      <c r="P306" s="2214"/>
      <c r="Q306" s="2214"/>
      <c r="R306" s="2214"/>
      <c r="S306" s="58"/>
      <c r="T306" s="58" t="s">
        <v>93</v>
      </c>
      <c r="V306" s="58"/>
      <c r="W306" s="58"/>
      <c r="X306" s="58"/>
      <c r="Y306" s="58"/>
      <c r="AA306" s="2195"/>
      <c r="AB306" s="2195"/>
      <c r="AC306" s="2195"/>
      <c r="AD306" s="2195"/>
      <c r="AE306" s="2195"/>
      <c r="AF306" s="2195"/>
      <c r="AG306" s="7" t="s">
        <v>212</v>
      </c>
      <c r="AH306" s="7"/>
      <c r="AI306" s="2214"/>
      <c r="AJ306" s="2214"/>
      <c r="AK306" s="2214"/>
      <c r="BN306" s="61"/>
    </row>
    <row r="307" spans="2:66" ht="12.75">
      <c r="B307" s="58" t="s">
        <v>94</v>
      </c>
      <c r="C307" s="58"/>
      <c r="D307" s="58"/>
      <c r="E307" s="58"/>
      <c r="F307" s="58"/>
      <c r="G307" s="58"/>
      <c r="H307" s="2040"/>
      <c r="I307" s="2040"/>
      <c r="J307" s="2040"/>
      <c r="K307" s="2040"/>
      <c r="L307" s="2040"/>
      <c r="M307" s="2040"/>
      <c r="N307" s="60"/>
      <c r="O307" s="60"/>
      <c r="P307" s="62"/>
      <c r="Q307" s="62"/>
      <c r="R307" s="62"/>
      <c r="S307" s="58"/>
      <c r="T307" s="58" t="s">
        <v>94</v>
      </c>
      <c r="V307" s="58"/>
      <c r="W307" s="58"/>
      <c r="X307" s="58"/>
      <c r="Y307" s="58"/>
      <c r="AA307" s="2040"/>
      <c r="AB307" s="2040"/>
      <c r="AC307" s="2040"/>
      <c r="AD307" s="2040"/>
      <c r="AE307" s="2040"/>
      <c r="AF307" s="2040"/>
      <c r="AG307" s="60"/>
      <c r="AH307" s="60"/>
      <c r="AI307" s="62"/>
      <c r="AJ307" s="62"/>
      <c r="AK307" s="62"/>
      <c r="BN307" s="61"/>
    </row>
    <row r="308" spans="2:66" ht="12.75">
      <c r="B308" s="58" t="s">
        <v>80</v>
      </c>
      <c r="C308" s="58"/>
      <c r="D308" s="58"/>
      <c r="E308" s="58"/>
      <c r="F308" s="58"/>
      <c r="G308" s="58"/>
      <c r="H308" s="2063"/>
      <c r="I308" s="2063"/>
      <c r="J308" s="2063"/>
      <c r="K308" s="2063"/>
      <c r="L308" s="2063"/>
      <c r="M308" s="2063"/>
      <c r="N308" s="2039"/>
      <c r="O308" s="2039"/>
      <c r="P308" s="2039"/>
      <c r="Q308" s="2039"/>
      <c r="R308" s="2039"/>
      <c r="S308" s="58"/>
      <c r="T308" s="58" t="s">
        <v>80</v>
      </c>
      <c r="V308" s="58"/>
      <c r="W308" s="58"/>
      <c r="X308" s="58"/>
      <c r="Y308" s="58"/>
      <c r="AA308" s="2063"/>
      <c r="AB308" s="2063"/>
      <c r="AC308" s="2063"/>
      <c r="AD308" s="2063"/>
      <c r="AE308" s="2063"/>
      <c r="AF308" s="2063"/>
      <c r="AG308" s="2039"/>
      <c r="AH308" s="2039"/>
      <c r="AI308" s="2039"/>
      <c r="AJ308" s="2039"/>
      <c r="AK308" s="20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9" t="s">
        <v>2573</v>
      </c>
      <c r="I310" s="2039"/>
      <c r="J310" s="2039"/>
      <c r="K310" s="2039"/>
      <c r="L310" s="2039"/>
      <c r="M310" s="2039"/>
      <c r="N310" s="2039"/>
      <c r="O310" s="2039"/>
      <c r="P310" s="2039"/>
      <c r="Q310" s="2039"/>
      <c r="R310" s="2039"/>
      <c r="S310" s="58"/>
      <c r="T310" s="58" t="s">
        <v>375</v>
      </c>
      <c r="V310" s="58"/>
      <c r="W310" s="58"/>
      <c r="X310" s="58"/>
      <c r="Y310" s="58"/>
      <c r="AA310" s="2039" t="s">
        <v>2632</v>
      </c>
      <c r="AB310" s="2039"/>
      <c r="AC310" s="2039"/>
      <c r="AD310" s="2039"/>
      <c r="AE310" s="2039"/>
      <c r="AF310" s="2039"/>
      <c r="AG310" s="2039"/>
      <c r="AH310" s="2039"/>
      <c r="AI310" s="2039"/>
      <c r="AJ310" s="2039"/>
      <c r="AK310" s="2039"/>
      <c r="BN310" s="61"/>
    </row>
    <row r="311" spans="2:66" ht="12.75">
      <c r="B311" s="58" t="s">
        <v>503</v>
      </c>
      <c r="C311" s="58"/>
      <c r="D311" s="58"/>
      <c r="E311" s="58"/>
      <c r="F311" s="58"/>
      <c r="H311" s="2063" t="s">
        <v>2618</v>
      </c>
      <c r="I311" s="2063"/>
      <c r="J311" s="2063"/>
      <c r="K311" s="2063"/>
      <c r="L311" s="2063"/>
      <c r="M311" s="2063"/>
      <c r="N311" s="2063"/>
      <c r="O311" s="2063"/>
      <c r="P311" s="2063"/>
      <c r="Q311" s="2063"/>
      <c r="R311" s="2063"/>
      <c r="S311" s="58"/>
      <c r="T311" s="58" t="s">
        <v>503</v>
      </c>
      <c r="V311" s="58"/>
      <c r="W311" s="58"/>
      <c r="X311" s="58"/>
      <c r="Y311" s="58"/>
      <c r="AA311" s="2063" t="s">
        <v>2629</v>
      </c>
      <c r="AB311" s="2063"/>
      <c r="AC311" s="2063"/>
      <c r="AD311" s="2063"/>
      <c r="AE311" s="2063"/>
      <c r="AF311" s="2063"/>
      <c r="AG311" s="2063"/>
      <c r="AH311" s="2063"/>
      <c r="AI311" s="2063"/>
      <c r="AJ311" s="2063"/>
      <c r="AK311" s="2063"/>
      <c r="BN311" s="61"/>
    </row>
    <row r="312" spans="2:66" ht="12.75" customHeight="1">
      <c r="B312" s="58" t="s">
        <v>504</v>
      </c>
      <c r="C312" s="58"/>
      <c r="D312" s="58"/>
      <c r="E312" s="58"/>
      <c r="F312" s="58"/>
      <c r="H312" s="2063" t="s">
        <v>2619</v>
      </c>
      <c r="I312" s="2063"/>
      <c r="J312" s="2063"/>
      <c r="K312" s="2063"/>
      <c r="L312" s="2063"/>
      <c r="M312" s="2063"/>
      <c r="N312" s="2063"/>
      <c r="O312" s="2063"/>
      <c r="P312" s="2063"/>
      <c r="Q312" s="2063"/>
      <c r="R312" s="2063"/>
      <c r="S312" s="58"/>
      <c r="T312" s="58" t="s">
        <v>79</v>
      </c>
      <c r="V312" s="58"/>
      <c r="W312" s="58"/>
      <c r="X312" s="58"/>
      <c r="Y312" s="58"/>
      <c r="AA312" s="2063" t="s">
        <v>2630</v>
      </c>
      <c r="AB312" s="2063"/>
      <c r="AC312" s="2063"/>
      <c r="AD312" s="2063"/>
      <c r="AE312" s="2063"/>
      <c r="AF312" s="2063"/>
      <c r="AG312" s="2063"/>
      <c r="AH312" s="2063"/>
      <c r="AI312" s="2063"/>
      <c r="AJ312" s="2063"/>
      <c r="AK312" s="2063"/>
      <c r="BN312" s="61"/>
    </row>
    <row r="313" spans="2:66" ht="12.75">
      <c r="B313" s="58" t="s">
        <v>92</v>
      </c>
      <c r="C313" s="58"/>
      <c r="D313" s="58"/>
      <c r="E313" s="58"/>
      <c r="F313" s="58"/>
      <c r="H313" s="2063" t="s">
        <v>2577</v>
      </c>
      <c r="I313" s="2063"/>
      <c r="J313" s="2063"/>
      <c r="K313" s="2063"/>
      <c r="L313" s="2063"/>
      <c r="M313" s="2063"/>
      <c r="N313" s="2063"/>
      <c r="O313" s="2063"/>
      <c r="P313" s="2063"/>
      <c r="Q313" s="2063"/>
      <c r="R313" s="2063"/>
      <c r="S313" s="58"/>
      <c r="T313" s="58" t="s">
        <v>92</v>
      </c>
      <c r="V313" s="58"/>
      <c r="W313" s="58"/>
      <c r="X313" s="58"/>
      <c r="Y313" s="58"/>
      <c r="AA313" s="2063" t="s">
        <v>2631</v>
      </c>
      <c r="AB313" s="2063"/>
      <c r="AC313" s="2063"/>
      <c r="AD313" s="2063"/>
      <c r="AE313" s="2063"/>
      <c r="AF313" s="2063"/>
      <c r="AG313" s="2063"/>
      <c r="AH313" s="2063"/>
      <c r="AI313" s="2063"/>
      <c r="AJ313" s="2063"/>
      <c r="AK313" s="2063"/>
      <c r="BN313" s="61"/>
    </row>
    <row r="314" spans="2:66" ht="12.75">
      <c r="B314" s="58" t="s">
        <v>93</v>
      </c>
      <c r="C314" s="58"/>
      <c r="D314" s="58"/>
      <c r="E314" s="58"/>
      <c r="F314" s="58"/>
      <c r="G314" s="58"/>
      <c r="H314" s="2195">
        <v>9169305732</v>
      </c>
      <c r="I314" s="2195"/>
      <c r="J314" s="2195"/>
      <c r="K314" s="2195"/>
      <c r="L314" s="2195"/>
      <c r="M314" s="2195"/>
      <c r="N314" s="7" t="s">
        <v>212</v>
      </c>
      <c r="O314" s="7"/>
      <c r="P314" s="2214"/>
      <c r="Q314" s="2214"/>
      <c r="R314" s="2214"/>
      <c r="S314" s="58"/>
      <c r="T314" s="58" t="s">
        <v>93</v>
      </c>
      <c r="V314" s="58"/>
      <c r="W314" s="58"/>
      <c r="X314" s="58"/>
      <c r="Y314" s="58"/>
      <c r="AA314" s="2195">
        <v>9494392626</v>
      </c>
      <c r="AB314" s="2195"/>
      <c r="AC314" s="2195"/>
      <c r="AD314" s="2195"/>
      <c r="AE314" s="2195"/>
      <c r="AF314" s="2195"/>
      <c r="AG314" s="7" t="s">
        <v>212</v>
      </c>
      <c r="AH314" s="7"/>
      <c r="AI314" s="2214"/>
      <c r="AJ314" s="2214"/>
      <c r="AK314" s="2214"/>
      <c r="BN314" s="61"/>
    </row>
    <row r="315" spans="2:66" ht="12.75">
      <c r="B315" s="58" t="s">
        <v>94</v>
      </c>
      <c r="C315" s="58"/>
      <c r="D315" s="58"/>
      <c r="E315" s="58"/>
      <c r="F315" s="58"/>
      <c r="G315" s="58"/>
      <c r="H315" s="2040">
        <v>9164429103</v>
      </c>
      <c r="I315" s="2040"/>
      <c r="J315" s="2040"/>
      <c r="K315" s="2040"/>
      <c r="L315" s="2040"/>
      <c r="M315" s="2040"/>
      <c r="N315" s="60"/>
      <c r="O315" s="60"/>
      <c r="P315" s="62"/>
      <c r="Q315" s="62"/>
      <c r="R315" s="62"/>
      <c r="S315" s="58"/>
      <c r="T315" s="58" t="s">
        <v>94</v>
      </c>
      <c r="V315" s="58"/>
      <c r="W315" s="58"/>
      <c r="X315" s="58"/>
      <c r="Y315" s="58"/>
      <c r="AA315" s="2131" t="s">
        <v>2558</v>
      </c>
      <c r="AB315" s="2040"/>
      <c r="AC315" s="2040"/>
      <c r="AD315" s="2040"/>
      <c r="AE315" s="2040"/>
      <c r="AF315" s="2040"/>
      <c r="AG315" s="60"/>
      <c r="AH315" s="60"/>
      <c r="AI315" s="62"/>
      <c r="AJ315" s="62"/>
      <c r="AK315" s="62"/>
      <c r="BN315" s="61"/>
    </row>
    <row r="316" spans="2:66" ht="12.75">
      <c r="B316" s="58" t="s">
        <v>80</v>
      </c>
      <c r="C316" s="58"/>
      <c r="D316" s="58"/>
      <c r="E316" s="58"/>
      <c r="F316" s="58"/>
      <c r="G316" s="58"/>
      <c r="H316" s="2063" t="s">
        <v>2578</v>
      </c>
      <c r="I316" s="2063"/>
      <c r="J316" s="2063"/>
      <c r="K316" s="2063"/>
      <c r="L316" s="2063"/>
      <c r="M316" s="2063"/>
      <c r="N316" s="2039"/>
      <c r="O316" s="2039"/>
      <c r="P316" s="2039"/>
      <c r="Q316" s="2039"/>
      <c r="R316" s="2039"/>
      <c r="S316" s="58"/>
      <c r="T316" s="58" t="s">
        <v>80</v>
      </c>
      <c r="V316" s="58"/>
      <c r="W316" s="58"/>
      <c r="X316" s="58"/>
      <c r="Y316" s="58"/>
      <c r="AA316" s="2063" t="s">
        <v>2633</v>
      </c>
      <c r="AB316" s="2063"/>
      <c r="AC316" s="2063"/>
      <c r="AD316" s="2063"/>
      <c r="AE316" s="2063"/>
      <c r="AF316" s="2063"/>
      <c r="AG316" s="2039"/>
      <c r="AH316" s="2039"/>
      <c r="AI316" s="2039"/>
      <c r="AJ316" s="2039"/>
      <c r="AK316" s="2039"/>
      <c r="BN316" s="61"/>
    </row>
    <row r="317" spans="2:66" ht="12.75">
      <c r="BN317" s="61"/>
    </row>
    <row r="318" spans="2:66" ht="12.75">
      <c r="B318" s="7" t="s">
        <v>976</v>
      </c>
      <c r="C318" s="58"/>
      <c r="D318" s="58"/>
      <c r="E318" s="58"/>
      <c r="F318" s="58"/>
      <c r="H318" s="2039" t="s">
        <v>2558</v>
      </c>
      <c r="I318" s="2039"/>
      <c r="J318" s="2039"/>
      <c r="K318" s="2039"/>
      <c r="L318" s="2039"/>
      <c r="M318" s="2039"/>
      <c r="N318" s="2039"/>
      <c r="O318" s="2039"/>
      <c r="P318" s="2039"/>
      <c r="Q318" s="2039"/>
      <c r="R318" s="2039"/>
      <c r="T318" s="58" t="s">
        <v>376</v>
      </c>
      <c r="V318" s="58"/>
      <c r="W318" s="58"/>
      <c r="X318" s="58"/>
      <c r="Y318" s="58"/>
      <c r="AA318" s="2039" t="s">
        <v>2579</v>
      </c>
      <c r="AB318" s="2039"/>
      <c r="AC318" s="2039"/>
      <c r="AD318" s="2039"/>
      <c r="AE318" s="2039"/>
      <c r="AF318" s="2039"/>
      <c r="AG318" s="2039"/>
      <c r="AH318" s="2039"/>
      <c r="AI318" s="2039"/>
      <c r="AJ318" s="2039"/>
      <c r="AK318" s="2039"/>
      <c r="BN318" s="61"/>
    </row>
    <row r="319" spans="2:66" ht="12.75">
      <c r="B319" s="58" t="s">
        <v>503</v>
      </c>
      <c r="C319" s="58"/>
      <c r="D319" s="58"/>
      <c r="E319" s="58"/>
      <c r="F319" s="58"/>
      <c r="H319" s="2063"/>
      <c r="I319" s="2063"/>
      <c r="J319" s="2063"/>
      <c r="K319" s="2063"/>
      <c r="L319" s="2063"/>
      <c r="M319" s="2063"/>
      <c r="N319" s="2063"/>
      <c r="O319" s="2063"/>
      <c r="P319" s="2063"/>
      <c r="Q319" s="2063"/>
      <c r="R319" s="2063"/>
      <c r="T319" s="58" t="s">
        <v>503</v>
      </c>
      <c r="V319" s="58"/>
      <c r="W319" s="58"/>
      <c r="X319" s="58"/>
      <c r="Y319" s="58"/>
      <c r="AA319" s="2063" t="s">
        <v>2598</v>
      </c>
      <c r="AB319" s="2063"/>
      <c r="AC319" s="2063"/>
      <c r="AD319" s="2063"/>
      <c r="AE319" s="2063"/>
      <c r="AF319" s="2063"/>
      <c r="AG319" s="2063"/>
      <c r="AH319" s="2063"/>
      <c r="AI319" s="2063"/>
      <c r="AJ319" s="2063"/>
      <c r="AK319" s="2063"/>
      <c r="BN319" s="61"/>
    </row>
    <row r="320" spans="2:66" ht="12.75">
      <c r="B320" s="58" t="s">
        <v>504</v>
      </c>
      <c r="C320" s="58"/>
      <c r="D320" s="58"/>
      <c r="E320" s="58"/>
      <c r="F320" s="58"/>
      <c r="H320" s="2063"/>
      <c r="I320" s="2063"/>
      <c r="J320" s="2063"/>
      <c r="K320" s="2063"/>
      <c r="L320" s="2063"/>
      <c r="M320" s="2063"/>
      <c r="N320" s="2063"/>
      <c r="O320" s="2063"/>
      <c r="P320" s="2063"/>
      <c r="Q320" s="2063"/>
      <c r="R320" s="2063"/>
      <c r="T320" s="58" t="s">
        <v>79</v>
      </c>
      <c r="V320" s="58"/>
      <c r="W320" s="58"/>
      <c r="X320" s="58"/>
      <c r="Y320" s="58"/>
      <c r="AA320" s="2063" t="s">
        <v>2599</v>
      </c>
      <c r="AB320" s="2063"/>
      <c r="AC320" s="2063"/>
      <c r="AD320" s="2063"/>
      <c r="AE320" s="2063"/>
      <c r="AF320" s="2063"/>
      <c r="AG320" s="2063"/>
      <c r="AH320" s="2063"/>
      <c r="AI320" s="2063"/>
      <c r="AJ320" s="2063"/>
      <c r="AK320" s="2063"/>
      <c r="BN320" s="61"/>
    </row>
    <row r="321" spans="1:66" ht="12.75" customHeight="1">
      <c r="A321" s="39"/>
      <c r="B321" s="58" t="s">
        <v>92</v>
      </c>
      <c r="C321" s="58"/>
      <c r="D321" s="58"/>
      <c r="E321" s="58"/>
      <c r="F321" s="58"/>
      <c r="H321" s="2063"/>
      <c r="I321" s="2063"/>
      <c r="J321" s="2063"/>
      <c r="K321" s="2063"/>
      <c r="L321" s="2063"/>
      <c r="M321" s="2063"/>
      <c r="N321" s="2063"/>
      <c r="O321" s="2063"/>
      <c r="P321" s="2063"/>
      <c r="Q321" s="2063"/>
      <c r="R321" s="2063"/>
      <c r="T321" s="58" t="s">
        <v>92</v>
      </c>
      <c r="V321" s="58"/>
      <c r="W321" s="58"/>
      <c r="X321" s="58"/>
      <c r="Y321" s="58"/>
      <c r="AA321" s="2091" t="s">
        <v>2600</v>
      </c>
      <c r="AB321" s="2063"/>
      <c r="AC321" s="2063"/>
      <c r="AD321" s="2063"/>
      <c r="AE321" s="2063"/>
      <c r="AF321" s="2063"/>
      <c r="AG321" s="2063"/>
      <c r="AH321" s="2063"/>
      <c r="AI321" s="2063"/>
      <c r="AJ321" s="2063"/>
      <c r="AK321" s="2063"/>
      <c r="AL321" s="39"/>
      <c r="BN321" s="61"/>
    </row>
    <row r="322" spans="1:66" ht="12.75">
      <c r="A322" s="39"/>
      <c r="B322" s="58" t="s">
        <v>93</v>
      </c>
      <c r="C322" s="58"/>
      <c r="D322" s="58"/>
      <c r="E322" s="58"/>
      <c r="F322" s="58"/>
      <c r="G322" s="58"/>
      <c r="H322" s="2195"/>
      <c r="I322" s="2195"/>
      <c r="J322" s="2195"/>
      <c r="K322" s="2195"/>
      <c r="L322" s="2195"/>
      <c r="M322" s="2195"/>
      <c r="N322" s="7" t="s">
        <v>212</v>
      </c>
      <c r="O322" s="7"/>
      <c r="P322" s="2214"/>
      <c r="Q322" s="2214"/>
      <c r="R322" s="2214"/>
      <c r="S322" s="58"/>
      <c r="T322" s="58" t="s">
        <v>93</v>
      </c>
      <c r="V322" s="58"/>
      <c r="W322" s="58"/>
      <c r="X322" s="58"/>
      <c r="Y322" s="58"/>
      <c r="AA322" s="2221">
        <v>4022020771</v>
      </c>
      <c r="AB322" s="2221"/>
      <c r="AC322" s="2221"/>
      <c r="AD322" s="2221"/>
      <c r="AE322" s="2221"/>
      <c r="AF322" s="2221"/>
      <c r="AG322" s="7" t="s">
        <v>212</v>
      </c>
      <c r="AH322" s="7"/>
      <c r="AI322" s="2214"/>
      <c r="AJ322" s="2214"/>
      <c r="AK322" s="2214"/>
      <c r="AL322" s="39"/>
      <c r="BN322" s="61"/>
    </row>
    <row r="323" spans="1:66" ht="12.75" customHeight="1">
      <c r="A323" s="39"/>
      <c r="B323" s="58" t="s">
        <v>94</v>
      </c>
      <c r="C323" s="58"/>
      <c r="D323" s="58"/>
      <c r="E323" s="58"/>
      <c r="F323" s="58"/>
      <c r="G323" s="58"/>
      <c r="H323" s="2040"/>
      <c r="I323" s="2040"/>
      <c r="J323" s="2040"/>
      <c r="K323" s="2040"/>
      <c r="L323" s="2040"/>
      <c r="M323" s="2040"/>
      <c r="N323" s="60"/>
      <c r="O323" s="60"/>
      <c r="P323" s="62"/>
      <c r="Q323" s="62"/>
      <c r="R323" s="62"/>
      <c r="S323" s="58"/>
      <c r="T323" s="58" t="s">
        <v>94</v>
      </c>
      <c r="V323" s="58"/>
      <c r="W323" s="58"/>
      <c r="X323" s="58"/>
      <c r="Y323" s="58"/>
      <c r="AA323" s="2131" t="s">
        <v>625</v>
      </c>
      <c r="AB323" s="2040"/>
      <c r="AC323" s="2040"/>
      <c r="AD323" s="2040"/>
      <c r="AE323" s="2040"/>
      <c r="AF323" s="2040"/>
      <c r="AG323" s="60"/>
      <c r="AH323" s="60"/>
      <c r="AI323" s="62"/>
      <c r="AJ323" s="62"/>
      <c r="AK323" s="62"/>
      <c r="AL323" s="39"/>
    </row>
    <row r="324" spans="1:66" ht="12.75">
      <c r="A324" s="39"/>
      <c r="B324" s="58" t="s">
        <v>80</v>
      </c>
      <c r="C324" s="58"/>
      <c r="D324" s="58"/>
      <c r="E324" s="58"/>
      <c r="F324" s="58"/>
      <c r="G324" s="58"/>
      <c r="H324" s="2063"/>
      <c r="I324" s="2063"/>
      <c r="J324" s="2063"/>
      <c r="K324" s="2063"/>
      <c r="L324" s="2063"/>
      <c r="M324" s="2063"/>
      <c r="N324" s="2039"/>
      <c r="O324" s="2039"/>
      <c r="P324" s="2039"/>
      <c r="Q324" s="2039"/>
      <c r="R324" s="2039"/>
      <c r="S324" s="58"/>
      <c r="T324" s="58" t="s">
        <v>80</v>
      </c>
      <c r="V324" s="58"/>
      <c r="W324" s="58"/>
      <c r="X324" s="58"/>
      <c r="Y324" s="58"/>
      <c r="AA324" s="2063" t="s">
        <v>2601</v>
      </c>
      <c r="AB324" s="2063"/>
      <c r="AC324" s="2063"/>
      <c r="AD324" s="2063"/>
      <c r="AE324" s="2063"/>
      <c r="AF324" s="2063"/>
      <c r="AG324" s="2039"/>
      <c r="AH324" s="2039"/>
      <c r="AI324" s="2039"/>
      <c r="AJ324" s="2039"/>
      <c r="AK324" s="203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9" t="s">
        <v>2558</v>
      </c>
      <c r="I326" s="2039"/>
      <c r="J326" s="2039"/>
      <c r="K326" s="2039"/>
      <c r="L326" s="2039"/>
      <c r="M326" s="2039"/>
      <c r="N326" s="2039"/>
      <c r="O326" s="2039"/>
      <c r="P326" s="2039"/>
      <c r="Q326" s="2039"/>
      <c r="R326" s="2039"/>
      <c r="T326" s="58" t="s">
        <v>378</v>
      </c>
      <c r="V326" s="58"/>
      <c r="W326" s="58"/>
      <c r="X326" s="58"/>
      <c r="Y326" s="58"/>
      <c r="AA326" s="2039" t="s">
        <v>2558</v>
      </c>
      <c r="AB326" s="2039"/>
      <c r="AC326" s="2039"/>
      <c r="AD326" s="2039"/>
      <c r="AE326" s="2039"/>
      <c r="AF326" s="2039"/>
      <c r="AG326" s="2039"/>
      <c r="AH326" s="2039"/>
      <c r="AI326" s="2039"/>
      <c r="AJ326" s="2039"/>
      <c r="AK326" s="2039"/>
      <c r="AL326" s="39"/>
    </row>
    <row r="327" spans="1:66" ht="12.75">
      <c r="A327" s="39"/>
      <c r="B327" s="58" t="s">
        <v>503</v>
      </c>
      <c r="C327" s="58"/>
      <c r="D327" s="58"/>
      <c r="E327" s="58"/>
      <c r="F327" s="58"/>
      <c r="H327" s="2063"/>
      <c r="I327" s="2063"/>
      <c r="J327" s="2063"/>
      <c r="K327" s="2063"/>
      <c r="L327" s="2063"/>
      <c r="M327" s="2063"/>
      <c r="N327" s="2063"/>
      <c r="O327" s="2063"/>
      <c r="P327" s="2063"/>
      <c r="Q327" s="2063"/>
      <c r="R327" s="2063"/>
      <c r="T327" s="58" t="s">
        <v>503</v>
      </c>
      <c r="V327" s="58"/>
      <c r="W327" s="58"/>
      <c r="X327" s="58"/>
      <c r="Y327" s="58"/>
      <c r="AA327" s="2063"/>
      <c r="AB327" s="2063"/>
      <c r="AC327" s="2063"/>
      <c r="AD327" s="2063"/>
      <c r="AE327" s="2063"/>
      <c r="AF327" s="2063"/>
      <c r="AG327" s="2063"/>
      <c r="AH327" s="2063"/>
      <c r="AI327" s="2063"/>
      <c r="AJ327" s="2063"/>
      <c r="AK327" s="2063"/>
      <c r="AL327" s="39"/>
    </row>
    <row r="328" spans="1:66" ht="12.75">
      <c r="A328" s="39"/>
      <c r="B328" s="58" t="s">
        <v>504</v>
      </c>
      <c r="C328" s="58"/>
      <c r="D328" s="58"/>
      <c r="E328" s="58"/>
      <c r="F328" s="58"/>
      <c r="H328" s="2063"/>
      <c r="I328" s="2063"/>
      <c r="J328" s="2063"/>
      <c r="K328" s="2063"/>
      <c r="L328" s="2063"/>
      <c r="M328" s="2063"/>
      <c r="N328" s="2063"/>
      <c r="O328" s="2063"/>
      <c r="P328" s="2063"/>
      <c r="Q328" s="2063"/>
      <c r="R328" s="2063"/>
      <c r="T328" s="58" t="s">
        <v>79</v>
      </c>
      <c r="V328" s="58"/>
      <c r="W328" s="58"/>
      <c r="X328" s="58"/>
      <c r="Y328" s="58"/>
      <c r="AA328" s="2063"/>
      <c r="AB328" s="2063"/>
      <c r="AC328" s="2063"/>
      <c r="AD328" s="2063"/>
      <c r="AE328" s="2063"/>
      <c r="AF328" s="2063"/>
      <c r="AG328" s="2063"/>
      <c r="AH328" s="2063"/>
      <c r="AI328" s="2063"/>
      <c r="AJ328" s="2063"/>
      <c r="AK328" s="2063"/>
      <c r="AL328" s="39"/>
    </row>
    <row r="329" spans="1:66" ht="12.75">
      <c r="A329" s="39"/>
      <c r="B329" s="58" t="s">
        <v>92</v>
      </c>
      <c r="C329" s="58"/>
      <c r="D329" s="58"/>
      <c r="E329" s="58"/>
      <c r="F329" s="58"/>
      <c r="H329" s="2063"/>
      <c r="I329" s="2063"/>
      <c r="J329" s="2063"/>
      <c r="K329" s="2063"/>
      <c r="L329" s="2063"/>
      <c r="M329" s="2063"/>
      <c r="N329" s="2063"/>
      <c r="O329" s="2063"/>
      <c r="P329" s="2063"/>
      <c r="Q329" s="2063"/>
      <c r="R329" s="2063"/>
      <c r="T329" s="58" t="s">
        <v>92</v>
      </c>
      <c r="V329" s="58"/>
      <c r="W329" s="58"/>
      <c r="X329" s="58"/>
      <c r="Y329" s="58"/>
      <c r="AA329" s="2063"/>
      <c r="AB329" s="2063"/>
      <c r="AC329" s="2063"/>
      <c r="AD329" s="2063"/>
      <c r="AE329" s="2063"/>
      <c r="AF329" s="2063"/>
      <c r="AG329" s="2063"/>
      <c r="AH329" s="2063"/>
      <c r="AI329" s="2063"/>
      <c r="AJ329" s="2063"/>
      <c r="AK329" s="2063"/>
      <c r="AL329" s="39"/>
    </row>
    <row r="330" spans="1:66" ht="12.75" customHeight="1">
      <c r="A330" s="39"/>
      <c r="B330" s="58" t="s">
        <v>93</v>
      </c>
      <c r="C330" s="58"/>
      <c r="D330" s="58"/>
      <c r="E330" s="58"/>
      <c r="F330" s="58"/>
      <c r="G330" s="58"/>
      <c r="H330" s="2195"/>
      <c r="I330" s="2195"/>
      <c r="J330" s="2195"/>
      <c r="K330" s="2195"/>
      <c r="L330" s="2195"/>
      <c r="M330" s="2195"/>
      <c r="N330" s="7" t="s">
        <v>212</v>
      </c>
      <c r="O330" s="7"/>
      <c r="P330" s="2214"/>
      <c r="Q330" s="2214"/>
      <c r="R330" s="2214"/>
      <c r="S330" s="58"/>
      <c r="T330" s="58" t="s">
        <v>93</v>
      </c>
      <c r="V330" s="58"/>
      <c r="W330" s="58"/>
      <c r="X330" s="58"/>
      <c r="Y330" s="58"/>
      <c r="AA330" s="2195"/>
      <c r="AB330" s="2195"/>
      <c r="AC330" s="2195"/>
      <c r="AD330" s="2195"/>
      <c r="AE330" s="2195"/>
      <c r="AF330" s="2195"/>
      <c r="AG330" s="7" t="s">
        <v>212</v>
      </c>
      <c r="AH330" s="7"/>
      <c r="AI330" s="2214"/>
      <c r="AJ330" s="2214"/>
      <c r="AK330" s="2214"/>
      <c r="AL330" s="39"/>
    </row>
    <row r="331" spans="1:66" ht="12.75">
      <c r="A331" s="39"/>
      <c r="B331" s="58" t="s">
        <v>94</v>
      </c>
      <c r="C331" s="58"/>
      <c r="D331" s="58"/>
      <c r="E331" s="58"/>
      <c r="F331" s="58"/>
      <c r="G331" s="58"/>
      <c r="H331" s="2040"/>
      <c r="I331" s="2040"/>
      <c r="J331" s="2040"/>
      <c r="K331" s="2040"/>
      <c r="L331" s="2040"/>
      <c r="M331" s="2040"/>
      <c r="N331" s="60"/>
      <c r="O331" s="60"/>
      <c r="P331" s="62"/>
      <c r="Q331" s="62"/>
      <c r="R331" s="62"/>
      <c r="S331" s="58"/>
      <c r="T331" s="58" t="s">
        <v>94</v>
      </c>
      <c r="V331" s="58"/>
      <c r="W331" s="58"/>
      <c r="X331" s="58"/>
      <c r="Y331" s="58"/>
      <c r="AA331" s="2040"/>
      <c r="AB331" s="2040"/>
      <c r="AC331" s="2040"/>
      <c r="AD331" s="2040"/>
      <c r="AE331" s="2040"/>
      <c r="AF331" s="2040"/>
      <c r="AG331" s="60"/>
      <c r="AH331" s="60"/>
      <c r="AI331" s="62"/>
      <c r="AJ331" s="62"/>
      <c r="AK331" s="62"/>
      <c r="AL331" s="39"/>
    </row>
    <row r="332" spans="1:66" ht="12.75">
      <c r="A332" s="39"/>
      <c r="B332" s="58" t="s">
        <v>80</v>
      </c>
      <c r="C332" s="58"/>
      <c r="D332" s="58"/>
      <c r="E332" s="58"/>
      <c r="F332" s="58"/>
      <c r="G332" s="58"/>
      <c r="H332" s="2063"/>
      <c r="I332" s="2063"/>
      <c r="J332" s="2063"/>
      <c r="K332" s="2063"/>
      <c r="L332" s="2063"/>
      <c r="M332" s="2063"/>
      <c r="N332" s="2039"/>
      <c r="O332" s="2039"/>
      <c r="P332" s="2039"/>
      <c r="Q332" s="2039"/>
      <c r="R332" s="2039"/>
      <c r="S332" s="58"/>
      <c r="T332" s="58" t="s">
        <v>80</v>
      </c>
      <c r="V332" s="58"/>
      <c r="W332" s="58"/>
      <c r="X332" s="58"/>
      <c r="Y332" s="58"/>
      <c r="AA332" s="2063"/>
      <c r="AB332" s="2063"/>
      <c r="AC332" s="2063"/>
      <c r="AD332" s="2063"/>
      <c r="AE332" s="2063"/>
      <c r="AF332" s="2063"/>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2602</v>
      </c>
      <c r="I334" s="2039"/>
      <c r="J334" s="2039"/>
      <c r="K334" s="2039"/>
      <c r="L334" s="2039"/>
      <c r="M334" s="2039"/>
      <c r="N334" s="2039"/>
      <c r="O334" s="2039"/>
      <c r="P334" s="2039"/>
      <c r="Q334" s="2039"/>
      <c r="R334" s="2039"/>
      <c r="T334" s="405" t="s">
        <v>951</v>
      </c>
      <c r="V334" s="58"/>
      <c r="W334" s="58"/>
      <c r="X334" s="58"/>
      <c r="Y334" s="58"/>
      <c r="AA334" s="2213" t="s">
        <v>2580</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63" t="s">
        <v>2603</v>
      </c>
      <c r="I335" s="2063"/>
      <c r="J335" s="2063"/>
      <c r="K335" s="2063"/>
      <c r="L335" s="2063"/>
      <c r="M335" s="2063"/>
      <c r="N335" s="2063"/>
      <c r="O335" s="2063"/>
      <c r="P335" s="2063"/>
      <c r="Q335" s="2063"/>
      <c r="R335" s="2063"/>
      <c r="T335" s="58" t="s">
        <v>503</v>
      </c>
      <c r="V335" s="58"/>
      <c r="W335" s="58"/>
      <c r="X335" s="58"/>
      <c r="Y335" s="58"/>
      <c r="AA335" s="2091" t="s">
        <v>2545</v>
      </c>
      <c r="AB335" s="2063"/>
      <c r="AC335" s="2063"/>
      <c r="AD335" s="2063"/>
      <c r="AE335" s="2063"/>
      <c r="AF335" s="2063"/>
      <c r="AG335" s="2063"/>
      <c r="AH335" s="2063"/>
      <c r="AI335" s="2063"/>
      <c r="AJ335" s="2063"/>
      <c r="AK335" s="2063"/>
      <c r="AL335" s="39"/>
    </row>
    <row r="336" spans="1:66" ht="12.75" customHeight="1">
      <c r="B336" s="58" t="s">
        <v>79</v>
      </c>
      <c r="C336" s="240"/>
      <c r="D336" s="240"/>
      <c r="E336" s="240"/>
      <c r="F336" s="240"/>
      <c r="G336" s="3"/>
      <c r="H336" s="2063" t="s">
        <v>2604</v>
      </c>
      <c r="I336" s="2063"/>
      <c r="J336" s="2063"/>
      <c r="K336" s="2063"/>
      <c r="L336" s="2063"/>
      <c r="M336" s="2063"/>
      <c r="N336" s="2063"/>
      <c r="O336" s="2063"/>
      <c r="P336" s="2063"/>
      <c r="Q336" s="2063"/>
      <c r="R336" s="2063"/>
      <c r="T336" s="58" t="s">
        <v>79</v>
      </c>
      <c r="V336" s="58"/>
      <c r="W336" s="58"/>
      <c r="X336" s="58"/>
      <c r="Y336" s="58"/>
      <c r="AA336" s="2091" t="s">
        <v>2562</v>
      </c>
      <c r="AB336" s="2063"/>
      <c r="AC336" s="2063"/>
      <c r="AD336" s="2063"/>
      <c r="AE336" s="2063"/>
      <c r="AF336" s="2063"/>
      <c r="AG336" s="2063"/>
      <c r="AH336" s="2063"/>
      <c r="AI336" s="2063"/>
      <c r="AJ336" s="2063"/>
      <c r="AK336" s="2063"/>
      <c r="AL336" s="39"/>
    </row>
    <row r="337" spans="1:66" ht="12.75" customHeight="1">
      <c r="A337" s="39"/>
      <c r="B337" s="58" t="s">
        <v>92</v>
      </c>
      <c r="C337" s="240"/>
      <c r="D337" s="240"/>
      <c r="E337" s="240"/>
      <c r="F337" s="240"/>
      <c r="G337" s="240"/>
      <c r="H337" s="2063" t="s">
        <v>2605</v>
      </c>
      <c r="I337" s="2063"/>
      <c r="J337" s="2063"/>
      <c r="K337" s="2063"/>
      <c r="L337" s="2063"/>
      <c r="M337" s="2063"/>
      <c r="N337" s="2063"/>
      <c r="O337" s="2063"/>
      <c r="P337" s="2063"/>
      <c r="Q337" s="2063"/>
      <c r="R337" s="2063"/>
      <c r="T337" s="58" t="s">
        <v>92</v>
      </c>
      <c r="V337" s="58"/>
      <c r="W337" s="58"/>
      <c r="X337" s="58"/>
      <c r="Y337" s="58"/>
      <c r="AA337" s="2091" t="s">
        <v>2581</v>
      </c>
      <c r="AB337" s="2063"/>
      <c r="AC337" s="2063"/>
      <c r="AD337" s="2063"/>
      <c r="AE337" s="2063"/>
      <c r="AF337" s="2063"/>
      <c r="AG337" s="2063"/>
      <c r="AH337" s="2063"/>
      <c r="AI337" s="2063"/>
      <c r="AJ337" s="2063"/>
      <c r="AK337" s="2063"/>
      <c r="AL337" s="39"/>
    </row>
    <row r="338" spans="1:66" ht="12.75" customHeight="1">
      <c r="A338" s="39"/>
      <c r="B338" s="58" t="s">
        <v>93</v>
      </c>
      <c r="C338" s="240"/>
      <c r="D338" s="240"/>
      <c r="E338" s="240"/>
      <c r="F338" s="240"/>
      <c r="G338" s="240"/>
      <c r="H338" s="2221" t="s">
        <v>2607</v>
      </c>
      <c r="I338" s="2195"/>
      <c r="J338" s="2195"/>
      <c r="K338" s="2195"/>
      <c r="L338" s="2195"/>
      <c r="M338" s="2195"/>
      <c r="N338" s="7" t="s">
        <v>212</v>
      </c>
      <c r="O338" s="7"/>
      <c r="P338" s="2214"/>
      <c r="Q338" s="2214"/>
      <c r="R338" s="2214"/>
      <c r="S338" s="58"/>
      <c r="T338" s="58" t="s">
        <v>93</v>
      </c>
      <c r="V338" s="58"/>
      <c r="W338" s="58"/>
      <c r="X338" s="58"/>
      <c r="Y338" s="58"/>
      <c r="AA338" s="2221">
        <v>9167243939</v>
      </c>
      <c r="AB338" s="2221"/>
      <c r="AC338" s="2221"/>
      <c r="AD338" s="2221"/>
      <c r="AE338" s="2221"/>
      <c r="AF338" s="2221"/>
      <c r="AG338" s="7" t="s">
        <v>212</v>
      </c>
      <c r="AH338" s="7"/>
      <c r="AI338" s="2214"/>
      <c r="AJ338" s="2214"/>
      <c r="AK338" s="2214"/>
      <c r="AL338" s="39"/>
    </row>
    <row r="339" spans="1:66" ht="12.75">
      <c r="A339" s="39"/>
      <c r="B339" s="58" t="s">
        <v>94</v>
      </c>
      <c r="C339" s="240"/>
      <c r="D339" s="240"/>
      <c r="E339" s="240"/>
      <c r="F339" s="240"/>
      <c r="G339" s="240"/>
      <c r="H339" s="2131" t="s">
        <v>2606</v>
      </c>
      <c r="I339" s="2040"/>
      <c r="J339" s="2040"/>
      <c r="K339" s="2040"/>
      <c r="L339" s="2040"/>
      <c r="M339" s="2040"/>
      <c r="N339" s="60"/>
      <c r="O339" s="60"/>
      <c r="P339" s="62"/>
      <c r="Q339" s="62"/>
      <c r="R339" s="62"/>
      <c r="S339" s="58"/>
      <c r="T339" s="58" t="s">
        <v>94</v>
      </c>
      <c r="V339" s="58"/>
      <c r="W339" s="58"/>
      <c r="X339" s="58"/>
      <c r="Y339" s="58"/>
      <c r="AA339" s="2131">
        <v>9167735866</v>
      </c>
      <c r="AB339" s="2131"/>
      <c r="AC339" s="2131"/>
      <c r="AD339" s="2131"/>
      <c r="AE339" s="2131"/>
      <c r="AF339" s="2131"/>
      <c r="AG339" s="60"/>
      <c r="AH339" s="60"/>
      <c r="AI339" s="62"/>
      <c r="AJ339" s="62"/>
      <c r="AK339" s="62"/>
      <c r="AL339" s="39"/>
    </row>
    <row r="340" spans="1:66" ht="12.75">
      <c r="A340" s="39"/>
      <c r="B340" s="58" t="s">
        <v>80</v>
      </c>
      <c r="C340" s="237"/>
      <c r="D340" s="237"/>
      <c r="E340" s="237"/>
      <c r="F340" s="237"/>
      <c r="G340" s="237"/>
      <c r="H340" s="2063" t="s">
        <v>2608</v>
      </c>
      <c r="I340" s="2063"/>
      <c r="J340" s="2063"/>
      <c r="K340" s="2063"/>
      <c r="L340" s="2063"/>
      <c r="M340" s="2063"/>
      <c r="N340" s="2039"/>
      <c r="O340" s="2039"/>
      <c r="P340" s="2039"/>
      <c r="Q340" s="2039"/>
      <c r="R340" s="2039"/>
      <c r="S340" s="58"/>
      <c r="T340" s="58" t="s">
        <v>80</v>
      </c>
      <c r="V340" s="58"/>
      <c r="W340" s="58"/>
      <c r="X340" s="58"/>
      <c r="Y340" s="58"/>
      <c r="AA340" s="2063" t="s">
        <v>2582</v>
      </c>
      <c r="AB340" s="2063"/>
      <c r="AC340" s="2063"/>
      <c r="AD340" s="2063"/>
      <c r="AE340" s="2063"/>
      <c r="AF340" s="2063"/>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9" t="s">
        <v>2558</v>
      </c>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2.75">
      <c r="A343" s="3"/>
      <c r="B343" s="60"/>
      <c r="C343" s="60"/>
      <c r="D343" s="60"/>
      <c r="E343" s="60"/>
      <c r="F343" s="60"/>
      <c r="G343" s="3"/>
      <c r="H343" s="88"/>
      <c r="I343" s="7" t="s">
        <v>503</v>
      </c>
      <c r="P343" s="2063"/>
      <c r="Q343" s="2063"/>
      <c r="R343" s="2063"/>
      <c r="S343" s="2063"/>
      <c r="T343" s="2063"/>
      <c r="U343" s="2063"/>
      <c r="V343" s="2063"/>
      <c r="W343" s="2063"/>
      <c r="X343" s="2063"/>
      <c r="Y343" s="2063"/>
      <c r="Z343" s="2063"/>
      <c r="AA343" s="2063"/>
      <c r="AB343" s="2063"/>
      <c r="AC343" s="2063"/>
      <c r="AD343" s="2063"/>
      <c r="AE343" s="2063"/>
      <c r="AF343" s="88"/>
      <c r="AG343" s="88"/>
      <c r="AH343" s="88"/>
      <c r="AI343" s="88"/>
      <c r="AJ343" s="88"/>
      <c r="AK343" s="88"/>
      <c r="AL343" s="39"/>
      <c r="BN343" s="12" t="s">
        <v>705</v>
      </c>
    </row>
    <row r="344" spans="1:66" ht="12.75">
      <c r="A344" s="3"/>
      <c r="B344" s="60"/>
      <c r="C344" s="60"/>
      <c r="D344" s="60"/>
      <c r="E344" s="60"/>
      <c r="F344" s="60"/>
      <c r="G344" s="3"/>
      <c r="H344" s="88"/>
      <c r="I344" s="7" t="s">
        <v>79</v>
      </c>
      <c r="P344" s="2063"/>
      <c r="Q344" s="2063"/>
      <c r="R344" s="2063"/>
      <c r="S344" s="2063"/>
      <c r="T344" s="2063"/>
      <c r="U344" s="2063"/>
      <c r="V344" s="2063"/>
      <c r="W344" s="2063"/>
      <c r="X344" s="2063"/>
      <c r="Y344" s="2063"/>
      <c r="Z344" s="2063"/>
      <c r="AA344" s="2063"/>
      <c r="AB344" s="2063"/>
      <c r="AC344" s="2063"/>
      <c r="AD344" s="2063"/>
      <c r="AE344" s="2063"/>
      <c r="AF344" s="88"/>
      <c r="AG344" s="88"/>
      <c r="AH344" s="88"/>
      <c r="AI344" s="88"/>
      <c r="AJ344" s="88"/>
      <c r="AK344" s="88"/>
      <c r="AL344" s="39"/>
      <c r="BN344" s="12" t="s">
        <v>577</v>
      </c>
    </row>
    <row r="345" spans="1:66" ht="12.75">
      <c r="A345" s="3"/>
      <c r="B345" s="60"/>
      <c r="C345" s="60"/>
      <c r="D345" s="60"/>
      <c r="E345" s="60"/>
      <c r="F345" s="60"/>
      <c r="G345" s="60"/>
      <c r="H345" s="88"/>
      <c r="I345" s="7" t="s">
        <v>92</v>
      </c>
      <c r="P345" s="2063"/>
      <c r="Q345" s="2063"/>
      <c r="R345" s="2063"/>
      <c r="S345" s="2063"/>
      <c r="T345" s="2063"/>
      <c r="U345" s="2063"/>
      <c r="V345" s="2063"/>
      <c r="W345" s="2063"/>
      <c r="X345" s="2063"/>
      <c r="Y345" s="2063"/>
      <c r="Z345" s="2063"/>
      <c r="AA345" s="2063"/>
      <c r="AB345" s="2063"/>
      <c r="AC345" s="2063"/>
      <c r="AD345" s="2063"/>
      <c r="AE345" s="2063"/>
      <c r="AF345" s="88"/>
      <c r="AG345" s="88"/>
      <c r="AH345" s="88"/>
      <c r="AI345" s="88"/>
      <c r="AJ345" s="88"/>
      <c r="AK345" s="88"/>
      <c r="AL345" s="39"/>
    </row>
    <row r="346" spans="1:66" ht="12.75">
      <c r="A346" s="3"/>
      <c r="B346" s="60"/>
      <c r="C346" s="60"/>
      <c r="D346" s="60"/>
      <c r="E346" s="60"/>
      <c r="F346" s="60"/>
      <c r="G346" s="60"/>
      <c r="H346" s="465"/>
      <c r="I346" s="7" t="s">
        <v>93</v>
      </c>
      <c r="P346" s="2040"/>
      <c r="Q346" s="2040"/>
      <c r="R346" s="2040"/>
      <c r="S346" s="2040"/>
      <c r="T346" s="2040"/>
      <c r="U346" s="2040"/>
      <c r="V346" s="2040"/>
      <c r="W346" s="2040"/>
      <c r="X346" s="2040"/>
      <c r="Y346" s="2040"/>
      <c r="Z346" s="2040"/>
      <c r="AA346" s="7" t="s">
        <v>212</v>
      </c>
      <c r="AB346" s="7"/>
      <c r="AC346" s="2062"/>
      <c r="AD346" s="2062"/>
      <c r="AE346" s="2062"/>
      <c r="AF346" s="465"/>
      <c r="AG346" s="60"/>
      <c r="AH346" s="60"/>
      <c r="AI346" s="406"/>
      <c r="AJ346" s="406"/>
      <c r="AK346" s="406"/>
      <c r="AL346" s="39"/>
    </row>
    <row r="347" spans="1:66" ht="12.75" customHeight="1">
      <c r="A347" s="3"/>
      <c r="B347" s="60"/>
      <c r="C347" s="60"/>
      <c r="D347" s="60"/>
      <c r="E347" s="60"/>
      <c r="F347" s="60"/>
      <c r="G347" s="60"/>
      <c r="H347" s="465"/>
      <c r="I347" s="7" t="s">
        <v>94</v>
      </c>
      <c r="P347" s="2040"/>
      <c r="Q347" s="2040"/>
      <c r="R347" s="2040"/>
      <c r="S347" s="2040"/>
      <c r="T347" s="2040"/>
      <c r="U347" s="2040"/>
      <c r="V347" s="2040"/>
      <c r="W347" s="2040"/>
      <c r="X347" s="2040"/>
      <c r="Y347" s="2040"/>
      <c r="Z347" s="2040"/>
      <c r="AF347" s="465"/>
      <c r="AG347" s="60"/>
      <c r="AH347" s="60"/>
      <c r="AI347" s="62"/>
      <c r="AJ347" s="62"/>
      <c r="AK347" s="62"/>
      <c r="AL347" s="39"/>
    </row>
    <row r="348" spans="1:66" ht="12.75">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4" t="s">
        <v>574</v>
      </c>
      <c r="B350" s="2054"/>
      <c r="C350" s="2054"/>
      <c r="D350" s="2054"/>
      <c r="E350" s="2054"/>
      <c r="F350" s="2054"/>
      <c r="G350" s="2054"/>
      <c r="H350" s="2054"/>
      <c r="I350" s="2054"/>
      <c r="J350" s="2054"/>
      <c r="K350" s="2054"/>
      <c r="L350" s="2054"/>
      <c r="M350" s="2054"/>
      <c r="N350" s="2054"/>
      <c r="O350" s="2054"/>
      <c r="P350" s="2054"/>
      <c r="Q350" s="2054"/>
      <c r="R350" s="2054"/>
      <c r="S350" s="2054"/>
      <c r="T350" s="2054"/>
      <c r="U350" s="2054"/>
      <c r="V350" s="2054"/>
      <c r="W350" s="2054"/>
      <c r="X350" s="2054"/>
      <c r="Y350" s="2054"/>
      <c r="Z350" s="2054"/>
      <c r="AA350" s="2054"/>
      <c r="AB350" s="2054"/>
      <c r="AC350" s="2054"/>
      <c r="AD350" s="2054"/>
      <c r="AE350" s="2054"/>
      <c r="AF350" s="2054"/>
      <c r="AG350" s="2054"/>
      <c r="AH350" s="2054"/>
      <c r="AI350" s="2054"/>
      <c r="AJ350" s="2054"/>
      <c r="AK350" s="2054"/>
      <c r="AL350" s="2054"/>
      <c r="AM350" s="144"/>
      <c r="AN350" s="144"/>
      <c r="AO350" s="144"/>
      <c r="AP350" s="144"/>
      <c r="AQ350" s="144"/>
      <c r="AR350" s="144"/>
      <c r="AS350" s="144"/>
      <c r="AT350" s="144"/>
      <c r="AU350" s="144"/>
      <c r="AV350" s="144"/>
      <c r="AW350" s="144"/>
      <c r="AX350" s="144"/>
      <c r="AY350" s="144"/>
    </row>
    <row r="351" spans="1:66" ht="13.5" thickBot="1">
      <c r="A351" s="2055"/>
      <c r="B351" s="2055"/>
      <c r="C351" s="2055"/>
      <c r="D351" s="2055"/>
      <c r="E351" s="2055"/>
      <c r="F351" s="2055"/>
      <c r="G351" s="2055"/>
      <c r="H351" s="2055"/>
      <c r="I351" s="2055"/>
      <c r="J351" s="2055"/>
      <c r="K351" s="2055"/>
      <c r="L351" s="2055"/>
      <c r="M351" s="2055"/>
      <c r="N351" s="2055"/>
      <c r="O351" s="2055"/>
      <c r="P351" s="2055"/>
      <c r="Q351" s="2055"/>
      <c r="R351" s="2055"/>
      <c r="S351" s="2055"/>
      <c r="T351" s="2055"/>
      <c r="U351" s="2055"/>
      <c r="V351" s="2055"/>
      <c r="W351" s="2055"/>
      <c r="X351" s="2055"/>
      <c r="Y351" s="2055"/>
      <c r="Z351" s="2055"/>
      <c r="AA351" s="2055"/>
      <c r="AB351" s="2055"/>
      <c r="AC351" s="2055"/>
      <c r="AD351" s="2055"/>
      <c r="AE351" s="2055"/>
      <c r="AF351" s="2055"/>
      <c r="AG351" s="2055"/>
      <c r="AH351" s="2055"/>
      <c r="AI351" s="2055"/>
      <c r="AJ351" s="2055"/>
      <c r="AK351" s="2055"/>
      <c r="AL351" s="205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9" t="s">
        <v>577</v>
      </c>
      <c r="N354" s="2029"/>
      <c r="P354" s="12" t="s">
        <v>2003</v>
      </c>
      <c r="AJ354" s="2029" t="s">
        <v>705</v>
      </c>
      <c r="AK354" s="2029"/>
    </row>
    <row r="355" spans="1:37" ht="12.75" customHeight="1">
      <c r="D355" s="58" t="s">
        <v>1992</v>
      </c>
      <c r="M355" s="2029" t="s">
        <v>625</v>
      </c>
      <c r="N355" s="2029"/>
      <c r="P355" s="58" t="s">
        <v>2217</v>
      </c>
      <c r="AJ355" s="2102"/>
      <c r="AK355" s="2102"/>
    </row>
    <row r="356" spans="1:37" ht="12.75" customHeight="1">
      <c r="D356" s="12" t="s">
        <v>744</v>
      </c>
      <c r="M356" s="2029" t="s">
        <v>625</v>
      </c>
      <c r="N356" s="2029"/>
      <c r="P356" s="719" t="s">
        <v>2002</v>
      </c>
      <c r="AJ356" s="2029" t="s">
        <v>625</v>
      </c>
      <c r="AK356" s="2029"/>
    </row>
    <row r="357" spans="1:37" ht="12.75" customHeight="1">
      <c r="D357" s="12" t="s">
        <v>745</v>
      </c>
      <c r="M357" s="2029" t="s">
        <v>625</v>
      </c>
      <c r="N357" s="202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9" t="s">
        <v>625</v>
      </c>
      <c r="O362" s="2029"/>
      <c r="P362" s="69"/>
      <c r="Q362" s="69"/>
      <c r="R362" s="69"/>
      <c r="S362" s="69"/>
      <c r="T362" s="69"/>
      <c r="U362" s="69"/>
      <c r="V362" s="69"/>
      <c r="W362" s="69"/>
      <c r="X362" s="69"/>
      <c r="Y362" s="70"/>
      <c r="Z362" s="70"/>
      <c r="AC362" s="69"/>
      <c r="AD362" s="69"/>
      <c r="AE362" s="69"/>
    </row>
    <row r="363" spans="1:37" ht="12.75" customHeight="1">
      <c r="E363" s="12" t="s">
        <v>381</v>
      </c>
      <c r="Y363" s="2029" t="s">
        <v>625</v>
      </c>
      <c r="Z363" s="2029"/>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9" t="s">
        <v>625</v>
      </c>
      <c r="K366" s="2029"/>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746</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478</v>
      </c>
      <c r="F369" s="7"/>
      <c r="G369" s="7"/>
      <c r="H369" s="7"/>
      <c r="I369" s="7"/>
      <c r="J369" s="7"/>
      <c r="K369" s="7"/>
      <c r="L369" s="7"/>
      <c r="N369" s="2030"/>
      <c r="O369" s="2030"/>
      <c r="P369" s="2030"/>
      <c r="Q369" s="2030"/>
      <c r="R369" s="7"/>
      <c r="U369" s="7" t="s">
        <v>479</v>
      </c>
      <c r="V369" s="7"/>
      <c r="W369" s="7"/>
      <c r="X369" s="7"/>
      <c r="Y369" s="7"/>
      <c r="Z369" s="7"/>
      <c r="AA369" s="7"/>
      <c r="AB369" s="7"/>
      <c r="AC369" s="2030"/>
      <c r="AD369" s="2030"/>
      <c r="AE369" s="2030"/>
      <c r="AF369" s="2030"/>
    </row>
    <row r="370" spans="1:36" ht="12.75" customHeight="1">
      <c r="E370" s="7" t="s">
        <v>480</v>
      </c>
      <c r="F370" s="7"/>
      <c r="G370" s="7"/>
      <c r="H370" s="7"/>
      <c r="I370" s="7"/>
      <c r="J370" s="7"/>
      <c r="K370" s="7"/>
      <c r="L370" s="7"/>
      <c r="N370" s="2030"/>
      <c r="O370" s="2030"/>
      <c r="P370" s="2030"/>
      <c r="Q370" s="2030"/>
      <c r="R370" s="7"/>
      <c r="U370" s="7" t="s">
        <v>0</v>
      </c>
      <c r="V370" s="7"/>
      <c r="W370" s="7"/>
      <c r="X370" s="7"/>
      <c r="Y370" s="7"/>
      <c r="Z370" s="7"/>
      <c r="AA370" s="7"/>
      <c r="AB370" s="7"/>
      <c r="AC370" s="2030"/>
      <c r="AD370" s="2030"/>
      <c r="AE370" s="2030"/>
      <c r="AF370" s="2030"/>
    </row>
    <row r="371" spans="1:36" ht="12.75" customHeight="1">
      <c r="E371" s="7" t="s">
        <v>1</v>
      </c>
      <c r="F371" s="7"/>
      <c r="G371" s="7"/>
      <c r="H371" s="7"/>
      <c r="I371" s="7"/>
      <c r="J371" s="7"/>
      <c r="K371" s="7"/>
      <c r="L371" s="7"/>
      <c r="N371" s="2030"/>
      <c r="O371" s="2030"/>
      <c r="P371" s="2030"/>
      <c r="Q371" s="2030"/>
      <c r="R371" s="7"/>
      <c r="V371" s="7"/>
      <c r="W371" s="7"/>
      <c r="X371" s="7"/>
      <c r="Y371" s="7"/>
      <c r="Z371" s="7"/>
      <c r="AA371" s="7"/>
      <c r="AB371" s="7"/>
    </row>
    <row r="372" spans="1:36" ht="12.75" customHeight="1">
      <c r="E372" s="7" t="s">
        <v>2</v>
      </c>
      <c r="F372" s="7"/>
      <c r="G372" s="7"/>
      <c r="H372" s="7"/>
      <c r="I372" s="7"/>
      <c r="J372" s="7"/>
      <c r="K372" s="7"/>
      <c r="L372" s="7"/>
      <c r="N372" s="2041"/>
      <c r="O372" s="2041"/>
      <c r="P372" s="2041"/>
      <c r="Q372" s="2041"/>
      <c r="R372" s="2041"/>
      <c r="S372" s="2041"/>
      <c r="T372" s="2041"/>
      <c r="U372" s="2041"/>
      <c r="V372" s="2041"/>
      <c r="W372" s="2041"/>
      <c r="X372" s="2041"/>
      <c r="Y372" s="2041"/>
      <c r="Z372" s="2041"/>
      <c r="AA372" s="2041"/>
      <c r="AB372" s="2041"/>
      <c r="AC372" s="2041"/>
      <c r="AD372" s="2041"/>
      <c r="AE372" s="2041"/>
      <c r="AF372" s="2041"/>
    </row>
    <row r="373" spans="1:36" ht="12.75" customHeight="1">
      <c r="E373" s="7"/>
      <c r="F373" s="7"/>
      <c r="G373" s="7"/>
      <c r="H373" s="7"/>
      <c r="I373" s="7"/>
      <c r="J373" s="7"/>
      <c r="K373" s="7"/>
      <c r="L373" s="7"/>
      <c r="N373" s="2042"/>
      <c r="O373" s="2042"/>
      <c r="P373" s="2042"/>
      <c r="Q373" s="2042"/>
      <c r="R373" s="2042"/>
      <c r="S373" s="2042"/>
      <c r="T373" s="2042"/>
      <c r="U373" s="2042"/>
      <c r="V373" s="2042"/>
      <c r="W373" s="2042"/>
      <c r="X373" s="2042"/>
      <c r="Y373" s="2042"/>
      <c r="Z373" s="2042"/>
      <c r="AA373" s="2042"/>
      <c r="AB373" s="2042"/>
      <c r="AC373" s="2042"/>
      <c r="AD373" s="2042"/>
      <c r="AE373" s="2042"/>
      <c r="AF373" s="204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38"/>
      <c r="T376" s="2038"/>
      <c r="U376" s="4" t="s">
        <v>315</v>
      </c>
      <c r="V376" s="2038"/>
      <c r="W376" s="2038"/>
      <c r="Y376" s="25" t="s">
        <v>313</v>
      </c>
      <c r="AA376" s="25"/>
      <c r="AB376" s="25" t="s">
        <v>314</v>
      </c>
      <c r="AD376" s="2038"/>
      <c r="AE376" s="2038"/>
      <c r="AF376" s="4" t="s">
        <v>315</v>
      </c>
      <c r="AG376" s="2038"/>
      <c r="AH376" s="2038"/>
    </row>
    <row r="377" spans="1:36" ht="12.75" customHeight="1">
      <c r="E377" s="7" t="s">
        <v>1089</v>
      </c>
      <c r="F377" s="7"/>
      <c r="G377" s="7"/>
      <c r="H377" s="7"/>
      <c r="I377" s="7"/>
      <c r="J377" s="7"/>
      <c r="K377" s="7"/>
      <c r="L377" s="7"/>
      <c r="N377" s="2038"/>
      <c r="O377" s="2038"/>
      <c r="P377" s="2038"/>
    </row>
    <row r="378" spans="1:36" ht="12.75" customHeight="1">
      <c r="E378" s="382" t="s">
        <v>1090</v>
      </c>
      <c r="F378" s="7"/>
      <c r="G378" s="7"/>
      <c r="H378" s="7"/>
      <c r="I378" s="7"/>
      <c r="J378" s="7"/>
      <c r="K378" s="7"/>
      <c r="L378" s="7"/>
      <c r="AG378" s="2194" t="s">
        <v>625</v>
      </c>
      <c r="AH378" s="2194"/>
    </row>
    <row r="379" spans="1:36" ht="12.75" customHeight="1">
      <c r="E379" s="7"/>
      <c r="F379" s="7"/>
      <c r="G379" s="7" t="s">
        <v>1111</v>
      </c>
      <c r="H379" s="7"/>
      <c r="I379" s="7"/>
      <c r="J379" s="7"/>
      <c r="K379" s="7"/>
      <c r="L379" s="7"/>
      <c r="AG379" s="2194" t="s">
        <v>625</v>
      </c>
      <c r="AH379" s="2194"/>
    </row>
    <row r="380" spans="1:36" ht="12.75" customHeight="1">
      <c r="E380" s="7"/>
      <c r="F380" s="7"/>
      <c r="G380" s="509" t="s">
        <v>1091</v>
      </c>
      <c r="H380" s="7"/>
      <c r="I380" s="7"/>
      <c r="J380" s="7"/>
      <c r="K380" s="7"/>
      <c r="L380" s="7"/>
      <c r="V380" s="2029" t="s">
        <v>625</v>
      </c>
      <c r="W380" s="2029"/>
      <c r="Y380" s="35" t="s">
        <v>1060</v>
      </c>
    </row>
    <row r="381" spans="1:36" ht="12.75" customHeight="1">
      <c r="E381" s="7" t="s">
        <v>1061</v>
      </c>
      <c r="F381" s="7"/>
      <c r="G381" s="7"/>
      <c r="H381" s="7"/>
      <c r="I381" s="7"/>
      <c r="J381" s="7"/>
      <c r="K381" s="7"/>
      <c r="L381" s="7"/>
      <c r="V381" s="2029" t="s">
        <v>625</v>
      </c>
      <c r="W381" s="2029"/>
      <c r="Y381" s="7" t="s">
        <v>1062</v>
      </c>
    </row>
    <row r="382" spans="1:36" ht="12.75" customHeight="1"/>
    <row r="383" spans="1:36" ht="12.75" customHeight="1">
      <c r="A383" s="50" t="s">
        <v>82</v>
      </c>
      <c r="B383" s="50"/>
    </row>
    <row r="384" spans="1:36" ht="12.75" customHeight="1">
      <c r="D384" s="12" t="s">
        <v>449</v>
      </c>
      <c r="J384" s="2039" t="s">
        <v>2609</v>
      </c>
      <c r="K384" s="2039"/>
      <c r="L384" s="2039"/>
      <c r="M384" s="2039"/>
      <c r="N384" s="2039"/>
      <c r="O384" s="2039"/>
      <c r="P384" s="2039"/>
      <c r="Q384" s="2039"/>
      <c r="R384" s="2039"/>
      <c r="S384" s="2039"/>
      <c r="T384" s="2039"/>
      <c r="U384" s="2039"/>
      <c r="V384" s="14" t="s">
        <v>88</v>
      </c>
      <c r="W384" s="14"/>
      <c r="X384" s="14"/>
      <c r="Y384" s="14"/>
      <c r="Z384" s="14"/>
      <c r="AA384" s="14"/>
      <c r="AB384" s="14"/>
      <c r="AC384" s="2039" t="s">
        <v>2614</v>
      </c>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63" t="s">
        <v>2610</v>
      </c>
      <c r="K385" s="2063"/>
      <c r="L385" s="2063"/>
      <c r="M385" s="2063"/>
      <c r="N385" s="2063"/>
      <c r="O385" s="2063"/>
      <c r="P385" s="2063"/>
      <c r="Q385" s="2063"/>
      <c r="R385" s="2063"/>
      <c r="S385" s="2063"/>
      <c r="T385" s="2063"/>
      <c r="U385" s="2063"/>
      <c r="V385" s="58" t="s">
        <v>1381</v>
      </c>
      <c r="W385" s="14"/>
      <c r="X385" s="14"/>
      <c r="Y385" s="14"/>
      <c r="Z385" s="14"/>
      <c r="AA385" s="14"/>
      <c r="AB385" s="14"/>
      <c r="AC385" s="2039" t="s">
        <v>2611</v>
      </c>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63" t="s">
        <v>2612</v>
      </c>
      <c r="K386" s="2063"/>
      <c r="L386" s="2063"/>
      <c r="M386" s="2063"/>
      <c r="N386" s="2063"/>
      <c r="O386" s="2063"/>
      <c r="P386" s="2063"/>
      <c r="Q386" s="2063"/>
      <c r="R386" s="2063"/>
      <c r="S386" s="2063"/>
      <c r="T386" s="2063"/>
      <c r="U386" s="2063"/>
      <c r="V386" s="58" t="s">
        <v>463</v>
      </c>
      <c r="W386" s="14"/>
      <c r="X386" s="14"/>
      <c r="Y386" s="14"/>
      <c r="Z386" s="14"/>
      <c r="AA386" s="14"/>
      <c r="AB386" s="14"/>
      <c r="AC386" s="2039" t="s">
        <v>2613</v>
      </c>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69" t="s">
        <v>2615</v>
      </c>
      <c r="K387" s="2069"/>
      <c r="L387" s="2069"/>
      <c r="M387" s="2069"/>
      <c r="N387" s="2069"/>
      <c r="O387" s="2069"/>
      <c r="P387" s="2069"/>
      <c r="Q387" s="2069"/>
      <c r="R387" s="2069"/>
      <c r="S387" s="2069"/>
      <c r="T387" s="2069"/>
      <c r="U387" s="2069"/>
      <c r="V387" s="2039"/>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43">
        <v>43637</v>
      </c>
      <c r="R388" s="2243"/>
      <c r="S388" s="2243"/>
      <c r="T388" s="2243"/>
      <c r="U388" s="2243"/>
      <c r="V388" s="12" t="s">
        <v>318</v>
      </c>
      <c r="AI388" s="2029" t="s">
        <v>705</v>
      </c>
      <c r="AJ388" s="2029"/>
    </row>
    <row r="389" spans="1:96" ht="12.75" customHeight="1">
      <c r="D389" s="12" t="s">
        <v>5</v>
      </c>
      <c r="Q389" s="2290">
        <v>44135</v>
      </c>
      <c r="R389" s="2369"/>
      <c r="S389" s="2369"/>
      <c r="T389" s="2369"/>
      <c r="U389" s="2369"/>
      <c r="W389" s="33" t="s">
        <v>78</v>
      </c>
      <c r="AG389" s="2053"/>
      <c r="AH389" s="2053"/>
      <c r="AI389" s="2053"/>
      <c r="AJ389" s="2053"/>
    </row>
    <row r="390" spans="1:96" ht="12.75" customHeight="1">
      <c r="D390" s="12" t="s">
        <v>448</v>
      </c>
      <c r="Q390" s="2285">
        <v>800000</v>
      </c>
      <c r="R390" s="2285"/>
      <c r="S390" s="2285"/>
      <c r="T390" s="2285"/>
      <c r="U390" s="2285"/>
      <c r="V390" s="58" t="s">
        <v>1380</v>
      </c>
      <c r="AG390" s="2071"/>
      <c r="AH390" s="2071"/>
      <c r="AI390" s="2071"/>
      <c r="AJ390" s="2071"/>
    </row>
    <row r="391" spans="1:96" ht="12.75" customHeight="1">
      <c r="D391" s="12" t="s">
        <v>93</v>
      </c>
      <c r="I391" s="2195"/>
      <c r="J391" s="2195"/>
      <c r="K391" s="2195"/>
      <c r="L391" s="2195"/>
      <c r="M391" s="2195"/>
      <c r="N391" s="2195"/>
      <c r="Q391" s="57" t="s">
        <v>212</v>
      </c>
      <c r="S391" s="2267"/>
      <c r="T391" s="2267"/>
      <c r="U391" s="2267"/>
      <c r="V391" s="12" t="s">
        <v>77</v>
      </c>
      <c r="AI391" s="2029" t="s">
        <v>705</v>
      </c>
      <c r="AJ391" s="2029"/>
    </row>
    <row r="392" spans="1:96" ht="12.75" customHeight="1">
      <c r="D392" s="12" t="s">
        <v>319</v>
      </c>
      <c r="Q392" s="2064">
        <f>AG392/12</f>
        <v>5111.75</v>
      </c>
      <c r="R392" s="2064"/>
      <c r="S392" s="2064"/>
      <c r="T392" s="2064"/>
      <c r="U392" s="2064"/>
      <c r="V392" s="12" t="s">
        <v>320</v>
      </c>
      <c r="AG392" s="2053">
        <f>'Sources and Uses Budget'!C13</f>
        <v>61341</v>
      </c>
      <c r="AH392" s="2053"/>
      <c r="AI392" s="2053"/>
      <c r="AJ392" s="2053"/>
    </row>
    <row r="393" spans="1:96" ht="12.75" customHeight="1">
      <c r="D393" s="12" t="s">
        <v>321</v>
      </c>
      <c r="Q393" s="2196"/>
      <c r="R393" s="2196"/>
      <c r="S393" s="2196"/>
      <c r="T393" s="2196"/>
      <c r="U393" s="2196"/>
      <c r="V393" s="719" t="s">
        <v>1357</v>
      </c>
      <c r="AG393" s="2053">
        <v>0</v>
      </c>
      <c r="AH393" s="2053"/>
      <c r="AI393" s="2053"/>
      <c r="AJ393" s="2053"/>
    </row>
    <row r="394" spans="1:96" ht="12.75">
      <c r="D394" s="719" t="s">
        <v>1356</v>
      </c>
      <c r="V394" s="719"/>
      <c r="AG394" s="2053"/>
      <c r="AH394" s="2053"/>
      <c r="AI394" s="2053"/>
      <c r="AJ394" s="20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29" t="s">
        <v>705</v>
      </c>
      <c r="AJ396" s="2029"/>
      <c r="AM396" s="39"/>
      <c r="AN396" s="39"/>
      <c r="AO396" s="39"/>
      <c r="AP396" s="39"/>
      <c r="AQ396" s="39"/>
      <c r="AR396" s="39"/>
      <c r="AS396" s="39"/>
      <c r="AT396" s="39"/>
      <c r="AU396" s="39"/>
      <c r="AV396" s="39"/>
      <c r="AW396" s="39"/>
      <c r="AX396" s="39"/>
      <c r="AY396" s="39"/>
      <c r="CR396" s="25"/>
    </row>
    <row r="397" spans="1:96" s="719" customFormat="1" ht="12.75">
      <c r="D397" s="58" t="s">
        <v>2023</v>
      </c>
      <c r="T397" s="2012"/>
      <c r="U397" s="2012"/>
      <c r="V397" s="2012"/>
      <c r="W397" s="2012"/>
      <c r="X397" s="2012"/>
      <c r="Y397" s="2012"/>
      <c r="Z397" s="2012"/>
      <c r="AA397" s="2012"/>
      <c r="AB397" s="2012"/>
      <c r="AC397" s="2012"/>
      <c r="AD397" s="2012"/>
      <c r="AE397" s="2012"/>
      <c r="AF397" s="2012"/>
      <c r="AG397" s="2012"/>
      <c r="AH397" s="2012"/>
      <c r="AI397" s="2012"/>
      <c r="AJ397" s="2012"/>
      <c r="AM397" s="39"/>
      <c r="AN397" s="39"/>
      <c r="AO397" s="39"/>
      <c r="AP397" s="39"/>
      <c r="AQ397" s="39"/>
      <c r="AR397" s="39"/>
      <c r="AS397" s="39"/>
      <c r="AT397" s="39"/>
      <c r="AU397" s="39"/>
      <c r="AV397" s="39"/>
      <c r="AW397" s="39"/>
      <c r="AX397" s="39"/>
      <c r="AY397" s="39"/>
      <c r="CR397" s="25"/>
    </row>
    <row r="398" spans="1:96" s="719" customFormat="1" ht="12.75">
      <c r="D398" s="58" t="s">
        <v>2022</v>
      </c>
      <c r="T398" s="2012"/>
      <c r="U398" s="2012"/>
      <c r="V398" s="2012"/>
      <c r="W398" s="2012"/>
      <c r="X398" s="2012"/>
      <c r="Y398" s="2012"/>
      <c r="Z398" s="2012"/>
      <c r="AA398" s="2012"/>
      <c r="AB398" s="2012"/>
      <c r="AC398" s="2012"/>
      <c r="AD398" s="2012"/>
      <c r="AE398" s="2012"/>
      <c r="AF398" s="2012"/>
      <c r="AG398" s="2012"/>
      <c r="AH398" s="2012"/>
      <c r="AI398" s="2012"/>
      <c r="AJ398" s="201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012" t="s">
        <v>705</v>
      </c>
      <c r="T400" s="2012"/>
      <c r="U400" s="2012"/>
      <c r="V400" s="479" t="s">
        <v>2016</v>
      </c>
      <c r="W400" s="719"/>
      <c r="X400" s="719"/>
      <c r="Y400" s="719"/>
      <c r="Z400" s="719"/>
      <c r="AA400" s="719"/>
      <c r="AB400" s="39"/>
      <c r="AC400" s="39"/>
      <c r="AD400" s="39"/>
      <c r="AE400" s="39"/>
      <c r="AF400" s="39"/>
      <c r="AG400" s="2025"/>
      <c r="AH400" s="2025"/>
      <c r="AI400" s="2025"/>
      <c r="AJ400" s="2025"/>
      <c r="AK400" s="39"/>
      <c r="AL400" s="719"/>
    </row>
    <row r="401" spans="1:96" s="719" customFormat="1" ht="12.75">
      <c r="D401" s="58" t="s">
        <v>2012</v>
      </c>
      <c r="S401" s="2012" t="s">
        <v>625</v>
      </c>
      <c r="T401" s="2012"/>
      <c r="U401" s="2012"/>
      <c r="V401" s="479" t="s">
        <v>2018</v>
      </c>
      <c r="AB401" s="39"/>
      <c r="AC401" s="39"/>
      <c r="AD401" s="39"/>
      <c r="AE401" s="2250"/>
      <c r="AF401" s="2250"/>
      <c r="AG401" s="2250"/>
      <c r="AH401" s="2250"/>
      <c r="AI401" s="2250"/>
      <c r="AJ401" s="2250"/>
      <c r="AK401" s="39"/>
      <c r="AM401" s="39"/>
      <c r="AN401" s="39"/>
      <c r="AO401" s="39"/>
      <c r="AP401" s="39"/>
      <c r="AQ401" s="39"/>
      <c r="AR401" s="39"/>
      <c r="AS401" s="39"/>
      <c r="AT401" s="39"/>
      <c r="AU401" s="39"/>
      <c r="AV401" s="39"/>
      <c r="AW401" s="39"/>
      <c r="AX401" s="39"/>
      <c r="AY401" s="39"/>
      <c r="CR401" s="25"/>
    </row>
    <row r="402" spans="1:96" s="719" customFormat="1" ht="12.75">
      <c r="D402" s="58" t="s">
        <v>2014</v>
      </c>
      <c r="K402" s="2033"/>
      <c r="L402" s="2033"/>
      <c r="M402" s="2033"/>
      <c r="N402" s="2033"/>
      <c r="O402" s="2033"/>
      <c r="P402" s="2033"/>
      <c r="Q402" s="2033"/>
      <c r="R402" s="2033"/>
      <c r="S402" s="2033"/>
      <c r="T402" s="2033"/>
      <c r="U402" s="2033"/>
      <c r="V402" s="2033"/>
      <c r="W402" s="2033"/>
      <c r="X402" s="2033"/>
      <c r="Y402" s="2033"/>
      <c r="Z402" s="2033"/>
      <c r="AA402" s="2033"/>
      <c r="AB402" s="2033"/>
      <c r="AC402" s="2033"/>
      <c r="AD402" s="2033"/>
      <c r="AE402" s="2033"/>
      <c r="AF402" s="2033"/>
      <c r="AG402" s="2033"/>
      <c r="AH402" s="2033"/>
      <c r="AI402" s="2033"/>
      <c r="AJ402" s="2033"/>
      <c r="AK402" s="39"/>
      <c r="AM402" s="39"/>
      <c r="AN402" s="39"/>
      <c r="AO402" s="39"/>
      <c r="AP402" s="39"/>
      <c r="AQ402" s="39"/>
      <c r="AR402" s="39"/>
      <c r="AS402" s="39"/>
      <c r="AT402" s="39"/>
      <c r="AU402" s="39"/>
      <c r="AV402" s="39"/>
      <c r="AW402" s="39"/>
      <c r="AX402" s="39"/>
      <c r="AY402" s="39"/>
      <c r="CR402" s="25"/>
    </row>
    <row r="403" spans="1:96" s="719" customFormat="1" ht="12.75">
      <c r="D403" s="58" t="s">
        <v>2017</v>
      </c>
      <c r="K403" s="2033"/>
      <c r="L403" s="2033"/>
      <c r="M403" s="2033"/>
      <c r="N403" s="2033"/>
      <c r="O403" s="2033"/>
      <c r="P403" s="2033"/>
      <c r="Q403" s="2033"/>
      <c r="R403" s="2033"/>
      <c r="S403" s="2033"/>
      <c r="T403" s="2033"/>
      <c r="U403" s="2033"/>
      <c r="V403" s="2033"/>
      <c r="W403" s="2033"/>
      <c r="X403" s="2033"/>
      <c r="Y403" s="2033"/>
      <c r="Z403" s="2033"/>
      <c r="AA403" s="2033"/>
      <c r="AB403" s="2033"/>
      <c r="AC403" s="2033"/>
      <c r="AD403" s="2033"/>
      <c r="AE403" s="2033"/>
      <c r="AF403" s="2033"/>
      <c r="AG403" s="2033"/>
      <c r="AH403" s="2033"/>
      <c r="AI403" s="2033"/>
      <c r="AJ403" s="2033"/>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62" t="s">
        <v>1383</v>
      </c>
      <c r="T404" s="2162"/>
      <c r="U404" s="2162"/>
      <c r="V404" s="2162"/>
      <c r="W404" s="2162"/>
      <c r="X404" s="2162"/>
      <c r="Y404" s="2162"/>
      <c r="Z404" s="2162"/>
      <c r="AA404" s="2162"/>
      <c r="AB404" s="2162"/>
      <c r="AC404" s="2162"/>
      <c r="AD404" s="2162"/>
      <c r="AE404" s="2162"/>
      <c r="AF404" s="2162"/>
      <c r="AG404" s="2162"/>
      <c r="AH404" s="2162"/>
      <c r="AI404" s="2162"/>
      <c r="AJ404" s="2162"/>
      <c r="AK404" s="39"/>
      <c r="AL404" s="39"/>
      <c r="AM404" s="39"/>
      <c r="AN404" s="39"/>
      <c r="AO404" s="39"/>
      <c r="AP404" s="39"/>
      <c r="AQ404" s="39"/>
      <c r="AR404" s="39"/>
      <c r="AS404" s="39"/>
      <c r="AT404" s="39"/>
      <c r="AU404" s="39"/>
      <c r="AV404" s="39"/>
      <c r="AW404" s="39"/>
      <c r="AX404" s="39"/>
      <c r="AY404" s="39"/>
      <c r="CR404" s="25"/>
    </row>
    <row r="405" spans="1:96" s="719" customFormat="1" ht="12.75">
      <c r="D405" s="2161" t="s">
        <v>2019</v>
      </c>
      <c r="E405" s="2161"/>
      <c r="F405" s="2161"/>
      <c r="G405" s="2161"/>
      <c r="H405" s="2161"/>
      <c r="I405" s="2161"/>
      <c r="J405" s="2161"/>
      <c r="K405" s="2161"/>
      <c r="L405" s="2161"/>
      <c r="M405" s="2161"/>
      <c r="N405" s="2161"/>
      <c r="O405" s="2161"/>
      <c r="P405" s="2161"/>
      <c r="Q405" s="2161"/>
      <c r="R405" s="2161"/>
      <c r="S405" s="2161"/>
      <c r="T405" s="2161"/>
      <c r="U405" s="2161"/>
      <c r="V405" s="2161"/>
      <c r="W405" s="2161"/>
      <c r="X405" s="2161"/>
      <c r="Y405" s="2161"/>
      <c r="Z405" s="2161"/>
      <c r="AA405" s="2161"/>
      <c r="AB405" s="2161"/>
      <c r="AC405" s="2161"/>
      <c r="AD405" s="2161"/>
      <c r="AE405" s="2161"/>
      <c r="AF405" s="2161"/>
      <c r="AG405" s="2161"/>
      <c r="AH405" s="2161"/>
      <c r="AI405" s="2161"/>
      <c r="AJ405" s="2161"/>
      <c r="AK405" s="39"/>
      <c r="AL405" s="39"/>
      <c r="AM405" s="39"/>
      <c r="AN405" s="39"/>
      <c r="AO405" s="39"/>
      <c r="AP405" s="39"/>
      <c r="AQ405" s="39"/>
      <c r="AR405" s="39"/>
      <c r="AS405" s="39"/>
      <c r="AT405" s="39"/>
      <c r="AU405" s="39"/>
      <c r="AV405" s="39"/>
      <c r="AW405" s="39"/>
      <c r="AX405" s="39"/>
      <c r="AY405" s="39"/>
      <c r="CR405" s="25"/>
    </row>
    <row r="406" spans="1:96" s="719" customFormat="1" ht="12.75">
      <c r="D406" s="2161"/>
      <c r="E406" s="2161"/>
      <c r="F406" s="2161"/>
      <c r="G406" s="2161"/>
      <c r="H406" s="2161"/>
      <c r="I406" s="2161"/>
      <c r="J406" s="2161"/>
      <c r="K406" s="2161"/>
      <c r="L406" s="2161"/>
      <c r="M406" s="2161"/>
      <c r="N406" s="2161"/>
      <c r="O406" s="2161"/>
      <c r="P406" s="2161"/>
      <c r="Q406" s="2161"/>
      <c r="R406" s="2161"/>
      <c r="S406" s="2161"/>
      <c r="T406" s="2161"/>
      <c r="U406" s="2161"/>
      <c r="V406" s="2161"/>
      <c r="W406" s="2161"/>
      <c r="X406" s="2161"/>
      <c r="Y406" s="2161"/>
      <c r="Z406" s="2161"/>
      <c r="AA406" s="2161"/>
      <c r="AB406" s="2161"/>
      <c r="AC406" s="2161"/>
      <c r="AD406" s="2161"/>
      <c r="AE406" s="2161"/>
      <c r="AF406" s="2161"/>
      <c r="AG406" s="2161"/>
      <c r="AH406" s="2161"/>
      <c r="AI406" s="2161"/>
      <c r="AJ406" s="216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3" t="s">
        <v>2591</v>
      </c>
      <c r="J409" s="2213"/>
      <c r="K409" s="2213"/>
      <c r="L409" s="2213"/>
      <c r="M409" s="2213"/>
      <c r="N409" s="2213"/>
      <c r="O409" s="2213"/>
      <c r="P409" s="2213"/>
      <c r="Q409" s="2213"/>
      <c r="R409" s="2213"/>
      <c r="S409" s="2213"/>
      <c r="T409" s="2213"/>
      <c r="U409" s="2213"/>
      <c r="V409" s="2213"/>
      <c r="W409" s="2213"/>
      <c r="X409" s="2213"/>
      <c r="Y409" s="2213"/>
      <c r="Z409" s="2213"/>
      <c r="AA409" s="2213"/>
      <c r="AB409" s="2213"/>
      <c r="AC409" s="2213"/>
      <c r="AD409" s="2213"/>
      <c r="AE409" s="2213"/>
    </row>
    <row r="410" spans="1:96" ht="12.75" customHeight="1">
      <c r="C410" s="25"/>
      <c r="D410" s="25"/>
      <c r="E410" s="12" t="s">
        <v>111</v>
      </c>
      <c r="F410" s="25"/>
      <c r="G410" s="25"/>
      <c r="H410" s="25"/>
      <c r="I410" s="25"/>
      <c r="J410" s="25"/>
      <c r="K410" s="25"/>
      <c r="L410" s="25"/>
      <c r="M410" s="25"/>
      <c r="N410" s="25"/>
      <c r="O410" s="25"/>
      <c r="P410" s="719"/>
      <c r="Q410" s="719"/>
      <c r="R410" s="2029" t="s">
        <v>625</v>
      </c>
      <c r="S410" s="2029"/>
      <c r="T410" s="12" t="s">
        <v>603</v>
      </c>
      <c r="U410" s="719"/>
      <c r="V410" s="719"/>
      <c r="W410" s="719"/>
      <c r="X410" s="719"/>
      <c r="Y410" s="719"/>
      <c r="Z410" s="719"/>
      <c r="AA410" s="719"/>
      <c r="AB410" s="719"/>
      <c r="AC410" s="719"/>
      <c r="AD410" s="2030">
        <v>0</v>
      </c>
      <c r="AE410" s="2030"/>
      <c r="AF410" s="719"/>
    </row>
    <row r="411" spans="1:96" ht="12.75">
      <c r="C411" s="25"/>
      <c r="E411" s="12" t="s">
        <v>112</v>
      </c>
      <c r="F411" s="719"/>
      <c r="G411" s="719"/>
      <c r="H411" s="719"/>
      <c r="I411" s="719"/>
      <c r="J411" s="719"/>
      <c r="K411" s="719"/>
      <c r="L411" s="719"/>
      <c r="M411" s="719"/>
      <c r="N411" s="25"/>
      <c r="O411" s="25"/>
      <c r="P411" s="719"/>
      <c r="Q411" s="719"/>
      <c r="R411" s="2029" t="s">
        <v>577</v>
      </c>
      <c r="S411" s="2029"/>
      <c r="T411" s="12" t="s">
        <v>603</v>
      </c>
      <c r="U411" s="719"/>
      <c r="V411" s="719"/>
      <c r="W411" s="719"/>
      <c r="X411" s="719"/>
      <c r="Y411" s="719"/>
      <c r="Z411" s="719"/>
      <c r="AA411" s="719"/>
      <c r="AB411" s="719"/>
      <c r="AC411" s="719"/>
      <c r="AD411" s="2030">
        <v>3</v>
      </c>
      <c r="AE411" s="2030"/>
      <c r="AF411" s="719"/>
    </row>
    <row r="412" spans="1:96" ht="12.75" customHeight="1">
      <c r="C412" s="25"/>
      <c r="E412" s="12" t="s">
        <v>113</v>
      </c>
      <c r="F412" s="719"/>
      <c r="G412" s="719"/>
      <c r="H412" s="719"/>
      <c r="I412" s="719"/>
      <c r="J412" s="719"/>
      <c r="K412" s="719"/>
      <c r="L412" s="719"/>
      <c r="M412" s="719"/>
      <c r="N412" s="25"/>
      <c r="O412" s="25"/>
      <c r="P412" s="719"/>
      <c r="Q412" s="719"/>
      <c r="R412" s="719"/>
      <c r="S412" s="2029" t="s">
        <v>625</v>
      </c>
      <c r="T412" s="2029"/>
      <c r="U412" s="719"/>
      <c r="V412" s="719"/>
      <c r="W412" s="719"/>
      <c r="X412" s="719"/>
      <c r="Y412" s="719"/>
      <c r="Z412" s="719"/>
      <c r="AA412" s="719"/>
      <c r="AB412" s="719"/>
      <c r="AC412" s="719"/>
      <c r="AD412" s="719"/>
      <c r="AE412" s="719"/>
      <c r="AF412" s="719"/>
    </row>
    <row r="413" spans="1:96" ht="12.75" customHeight="1">
      <c r="E413" s="12" t="s">
        <v>175</v>
      </c>
      <c r="F413" s="719"/>
      <c r="G413" s="719"/>
      <c r="H413" s="2202" t="s">
        <v>2592</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19"/>
    </row>
    <row r="414" spans="1:96" ht="12.75" customHeight="1">
      <c r="E414" s="25"/>
      <c r="F414" s="719"/>
      <c r="G414" s="719"/>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19"/>
    </row>
    <row r="415" spans="1:96" ht="12.75" customHeight="1"/>
    <row r="416" spans="1:96" ht="12.75" customHeight="1">
      <c r="A416" s="50" t="s">
        <v>624</v>
      </c>
      <c r="B416" s="50"/>
      <c r="C416" s="50"/>
      <c r="D416" s="50" t="s">
        <v>119</v>
      </c>
      <c r="AF416" s="50" t="s">
        <v>1035</v>
      </c>
    </row>
    <row r="417" spans="1:96" ht="12.75" customHeight="1">
      <c r="E417" s="2038"/>
      <c r="F417" s="2038"/>
      <c r="G417" s="2038"/>
      <c r="H417" s="23" t="s">
        <v>120</v>
      </c>
      <c r="I417" s="2038"/>
      <c r="J417" s="2038"/>
      <c r="K417" s="2038"/>
      <c r="L417" s="12" t="s">
        <v>121</v>
      </c>
      <c r="N417" s="141" t="s">
        <v>609</v>
      </c>
      <c r="P417" s="2284">
        <v>11.7</v>
      </c>
      <c r="Q417" s="2284"/>
      <c r="R417" s="2284"/>
      <c r="S417" s="12" t="s">
        <v>122</v>
      </c>
      <c r="W417" s="2047">
        <f>IF(E417&gt;0,(E417*I417),(P417*43560))</f>
        <v>509651.99999999994</v>
      </c>
      <c r="X417" s="2047"/>
      <c r="Y417" s="2047"/>
      <c r="Z417" s="12" t="s">
        <v>123</v>
      </c>
      <c r="AF417" s="2193">
        <f>IF(P417&gt;0,(AG436/P417),(AG436/(W417/43560)))</f>
        <v>24.615384615384617</v>
      </c>
      <c r="AG417" s="2193"/>
      <c r="AH417" s="2193"/>
      <c r="AM417" s="239"/>
    </row>
    <row r="418" spans="1:96" ht="12.75">
      <c r="E418" s="12" t="s">
        <v>54</v>
      </c>
    </row>
    <row r="419" spans="1:96" ht="12.75" customHeight="1">
      <c r="E419" s="2037"/>
      <c r="F419" s="2037"/>
      <c r="G419" s="2037"/>
      <c r="H419" s="2037"/>
      <c r="I419" s="2037"/>
      <c r="J419" s="2037"/>
      <c r="K419" s="2037"/>
      <c r="L419" s="2037"/>
      <c r="M419" s="2037"/>
      <c r="N419" s="2037"/>
      <c r="O419" s="2037"/>
      <c r="P419" s="2037"/>
      <c r="Q419" s="2037"/>
      <c r="R419" s="2037"/>
      <c r="S419" s="2037"/>
      <c r="T419" s="2037"/>
      <c r="U419" s="2037"/>
      <c r="V419" s="2037"/>
      <c r="W419" s="2037"/>
      <c r="X419" s="2037"/>
      <c r="Y419" s="2037"/>
      <c r="Z419" s="2037"/>
      <c r="AA419" s="2037"/>
      <c r="AB419" s="2037"/>
      <c r="AC419" s="2037"/>
      <c r="AD419" s="2037"/>
      <c r="AE419" s="2037"/>
      <c r="AF419" s="2037"/>
      <c r="AG419" s="2037"/>
      <c r="AH419" s="2037"/>
      <c r="AI419" s="2037"/>
      <c r="AJ419" s="2037"/>
    </row>
    <row r="420" spans="1:96" s="39" customFormat="1" ht="12.75" customHeight="1">
      <c r="E420" s="254" t="s">
        <v>2234</v>
      </c>
      <c r="F420" s="1807"/>
      <c r="G420" s="1807"/>
      <c r="H420" s="1807"/>
      <c r="I420" s="2374">
        <v>11</v>
      </c>
      <c r="J420" s="2374"/>
      <c r="K420" s="2374"/>
      <c r="L420" s="1807"/>
      <c r="M420" s="254"/>
      <c r="N420" s="1807"/>
      <c r="O420" s="1807"/>
      <c r="P420" s="2409">
        <f>(CS637+CS645+CS661)/I420</f>
        <v>52.363636363636367</v>
      </c>
      <c r="Q420" s="2409"/>
      <c r="R420" s="2409"/>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9">
        <v>14</v>
      </c>
      <c r="Q423" s="2029"/>
      <c r="S423" s="12" t="s">
        <v>195</v>
      </c>
      <c r="AE423" s="2029">
        <v>12</v>
      </c>
      <c r="AF423" s="2029"/>
    </row>
    <row r="424" spans="1:96" ht="12.75">
      <c r="E424" s="12" t="s">
        <v>196</v>
      </c>
      <c r="P424" s="2029">
        <v>2</v>
      </c>
      <c r="Q424" s="2029"/>
      <c r="S424" s="12" t="s">
        <v>136</v>
      </c>
      <c r="AE424" s="2029" t="s">
        <v>625</v>
      </c>
      <c r="AF424" s="2029"/>
    </row>
    <row r="425" spans="1:96" ht="12.75">
      <c r="F425" s="67" t="s">
        <v>137</v>
      </c>
    </row>
    <row r="426" spans="1:96" ht="12.75">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2013"/>
      <c r="AG426" s="2013"/>
      <c r="AH426" s="2013"/>
    </row>
    <row r="427" spans="1:96" ht="12.75" customHeight="1">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2014"/>
      <c r="AG427" s="2014"/>
      <c r="AH427" s="2014"/>
    </row>
    <row r="428" spans="1:96" ht="12.75" customHeight="1">
      <c r="E428" s="12" t="s">
        <v>642</v>
      </c>
      <c r="N428" s="39"/>
      <c r="O428" s="39"/>
      <c r="P428" s="235"/>
      <c r="Q428" s="2029" t="s">
        <v>577</v>
      </c>
      <c r="R428" s="202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9" t="s">
        <v>625</v>
      </c>
      <c r="AG429" s="2067"/>
    </row>
    <row r="430" spans="1:96" ht="12.75" customHeight="1">
      <c r="S430" s="25"/>
      <c r="T430" s="25"/>
    </row>
    <row r="431" spans="1:96" ht="12.75" customHeight="1">
      <c r="A431" s="50"/>
      <c r="B431" s="50"/>
      <c r="C431" s="50"/>
      <c r="E431" s="7" t="s">
        <v>317</v>
      </c>
      <c r="Z431" s="2029" t="s">
        <v>705</v>
      </c>
      <c r="AA431" s="202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9" t="s">
        <v>625</v>
      </c>
      <c r="AA433" s="2029"/>
    </row>
    <row r="434" spans="1:110" ht="12.75" customHeight="1"/>
    <row r="435" spans="1:110" ht="12.75" customHeight="1">
      <c r="A435" s="50" t="s">
        <v>499</v>
      </c>
      <c r="B435" s="50"/>
      <c r="C435" s="50"/>
      <c r="D435" s="50" t="s">
        <v>821</v>
      </c>
      <c r="AF435" s="80"/>
    </row>
    <row r="436" spans="1:110" ht="12.75" customHeight="1">
      <c r="D436" s="2046" t="s">
        <v>46</v>
      </c>
      <c r="E436" s="2016"/>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2017"/>
      <c r="AG436" s="2026">
        <v>288</v>
      </c>
      <c r="AH436" s="2026"/>
      <c r="AI436" s="2026"/>
      <c r="AJ436" s="2026"/>
    </row>
    <row r="437" spans="1:110" ht="12.75" customHeight="1">
      <c r="D437" s="2015" t="s">
        <v>1436</v>
      </c>
      <c r="E437" s="2031"/>
      <c r="F437" s="2031"/>
      <c r="G437" s="2031"/>
      <c r="H437" s="2031"/>
      <c r="I437" s="2031"/>
      <c r="J437" s="2031"/>
      <c r="K437" s="2031"/>
      <c r="L437" s="2031"/>
      <c r="M437" s="2031"/>
      <c r="N437" s="2031"/>
      <c r="O437" s="2031"/>
      <c r="P437" s="2031"/>
      <c r="Q437" s="2031"/>
      <c r="R437" s="2031"/>
      <c r="S437" s="2031"/>
      <c r="T437" s="2031"/>
      <c r="U437" s="2031"/>
      <c r="V437" s="2031"/>
      <c r="W437" s="2031"/>
      <c r="X437" s="2031"/>
      <c r="Y437" s="2031"/>
      <c r="Z437" s="2031"/>
      <c r="AA437" s="2031"/>
      <c r="AB437" s="2031"/>
      <c r="AC437" s="2031"/>
      <c r="AD437" s="2031"/>
      <c r="AE437" s="2031"/>
      <c r="AF437" s="2032"/>
      <c r="AG437" s="2051"/>
      <c r="AH437" s="2052"/>
      <c r="AI437" s="2052"/>
      <c r="AJ437" s="2052"/>
    </row>
    <row r="438" spans="1:110" ht="12.75" customHeight="1">
      <c r="D438" s="2015" t="s">
        <v>1144</v>
      </c>
      <c r="E438" s="2031"/>
      <c r="F438" s="2031"/>
      <c r="G438" s="2031"/>
      <c r="H438" s="2031"/>
      <c r="I438" s="2031"/>
      <c r="J438" s="2031"/>
      <c r="K438" s="2031"/>
      <c r="L438" s="2031"/>
      <c r="M438" s="2031"/>
      <c r="N438" s="2031"/>
      <c r="O438" s="2031"/>
      <c r="P438" s="2031"/>
      <c r="Q438" s="2031"/>
      <c r="R438" s="2031"/>
      <c r="S438" s="2031"/>
      <c r="T438" s="2031"/>
      <c r="U438" s="2031"/>
      <c r="V438" s="2031"/>
      <c r="W438" s="2031"/>
      <c r="X438" s="2031"/>
      <c r="Y438" s="2031"/>
      <c r="Z438" s="2031"/>
      <c r="AA438" s="2031"/>
      <c r="AB438" s="2031"/>
      <c r="AC438" s="2031"/>
      <c r="AD438" s="2031"/>
      <c r="AE438" s="2031"/>
      <c r="AF438" s="2032"/>
      <c r="AG438" s="2026">
        <v>285</v>
      </c>
      <c r="AH438" s="2026"/>
      <c r="AI438" s="2026"/>
      <c r="AJ438" s="2026"/>
    </row>
    <row r="439" spans="1:110" ht="12.75" customHeight="1">
      <c r="D439" s="2015" t="s">
        <v>1145</v>
      </c>
      <c r="E439" s="2031"/>
      <c r="F439" s="2031"/>
      <c r="G439" s="2031"/>
      <c r="H439" s="2031"/>
      <c r="I439" s="2031"/>
      <c r="J439" s="2031"/>
      <c r="K439" s="2031"/>
      <c r="L439" s="2031"/>
      <c r="M439" s="2031"/>
      <c r="N439" s="2031"/>
      <c r="O439" s="2031"/>
      <c r="P439" s="2031"/>
      <c r="Q439" s="2031"/>
      <c r="R439" s="2031"/>
      <c r="S439" s="2031"/>
      <c r="T439" s="2031"/>
      <c r="U439" s="2031"/>
      <c r="V439" s="2031"/>
      <c r="W439" s="2031"/>
      <c r="X439" s="2031"/>
      <c r="Y439" s="2031"/>
      <c r="Z439" s="2031"/>
      <c r="AA439" s="2031"/>
      <c r="AB439" s="2031"/>
      <c r="AC439" s="2031"/>
      <c r="AD439" s="2031"/>
      <c r="AE439" s="2031"/>
      <c r="AF439" s="2032"/>
      <c r="AG439" s="2026">
        <v>285</v>
      </c>
      <c r="AH439" s="2026"/>
      <c r="AI439" s="2026"/>
      <c r="AJ439" s="2026"/>
    </row>
    <row r="440" spans="1:110" ht="12.75" customHeight="1">
      <c r="D440" s="2015" t="s">
        <v>1147</v>
      </c>
      <c r="E440" s="2031"/>
      <c r="F440" s="2031"/>
      <c r="G440" s="2031"/>
      <c r="H440" s="2031"/>
      <c r="I440" s="2031"/>
      <c r="J440" s="2031"/>
      <c r="K440" s="2031"/>
      <c r="L440" s="2031"/>
      <c r="M440" s="2031"/>
      <c r="N440" s="2031"/>
      <c r="O440" s="2031"/>
      <c r="P440" s="2031"/>
      <c r="Q440" s="2031"/>
      <c r="R440" s="2031"/>
      <c r="S440" s="2031"/>
      <c r="T440" s="2031"/>
      <c r="U440" s="2031"/>
      <c r="V440" s="2031"/>
      <c r="W440" s="2031"/>
      <c r="X440" s="2031"/>
      <c r="Y440" s="2031"/>
      <c r="Z440" s="2031"/>
      <c r="AA440" s="2031"/>
      <c r="AB440" s="2031"/>
      <c r="AC440" s="2031"/>
      <c r="AD440" s="2031"/>
      <c r="AE440" s="2031"/>
      <c r="AF440" s="2032"/>
      <c r="AG440" s="2027">
        <f>IF(ISERROR(AG439/AG438),"",AG439/AG438)</f>
        <v>1</v>
      </c>
      <c r="AH440" s="2027"/>
      <c r="AI440" s="2027"/>
      <c r="AJ440" s="2027"/>
    </row>
    <row r="441" spans="1:110" ht="12.75" customHeight="1">
      <c r="D441" s="2015" t="s">
        <v>1146</v>
      </c>
      <c r="E441" s="2031"/>
      <c r="F441" s="2031"/>
      <c r="G441" s="2031"/>
      <c r="H441" s="2031"/>
      <c r="I441" s="2031"/>
      <c r="J441" s="2031"/>
      <c r="K441" s="2031"/>
      <c r="L441" s="2031"/>
      <c r="M441" s="2031"/>
      <c r="N441" s="2031"/>
      <c r="O441" s="2031"/>
      <c r="P441" s="2031"/>
      <c r="Q441" s="2031"/>
      <c r="R441" s="2031"/>
      <c r="S441" s="2031"/>
      <c r="T441" s="2031"/>
      <c r="U441" s="2031"/>
      <c r="V441" s="2031"/>
      <c r="W441" s="2031"/>
      <c r="X441" s="2031"/>
      <c r="Y441" s="2031"/>
      <c r="Z441" s="2031"/>
      <c r="AA441" s="2031"/>
      <c r="AB441" s="2031"/>
      <c r="AC441" s="2031"/>
      <c r="AD441" s="2031"/>
      <c r="AE441" s="2031"/>
      <c r="AF441" s="2032"/>
      <c r="AG441" s="2108">
        <v>221904</v>
      </c>
      <c r="AH441" s="2108"/>
      <c r="AI441" s="2108"/>
      <c r="AJ441" s="2108"/>
    </row>
    <row r="442" spans="1:110" ht="12.75" customHeight="1">
      <c r="D442" s="2015" t="s">
        <v>1148</v>
      </c>
      <c r="E442" s="2031"/>
      <c r="F442" s="2031"/>
      <c r="G442" s="2031"/>
      <c r="H442" s="2031"/>
      <c r="I442" s="2031"/>
      <c r="J442" s="2031"/>
      <c r="K442" s="2031"/>
      <c r="L442" s="2031"/>
      <c r="M442" s="2031"/>
      <c r="N442" s="2031"/>
      <c r="O442" s="2031"/>
      <c r="P442" s="2031"/>
      <c r="Q442" s="2031"/>
      <c r="R442" s="2031"/>
      <c r="S442" s="2031"/>
      <c r="T442" s="2031"/>
      <c r="U442" s="2031"/>
      <c r="V442" s="2031"/>
      <c r="W442" s="2031"/>
      <c r="X442" s="2031"/>
      <c r="Y442" s="2031"/>
      <c r="Z442" s="2031"/>
      <c r="AA442" s="2031"/>
      <c r="AB442" s="2031"/>
      <c r="AC442" s="2031"/>
      <c r="AD442" s="2031"/>
      <c r="AE442" s="2031"/>
      <c r="AF442" s="2032"/>
      <c r="AG442" s="2108">
        <v>221904</v>
      </c>
      <c r="AH442" s="2108"/>
      <c r="AI442" s="2108"/>
      <c r="AJ442" s="2108"/>
    </row>
    <row r="443" spans="1:110" ht="12.75" customHeight="1">
      <c r="D443" s="2015" t="s">
        <v>1149</v>
      </c>
      <c r="E443" s="2031"/>
      <c r="F443" s="2031"/>
      <c r="G443" s="2031"/>
      <c r="H443" s="2031"/>
      <c r="I443" s="2031"/>
      <c r="J443" s="2031"/>
      <c r="K443" s="2031"/>
      <c r="L443" s="2031"/>
      <c r="M443" s="2031"/>
      <c r="N443" s="2031"/>
      <c r="O443" s="2031"/>
      <c r="P443" s="2031"/>
      <c r="Q443" s="2031"/>
      <c r="R443" s="2031"/>
      <c r="S443" s="2031"/>
      <c r="T443" s="2031"/>
      <c r="U443" s="2031"/>
      <c r="V443" s="2031"/>
      <c r="W443" s="2031"/>
      <c r="X443" s="2031"/>
      <c r="Y443" s="2031"/>
      <c r="Z443" s="2031"/>
      <c r="AA443" s="2031"/>
      <c r="AB443" s="2031"/>
      <c r="AC443" s="2031"/>
      <c r="AD443" s="2031"/>
      <c r="AE443" s="2031"/>
      <c r="AF443" s="2032"/>
      <c r="AG443" s="2027">
        <f>IF(ISERROR(AG442/AG441),"",AG442/AG441)</f>
        <v>1</v>
      </c>
      <c r="AH443" s="2027"/>
      <c r="AI443" s="2027"/>
      <c r="AJ443" s="2027"/>
    </row>
    <row r="444" spans="1:110" ht="12.75" customHeight="1">
      <c r="D444" s="2015" t="s">
        <v>1150</v>
      </c>
      <c r="E444" s="2031"/>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2032"/>
      <c r="AG444" s="2027">
        <f>MIN(IF(AG440&gt;AG443,AG443,AG440),1)</f>
        <v>1</v>
      </c>
      <c r="AH444" s="2027"/>
      <c r="AI444" s="2027"/>
      <c r="AJ444" s="2027"/>
    </row>
    <row r="445" spans="1:110" ht="12.75" customHeight="1">
      <c r="D445" s="2015" t="s">
        <v>1411</v>
      </c>
      <c r="E445" s="2016"/>
      <c r="F445" s="2016"/>
      <c r="G445" s="2016"/>
      <c r="H445" s="2016"/>
      <c r="I445" s="2016"/>
      <c r="J445" s="2016"/>
      <c r="K445" s="2016"/>
      <c r="L445" s="2016"/>
      <c r="M445" s="2016"/>
      <c r="N445" s="2016"/>
      <c r="O445" s="2016"/>
      <c r="P445" s="2016"/>
      <c r="Q445" s="2016"/>
      <c r="R445" s="2016"/>
      <c r="S445" s="2016"/>
      <c r="T445" s="2016"/>
      <c r="U445" s="2016"/>
      <c r="V445" s="2016"/>
      <c r="W445" s="2016"/>
      <c r="X445" s="2016"/>
      <c r="Y445" s="2016"/>
      <c r="Z445" s="2016"/>
      <c r="AA445" s="2016"/>
      <c r="AB445" s="2016"/>
      <c r="AC445" s="2016"/>
      <c r="AD445" s="2016"/>
      <c r="AE445" s="2016"/>
      <c r="AF445" s="2017"/>
      <c r="AG445" s="2109">
        <v>3503</v>
      </c>
      <c r="AH445" s="2110"/>
      <c r="AI445" s="2110"/>
      <c r="AJ445" s="2111"/>
    </row>
    <row r="446" spans="1:110" ht="12.75" customHeight="1">
      <c r="D446" s="2046" t="s">
        <v>601</v>
      </c>
      <c r="E446" s="2016"/>
      <c r="F446" s="2016"/>
      <c r="G446" s="2016"/>
      <c r="H446" s="2016"/>
      <c r="I446" s="2016"/>
      <c r="J446" s="2016"/>
      <c r="K446" s="2016"/>
      <c r="L446" s="2016"/>
      <c r="M446" s="2016"/>
      <c r="N446" s="2016"/>
      <c r="O446" s="2016"/>
      <c r="P446" s="2016"/>
      <c r="Q446" s="2016"/>
      <c r="R446" s="2016"/>
      <c r="S446" s="2016"/>
      <c r="T446" s="2016"/>
      <c r="U446" s="2016"/>
      <c r="V446" s="2016"/>
      <c r="W446" s="2016"/>
      <c r="X446" s="2016"/>
      <c r="Y446" s="2016"/>
      <c r="Z446" s="2016"/>
      <c r="AA446" s="2016"/>
      <c r="AB446" s="2016"/>
      <c r="AC446" s="2016"/>
      <c r="AD446" s="2016"/>
      <c r="AE446" s="2016"/>
      <c r="AF446" s="2017"/>
      <c r="AG446" s="2109">
        <v>0</v>
      </c>
      <c r="AH446" s="2110"/>
      <c r="AI446" s="2110"/>
      <c r="AJ446" s="21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5" t="s">
        <v>1412</v>
      </c>
      <c r="E447" s="2016"/>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2017"/>
      <c r="AG447" s="2109">
        <v>6706</v>
      </c>
      <c r="AH447" s="2110"/>
      <c r="AI447" s="2110"/>
      <c r="AJ447" s="211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5" t="s">
        <v>1151</v>
      </c>
      <c r="E448" s="2016"/>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2017"/>
      <c r="AG448" s="2109">
        <v>0</v>
      </c>
      <c r="AH448" s="2110"/>
      <c r="AI448" s="2110"/>
      <c r="AJ448" s="21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7" t="s">
        <v>1152</v>
      </c>
      <c r="E449" s="2198"/>
      <c r="F449" s="2198"/>
      <c r="G449" s="2198"/>
      <c r="H449" s="2198"/>
      <c r="I449" s="2198"/>
      <c r="J449" s="2198"/>
      <c r="K449" s="2198"/>
      <c r="L449" s="2198"/>
      <c r="M449" s="2198"/>
      <c r="N449" s="2198"/>
      <c r="O449" s="2198"/>
      <c r="P449" s="2198"/>
      <c r="Q449" s="2198"/>
      <c r="R449" s="2198"/>
      <c r="S449" s="2198"/>
      <c r="T449" s="2198"/>
      <c r="U449" s="2198"/>
      <c r="V449" s="2198"/>
      <c r="W449" s="2198"/>
      <c r="X449" s="2198"/>
      <c r="Y449" s="2198"/>
      <c r="Z449" s="2198"/>
      <c r="AA449" s="2198"/>
      <c r="AB449" s="2198"/>
      <c r="AC449" s="2198"/>
      <c r="AD449" s="2198"/>
      <c r="AE449" s="2198"/>
      <c r="AF449" s="2199"/>
      <c r="AG449" s="2099">
        <f>AG441+AG445+AG447+AG448</f>
        <v>232113</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0" t="s">
        <v>1413</v>
      </c>
      <c r="E450" s="2200"/>
      <c r="F450" s="2200"/>
      <c r="G450" s="2200"/>
      <c r="H450" s="2200"/>
      <c r="I450" s="2200"/>
      <c r="J450" s="2200"/>
      <c r="K450" s="2200"/>
      <c r="L450" s="2200"/>
      <c r="M450" s="2200"/>
      <c r="N450" s="2200"/>
      <c r="O450" s="2200"/>
      <c r="P450" s="2200"/>
      <c r="Q450" s="2200"/>
      <c r="R450" s="2200"/>
      <c r="S450" s="2200"/>
      <c r="T450" s="2200"/>
      <c r="U450" s="2200"/>
      <c r="V450" s="2200"/>
      <c r="W450" s="2200"/>
      <c r="X450" s="2200"/>
      <c r="Y450" s="2200"/>
      <c r="Z450" s="2200"/>
      <c r="AA450" s="2200"/>
      <c r="AB450" s="2200"/>
      <c r="AC450" s="2200"/>
      <c r="AD450" s="2200"/>
      <c r="AE450" s="2200"/>
      <c r="AF450" s="2200"/>
      <c r="AG450" s="2200"/>
      <c r="AH450" s="2200"/>
      <c r="AI450" s="2200"/>
      <c r="AJ450" s="22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1"/>
      <c r="E451" s="2201"/>
      <c r="F451" s="2201"/>
      <c r="G451" s="2201"/>
      <c r="H451" s="2201"/>
      <c r="I451" s="2201"/>
      <c r="J451" s="2201"/>
      <c r="K451" s="2201"/>
      <c r="L451" s="2201"/>
      <c r="M451" s="2201"/>
      <c r="N451" s="2201"/>
      <c r="O451" s="2201"/>
      <c r="P451" s="2201"/>
      <c r="Q451" s="2201"/>
      <c r="R451" s="2201"/>
      <c r="S451" s="2201"/>
      <c r="T451" s="2201"/>
      <c r="U451" s="2201"/>
      <c r="V451" s="2201"/>
      <c r="W451" s="2201"/>
      <c r="X451" s="2201"/>
      <c r="Y451" s="2201"/>
      <c r="Z451" s="2201"/>
      <c r="AA451" s="2201"/>
      <c r="AB451" s="2201"/>
      <c r="AC451" s="2201"/>
      <c r="AD451" s="2201"/>
      <c r="AE451" s="2201"/>
      <c r="AF451" s="2201"/>
      <c r="AG451" s="2201"/>
      <c r="AH451" s="2201"/>
      <c r="AI451" s="2201"/>
      <c r="AJ451" s="22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28">
        <f>'Sources and Uses Budget'!B105/Application!AG436</f>
        <v>327578.83333333331</v>
      </c>
      <c r="AD453" s="2028"/>
      <c r="AE453" s="2028"/>
      <c r="AF453" s="202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28">
        <f>'Sources and Uses Budget'!C105/Application!AG436</f>
        <v>327578.83333333331</v>
      </c>
      <c r="AD454" s="2028"/>
      <c r="AE454" s="2028"/>
      <c r="AF454" s="202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28">
        <f>('Sources and Uses Budget'!$S$107+'Sources and Uses Budget'!$T$107)/Application!AG436</f>
        <v>317633.25</v>
      </c>
      <c r="AD455" s="2028"/>
      <c r="AE455" s="2028"/>
      <c r="AF455" s="202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19" t="s">
        <v>730</v>
      </c>
      <c r="E464" s="2020"/>
      <c r="F464" s="2020"/>
      <c r="G464" s="2020"/>
      <c r="H464" s="2020"/>
      <c r="I464" s="2020"/>
      <c r="J464" s="2020"/>
      <c r="K464" s="2020"/>
      <c r="L464" s="2020"/>
      <c r="M464" s="2020"/>
      <c r="N464" s="2020"/>
      <c r="O464" s="2020"/>
      <c r="P464" s="2020"/>
      <c r="Q464" s="2020"/>
      <c r="R464" s="2020"/>
      <c r="S464" s="2020"/>
      <c r="T464" s="2020"/>
      <c r="U464" s="2020"/>
      <c r="V464" s="2021"/>
      <c r="W464" s="2022">
        <v>0</v>
      </c>
      <c r="X464" s="2023"/>
      <c r="Y464" s="202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19" t="s">
        <v>731</v>
      </c>
      <c r="E465" s="2020"/>
      <c r="F465" s="2020"/>
      <c r="G465" s="2020"/>
      <c r="H465" s="2020"/>
      <c r="I465" s="2020"/>
      <c r="J465" s="2020"/>
      <c r="K465" s="2020"/>
      <c r="L465" s="2020"/>
      <c r="M465" s="2020"/>
      <c r="N465" s="2020"/>
      <c r="O465" s="2020"/>
      <c r="P465" s="2020"/>
      <c r="Q465" s="2020"/>
      <c r="R465" s="2020"/>
      <c r="S465" s="2020"/>
      <c r="T465" s="2020"/>
      <c r="U465" s="2020"/>
      <c r="V465" s="2021"/>
      <c r="W465" s="2022">
        <v>0</v>
      </c>
      <c r="X465" s="2023"/>
      <c r="Y465" s="202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19" t="s">
        <v>732</v>
      </c>
      <c r="E466" s="2020"/>
      <c r="F466" s="2020"/>
      <c r="G466" s="2020"/>
      <c r="H466" s="2020"/>
      <c r="I466" s="2020"/>
      <c r="J466" s="2020"/>
      <c r="K466" s="2020"/>
      <c r="L466" s="2020"/>
      <c r="M466" s="2020"/>
      <c r="N466" s="2020"/>
      <c r="O466" s="2020"/>
      <c r="P466" s="2020"/>
      <c r="Q466" s="2020"/>
      <c r="R466" s="2020"/>
      <c r="S466" s="2020"/>
      <c r="T466" s="2020"/>
      <c r="U466" s="2020"/>
      <c r="V466" s="2021"/>
      <c r="W466" s="2022">
        <v>0</v>
      </c>
      <c r="X466" s="2023"/>
      <c r="Y466" s="202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19" t="s">
        <v>733</v>
      </c>
      <c r="E467" s="2020"/>
      <c r="F467" s="2020"/>
      <c r="G467" s="2020"/>
      <c r="H467" s="2020"/>
      <c r="I467" s="2020"/>
      <c r="J467" s="2020"/>
      <c r="K467" s="2020"/>
      <c r="L467" s="2020"/>
      <c r="M467" s="2020"/>
      <c r="N467" s="2020"/>
      <c r="O467" s="2020"/>
      <c r="P467" s="2020"/>
      <c r="Q467" s="2020"/>
      <c r="R467" s="2020"/>
      <c r="S467" s="2020"/>
      <c r="T467" s="2020"/>
      <c r="U467" s="2020"/>
      <c r="V467" s="2021"/>
      <c r="W467" s="2022">
        <v>0</v>
      </c>
      <c r="X467" s="2023"/>
      <c r="Y467" s="202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19" t="s">
        <v>945</v>
      </c>
      <c r="E468" s="2020"/>
      <c r="F468" s="2020"/>
      <c r="G468" s="2020"/>
      <c r="H468" s="2020"/>
      <c r="I468" s="2020"/>
      <c r="J468" s="2020"/>
      <c r="K468" s="2020"/>
      <c r="L468" s="2020"/>
      <c r="M468" s="2020"/>
      <c r="N468" s="2020"/>
      <c r="O468" s="2020"/>
      <c r="P468" s="2020"/>
      <c r="Q468" s="2020"/>
      <c r="R468" s="2020"/>
      <c r="S468" s="2020"/>
      <c r="T468" s="2020"/>
      <c r="U468" s="2020"/>
      <c r="V468" s="2021"/>
      <c r="W468" s="2022">
        <v>0</v>
      </c>
      <c r="X468" s="2023"/>
      <c r="Y468" s="202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19" t="s">
        <v>734</v>
      </c>
      <c r="E469" s="2020"/>
      <c r="F469" s="2020"/>
      <c r="G469" s="2020"/>
      <c r="H469" s="2020"/>
      <c r="I469" s="2020"/>
      <c r="J469" s="2020"/>
      <c r="K469" s="2020"/>
      <c r="L469" s="2020"/>
      <c r="M469" s="2020"/>
      <c r="N469" s="2020"/>
      <c r="O469" s="2020"/>
      <c r="P469" s="2020"/>
      <c r="Q469" s="2020"/>
      <c r="R469" s="2020"/>
      <c r="S469" s="2020"/>
      <c r="T469" s="2020"/>
      <c r="U469" s="2020"/>
      <c r="V469" s="2021"/>
      <c r="W469" s="2022">
        <v>0</v>
      </c>
      <c r="X469" s="2023"/>
      <c r="Y469" s="202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19" t="s">
        <v>1118</v>
      </c>
      <c r="E470" s="2020"/>
      <c r="F470" s="2020"/>
      <c r="G470" s="2020"/>
      <c r="H470" s="2020"/>
      <c r="I470" s="2020"/>
      <c r="J470" s="2020"/>
      <c r="K470" s="2020"/>
      <c r="L470" s="2020"/>
      <c r="M470" s="2020"/>
      <c r="N470" s="2020"/>
      <c r="O470" s="2020"/>
      <c r="P470" s="2020"/>
      <c r="Q470" s="2020"/>
      <c r="R470" s="2020"/>
      <c r="S470" s="2020"/>
      <c r="T470" s="2020"/>
      <c r="U470" s="2020"/>
      <c r="V470" s="2021"/>
      <c r="W470" s="2022">
        <v>0</v>
      </c>
      <c r="X470" s="2023"/>
      <c r="Y470" s="202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2007</v>
      </c>
      <c r="E471" s="2020"/>
      <c r="F471" s="2020"/>
      <c r="G471" s="2020"/>
      <c r="H471" s="2020"/>
      <c r="I471" s="2020"/>
      <c r="J471" s="2020"/>
      <c r="K471" s="2020"/>
      <c r="L471" s="2020"/>
      <c r="M471" s="2020"/>
      <c r="N471" s="2020"/>
      <c r="O471" s="2020"/>
      <c r="P471" s="2020"/>
      <c r="Q471" s="2020"/>
      <c r="R471" s="2020"/>
      <c r="S471" s="2020"/>
      <c r="T471" s="2020"/>
      <c r="U471" s="2020"/>
      <c r="V471" s="2021"/>
      <c r="W471" s="2022">
        <v>0</v>
      </c>
      <c r="X471" s="2023"/>
      <c r="Y471" s="202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5"/>
      <c r="H472" s="2096"/>
      <c r="I472" s="2096"/>
      <c r="J472" s="2096"/>
      <c r="K472" s="2096"/>
      <c r="L472" s="2096"/>
      <c r="M472" s="2096"/>
      <c r="N472" s="2096"/>
      <c r="O472" s="2096"/>
      <c r="P472" s="2096"/>
      <c r="Q472" s="2096"/>
      <c r="R472" s="2096"/>
      <c r="S472" s="2096"/>
      <c r="T472" s="2096"/>
      <c r="U472" s="2096"/>
      <c r="V472" s="2097"/>
      <c r="W472" s="2022">
        <v>0</v>
      </c>
      <c r="X472" s="2023"/>
      <c r="Y472" s="202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4" t="s">
        <v>868</v>
      </c>
      <c r="B478" s="2054"/>
      <c r="C478" s="2054"/>
      <c r="D478" s="2054"/>
      <c r="E478" s="2054"/>
      <c r="F478" s="2054"/>
      <c r="G478" s="2054"/>
      <c r="H478" s="2054"/>
      <c r="I478" s="2054"/>
      <c r="J478" s="2054"/>
      <c r="K478" s="2054"/>
      <c r="L478" s="2054"/>
      <c r="M478" s="2054"/>
      <c r="N478" s="2054"/>
      <c r="O478" s="2054"/>
      <c r="P478" s="2054"/>
      <c r="Q478" s="2054"/>
      <c r="R478" s="2054"/>
      <c r="S478" s="2054"/>
      <c r="T478" s="2054"/>
      <c r="U478" s="2054"/>
      <c r="V478" s="2054"/>
      <c r="W478" s="2054"/>
      <c r="X478" s="2054"/>
      <c r="Y478" s="2054"/>
      <c r="Z478" s="2054"/>
      <c r="AA478" s="2054"/>
      <c r="AB478" s="2054"/>
      <c r="AC478" s="2054"/>
      <c r="AD478" s="2054"/>
      <c r="AE478" s="2054"/>
      <c r="AF478" s="2054"/>
      <c r="AG478" s="2054"/>
      <c r="AH478" s="2054"/>
      <c r="AI478" s="2054"/>
      <c r="AJ478" s="2054"/>
      <c r="AK478" s="2054"/>
      <c r="AL478" s="205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5"/>
      <c r="B479" s="2055"/>
      <c r="C479" s="2055"/>
      <c r="D479" s="2055"/>
      <c r="E479" s="2055"/>
      <c r="F479" s="2055"/>
      <c r="G479" s="2055"/>
      <c r="H479" s="2055"/>
      <c r="I479" s="2055"/>
      <c r="J479" s="2055"/>
      <c r="K479" s="2055"/>
      <c r="L479" s="2055"/>
      <c r="M479" s="2055"/>
      <c r="N479" s="2055"/>
      <c r="O479" s="2055"/>
      <c r="P479" s="2055"/>
      <c r="Q479" s="2055"/>
      <c r="R479" s="2055"/>
      <c r="S479" s="2055"/>
      <c r="T479" s="2055"/>
      <c r="U479" s="2055"/>
      <c r="V479" s="2055"/>
      <c r="W479" s="2055"/>
      <c r="X479" s="2055"/>
      <c r="Y479" s="2055"/>
      <c r="Z479" s="2055"/>
      <c r="AA479" s="2055"/>
      <c r="AB479" s="2055"/>
      <c r="AC479" s="2055"/>
      <c r="AD479" s="2055"/>
      <c r="AE479" s="2055"/>
      <c r="AF479" s="2055"/>
      <c r="AG479" s="2055"/>
      <c r="AH479" s="2055"/>
      <c r="AI479" s="2055"/>
      <c r="AJ479" s="2055"/>
      <c r="AK479" s="2055"/>
      <c r="AL479" s="205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034" t="s">
        <v>869</v>
      </c>
      <c r="U483" s="2035"/>
      <c r="V483" s="2035"/>
      <c r="W483" s="2035"/>
      <c r="X483" s="2035"/>
      <c r="Y483" s="2035"/>
      <c r="Z483" s="2035"/>
      <c r="AA483" s="2035"/>
      <c r="AB483" s="2035"/>
      <c r="AC483" s="2035"/>
      <c r="AD483" s="2035"/>
      <c r="AE483" s="2035"/>
      <c r="AF483" s="2035"/>
      <c r="AG483" s="2035"/>
      <c r="AH483" s="203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79" t="s">
        <v>36</v>
      </c>
      <c r="U484" s="2179"/>
      <c r="V484" s="2179"/>
      <c r="W484" s="2179"/>
      <c r="X484" s="2179"/>
      <c r="Y484" s="2179" t="s">
        <v>37</v>
      </c>
      <c r="Z484" s="2179"/>
      <c r="AA484" s="2179"/>
      <c r="AB484" s="2179"/>
      <c r="AC484" s="2179"/>
      <c r="AD484" s="2179" t="s">
        <v>348</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18">
        <v>0</v>
      </c>
      <c r="U486" s="2018"/>
      <c r="V486" s="2018"/>
      <c r="W486" s="2018"/>
      <c r="X486" s="2018"/>
      <c r="Y486" s="2018">
        <v>0</v>
      </c>
      <c r="Z486" s="2018"/>
      <c r="AA486" s="2018"/>
      <c r="AB486" s="2018"/>
      <c r="AC486" s="2018"/>
      <c r="AD486" s="2018">
        <v>0</v>
      </c>
      <c r="AE486" s="2018"/>
      <c r="AF486" s="2018"/>
      <c r="AG486" s="2018"/>
      <c r="AH486" s="201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18">
        <v>0</v>
      </c>
      <c r="U487" s="2018"/>
      <c r="V487" s="2018"/>
      <c r="W487" s="2018"/>
      <c r="X487" s="2018"/>
      <c r="Y487" s="2018">
        <v>0</v>
      </c>
      <c r="Z487" s="2018"/>
      <c r="AA487" s="2018"/>
      <c r="AB487" s="2018"/>
      <c r="AC487" s="2018"/>
      <c r="AD487" s="2018">
        <v>0</v>
      </c>
      <c r="AE487" s="2018"/>
      <c r="AF487" s="2018"/>
      <c r="AG487" s="2018"/>
      <c r="AH487" s="201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18">
        <v>0</v>
      </c>
      <c r="U488" s="2018"/>
      <c r="V488" s="2018"/>
      <c r="W488" s="2018"/>
      <c r="X488" s="2018"/>
      <c r="Y488" s="2018">
        <v>0</v>
      </c>
      <c r="Z488" s="2018"/>
      <c r="AA488" s="2018"/>
      <c r="AB488" s="2018"/>
      <c r="AC488" s="2018"/>
      <c r="AD488" s="2018">
        <v>0</v>
      </c>
      <c r="AE488" s="2018"/>
      <c r="AF488" s="2018"/>
      <c r="AG488" s="2018"/>
      <c r="AH488" s="201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18">
        <v>0</v>
      </c>
      <c r="U489" s="2018"/>
      <c r="V489" s="2018"/>
      <c r="W489" s="2018"/>
      <c r="X489" s="2018"/>
      <c r="Y489" s="2018">
        <v>0</v>
      </c>
      <c r="Z489" s="2018"/>
      <c r="AA489" s="2018"/>
      <c r="AB489" s="2018"/>
      <c r="AC489" s="2018"/>
      <c r="AD489" s="2018">
        <v>0</v>
      </c>
      <c r="AE489" s="2018"/>
      <c r="AF489" s="2018"/>
      <c r="AG489" s="2018"/>
      <c r="AH489" s="201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18">
        <v>0</v>
      </c>
      <c r="U490" s="2018"/>
      <c r="V490" s="2018"/>
      <c r="W490" s="2018"/>
      <c r="X490" s="2018"/>
      <c r="Y490" s="2018">
        <v>0</v>
      </c>
      <c r="Z490" s="2018"/>
      <c r="AA490" s="2018"/>
      <c r="AB490" s="2018"/>
      <c r="AC490" s="2018"/>
      <c r="AD490" s="2018">
        <v>0</v>
      </c>
      <c r="AE490" s="2018"/>
      <c r="AF490" s="2018"/>
      <c r="AG490" s="2018"/>
      <c r="AH490" s="201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18">
        <v>0</v>
      </c>
      <c r="U491" s="2018"/>
      <c r="V491" s="2018"/>
      <c r="W491" s="2018"/>
      <c r="X491" s="2018"/>
      <c r="Y491" s="2018">
        <v>0</v>
      </c>
      <c r="Z491" s="2018"/>
      <c r="AA491" s="2018"/>
      <c r="AB491" s="2018"/>
      <c r="AC491" s="2018"/>
      <c r="AD491" s="2018">
        <v>0</v>
      </c>
      <c r="AE491" s="2018"/>
      <c r="AF491" s="2018"/>
      <c r="AG491" s="2018"/>
      <c r="AH491" s="201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18">
        <v>0</v>
      </c>
      <c r="U492" s="2018"/>
      <c r="V492" s="2018"/>
      <c r="W492" s="2018"/>
      <c r="X492" s="2018"/>
      <c r="Y492" s="2018">
        <v>0</v>
      </c>
      <c r="Z492" s="2018"/>
      <c r="AA492" s="2018"/>
      <c r="AB492" s="2018"/>
      <c r="AC492" s="2018"/>
      <c r="AD492" s="2018">
        <v>0</v>
      </c>
      <c r="AE492" s="2018"/>
      <c r="AF492" s="2018"/>
      <c r="AG492" s="2018"/>
      <c r="AH492" s="201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18">
        <v>0</v>
      </c>
      <c r="U493" s="2018"/>
      <c r="V493" s="2018"/>
      <c r="W493" s="2018"/>
      <c r="X493" s="2018"/>
      <c r="Y493" s="2018">
        <v>0</v>
      </c>
      <c r="Z493" s="2018"/>
      <c r="AA493" s="2018"/>
      <c r="AB493" s="2018"/>
      <c r="AC493" s="2018"/>
      <c r="AD493" s="2018">
        <v>0</v>
      </c>
      <c r="AE493" s="2018"/>
      <c r="AF493" s="2018"/>
      <c r="AG493" s="2018"/>
      <c r="AH493" s="201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18">
        <v>0</v>
      </c>
      <c r="U494" s="2018"/>
      <c r="V494" s="2018"/>
      <c r="W494" s="2018"/>
      <c r="X494" s="2018"/>
      <c r="Y494" s="2018">
        <v>0</v>
      </c>
      <c r="Z494" s="2018"/>
      <c r="AA494" s="2018"/>
      <c r="AB494" s="2018"/>
      <c r="AC494" s="2018"/>
      <c r="AD494" s="2018">
        <v>0</v>
      </c>
      <c r="AE494" s="2018"/>
      <c r="AF494" s="2018"/>
      <c r="AG494" s="2018"/>
      <c r="AH494" s="201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18">
        <v>44224</v>
      </c>
      <c r="U495" s="2018"/>
      <c r="V495" s="2018"/>
      <c r="W495" s="2018"/>
      <c r="X495" s="2018"/>
      <c r="Y495" s="2018">
        <v>0</v>
      </c>
      <c r="Z495" s="2018"/>
      <c r="AA495" s="2018"/>
      <c r="AB495" s="2018"/>
      <c r="AC495" s="2018"/>
      <c r="AD495" s="2018">
        <v>44432</v>
      </c>
      <c r="AE495" s="2018"/>
      <c r="AF495" s="2018"/>
      <c r="AG495" s="2018"/>
      <c r="AH495" s="201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3" t="s">
        <v>414</v>
      </c>
      <c r="R497" s="2164"/>
      <c r="S497" s="2164"/>
      <c r="T497" s="2164"/>
      <c r="U497" s="2164"/>
      <c r="V497" s="2164"/>
      <c r="W497" s="2164"/>
      <c r="X497" s="2164"/>
      <c r="Y497" s="2164"/>
      <c r="Z497" s="2164"/>
      <c r="AA497" s="2164"/>
      <c r="AB497" s="2164"/>
      <c r="AC497" s="2164"/>
      <c r="AD497" s="2164"/>
      <c r="AE497" s="2164"/>
      <c r="AF497" s="2164"/>
      <c r="AG497" s="2164"/>
      <c r="AH497" s="2164"/>
      <c r="AI497" s="2164"/>
      <c r="AJ497" s="2164"/>
      <c r="AK497" s="216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69" t="s">
        <v>2593</v>
      </c>
      <c r="R498" s="2063"/>
      <c r="S498" s="2063"/>
      <c r="T498" s="2063"/>
      <c r="U498" s="2063"/>
      <c r="V498" s="2063"/>
      <c r="W498" s="2063"/>
      <c r="X498" s="2063"/>
      <c r="Y498" s="2063"/>
      <c r="Z498" s="2063"/>
      <c r="AA498" s="2063"/>
      <c r="AB498" s="2063"/>
      <c r="AC498" s="2063"/>
      <c r="AD498" s="2063"/>
      <c r="AE498" s="2063"/>
      <c r="AF498" s="2063"/>
      <c r="AG498" s="2063"/>
      <c r="AH498" s="2063"/>
      <c r="AI498" s="2063"/>
      <c r="AJ498" s="2063"/>
      <c r="AK498" s="21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69" t="s">
        <v>2594</v>
      </c>
      <c r="R499" s="2063"/>
      <c r="S499" s="2063"/>
      <c r="T499" s="2063"/>
      <c r="U499" s="2063"/>
      <c r="V499" s="2063"/>
      <c r="W499" s="2063"/>
      <c r="X499" s="2063"/>
      <c r="Y499" s="2063"/>
      <c r="Z499" s="2063"/>
      <c r="AA499" s="2063"/>
      <c r="AB499" s="2063"/>
      <c r="AC499" s="2063"/>
      <c r="AD499" s="2063"/>
      <c r="AE499" s="2063"/>
      <c r="AF499" s="2063"/>
      <c r="AG499" s="2063"/>
      <c r="AH499" s="2063"/>
      <c r="AI499" s="2063"/>
      <c r="AJ499" s="2063"/>
      <c r="AK499" s="217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9" t="s">
        <v>2594</v>
      </c>
      <c r="R500" s="2063"/>
      <c r="S500" s="2063"/>
      <c r="T500" s="2063"/>
      <c r="U500" s="2063"/>
      <c r="V500" s="2063"/>
      <c r="W500" s="2063"/>
      <c r="X500" s="2063"/>
      <c r="Y500" s="2063"/>
      <c r="Z500" s="2063"/>
      <c r="AA500" s="2063"/>
      <c r="AB500" s="2063"/>
      <c r="AC500" s="2063"/>
      <c r="AD500" s="2063"/>
      <c r="AE500" s="2063"/>
      <c r="AF500" s="2063"/>
      <c r="AG500" s="2063"/>
      <c r="AH500" s="2063"/>
      <c r="AI500" s="2063"/>
      <c r="AJ500" s="2063"/>
      <c r="AK500" s="21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44" t="s">
        <v>418</v>
      </c>
      <c r="C501" s="2245"/>
      <c r="D501" s="2245"/>
      <c r="E501" s="2245"/>
      <c r="F501" s="2245"/>
      <c r="G501" s="2245"/>
      <c r="H501" s="2245"/>
      <c r="I501" s="2245"/>
      <c r="J501" s="2245"/>
      <c r="K501" s="2245"/>
      <c r="L501" s="2245"/>
      <c r="M501" s="2245"/>
      <c r="N501" s="2245"/>
      <c r="O501" s="2245"/>
      <c r="P501" s="2246"/>
      <c r="Q501" s="2180" t="s">
        <v>705</v>
      </c>
      <c r="R501" s="2181"/>
      <c r="S501" s="2390" t="s">
        <v>171</v>
      </c>
      <c r="T501" s="2391"/>
      <c r="U501" s="2391"/>
      <c r="V501" s="2391"/>
      <c r="W501" s="2391"/>
      <c r="X501" s="2391"/>
      <c r="Y501" s="2391"/>
      <c r="Z501" s="2391"/>
      <c r="AA501" s="2391"/>
      <c r="AB501" s="2391"/>
      <c r="AC501" s="2391"/>
      <c r="AD501" s="2391"/>
      <c r="AE501" s="2391"/>
      <c r="AF501" s="2391"/>
      <c r="AG501" s="2391"/>
      <c r="AH501" s="2391"/>
      <c r="AI501" s="2391"/>
      <c r="AJ501" s="2391"/>
      <c r="AK501" s="23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47"/>
      <c r="C502" s="2248"/>
      <c r="D502" s="2248"/>
      <c r="E502" s="2248"/>
      <c r="F502" s="2248"/>
      <c r="G502" s="2248"/>
      <c r="H502" s="2248"/>
      <c r="I502" s="2248"/>
      <c r="J502" s="2248"/>
      <c r="K502" s="2248"/>
      <c r="L502" s="2248"/>
      <c r="M502" s="2248"/>
      <c r="N502" s="2248"/>
      <c r="O502" s="2248"/>
      <c r="P502" s="2249"/>
      <c r="Q502" s="2182"/>
      <c r="R502" s="2183"/>
      <c r="S502" s="2393"/>
      <c r="T502" s="2394"/>
      <c r="U502" s="2394"/>
      <c r="V502" s="2394"/>
      <c r="W502" s="2394"/>
      <c r="X502" s="2394"/>
      <c r="Y502" s="2394"/>
      <c r="Z502" s="2394"/>
      <c r="AA502" s="2394"/>
      <c r="AB502" s="2394"/>
      <c r="AC502" s="2394"/>
      <c r="AD502" s="2394"/>
      <c r="AE502" s="2394"/>
      <c r="AF502" s="2394"/>
      <c r="AG502" s="2394"/>
      <c r="AH502" s="2394"/>
      <c r="AI502" s="2394"/>
      <c r="AJ502" s="2394"/>
      <c r="AK502" s="23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171" t="s">
        <v>705</v>
      </c>
      <c r="R503" s="2172"/>
      <c r="S503" s="2172"/>
      <c r="T503" s="2172"/>
      <c r="U503" s="2172"/>
      <c r="V503" s="2172"/>
      <c r="W503" s="2172"/>
      <c r="X503" s="2172"/>
      <c r="Y503" s="2172"/>
      <c r="Z503" s="2172"/>
      <c r="AA503" s="2172"/>
      <c r="AB503" s="2172"/>
      <c r="AC503" s="2172"/>
      <c r="AD503" s="2172"/>
      <c r="AE503" s="2172"/>
      <c r="AF503" s="2172"/>
      <c r="AG503" s="2172"/>
      <c r="AH503" s="2172"/>
      <c r="AI503" s="2172"/>
      <c r="AJ503" s="2172"/>
      <c r="AK503" s="217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9" t="s">
        <v>2595</v>
      </c>
      <c r="R504" s="2063"/>
      <c r="S504" s="2063"/>
      <c r="T504" s="2063"/>
      <c r="U504" s="2063"/>
      <c r="V504" s="2063"/>
      <c r="W504" s="2063"/>
      <c r="X504" s="2063"/>
      <c r="Y504" s="2063"/>
      <c r="Z504" s="2063"/>
      <c r="AA504" s="2063"/>
      <c r="AB504" s="2063"/>
      <c r="AC504" s="2063"/>
      <c r="AD504" s="2063"/>
      <c r="AE504" s="2063"/>
      <c r="AF504" s="2063"/>
      <c r="AG504" s="2063"/>
      <c r="AH504" s="2063"/>
      <c r="AI504" s="2063"/>
      <c r="AJ504" s="2063"/>
      <c r="AK504" s="21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69">
        <v>2.1</v>
      </c>
      <c r="R505" s="2063"/>
      <c r="S505" s="2063"/>
      <c r="T505" s="2063"/>
      <c r="U505" s="2063"/>
      <c r="V505" s="2063"/>
      <c r="W505" s="2063"/>
      <c r="X505" s="2063"/>
      <c r="Y505" s="2063"/>
      <c r="Z505" s="2063"/>
      <c r="AA505" s="2063"/>
      <c r="AB505" s="2063"/>
      <c r="AC505" s="2063"/>
      <c r="AD505" s="2063"/>
      <c r="AE505" s="2063"/>
      <c r="AF505" s="2063"/>
      <c r="AG505" s="2063"/>
      <c r="AH505" s="2063"/>
      <c r="AI505" s="2063"/>
      <c r="AJ505" s="2063"/>
      <c r="AK505" s="21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69">
        <v>550</v>
      </c>
      <c r="R506" s="2063"/>
      <c r="S506" s="2063"/>
      <c r="T506" s="2063"/>
      <c r="U506" s="2063"/>
      <c r="V506" s="2063"/>
      <c r="W506" s="2063"/>
      <c r="X506" s="2063"/>
      <c r="Y506" s="2063"/>
      <c r="Z506" s="2063"/>
      <c r="AA506" s="2063"/>
      <c r="AB506" s="2063"/>
      <c r="AC506" s="2063"/>
      <c r="AD506" s="2063"/>
      <c r="AE506" s="2063"/>
      <c r="AF506" s="2063"/>
      <c r="AG506" s="2063"/>
      <c r="AH506" s="2063"/>
      <c r="AI506" s="2063"/>
      <c r="AJ506" s="2063"/>
      <c r="AK506" s="21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01">
        <v>288</v>
      </c>
      <c r="N507" s="2102"/>
      <c r="O507" s="2102"/>
      <c r="P507" s="2103"/>
      <c r="Q507" s="1521" t="s">
        <v>2026</v>
      </c>
      <c r="R507" s="1522"/>
      <c r="S507" s="1522"/>
      <c r="T507" s="1522"/>
      <c r="U507" s="1522"/>
      <c r="V507" s="1522"/>
      <c r="W507" s="1522"/>
      <c r="X507" s="1522"/>
      <c r="Y507" s="1522"/>
      <c r="Z507" s="1522"/>
      <c r="AA507" s="1522"/>
      <c r="AB507" s="1522"/>
      <c r="AC507" s="1522"/>
      <c r="AD507" s="1522"/>
      <c r="AE507" s="1522"/>
      <c r="AF507" s="1522"/>
      <c r="AG507" s="1522"/>
      <c r="AH507" s="2101">
        <v>262</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3" t="s">
        <v>422</v>
      </c>
      <c r="AD511" s="2164"/>
      <c r="AE511" s="2164"/>
      <c r="AF511" s="2164"/>
      <c r="AG511" s="2164"/>
      <c r="AH511" s="2164"/>
      <c r="AI511" s="2164"/>
      <c r="AJ511" s="2164"/>
      <c r="AK511" s="216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34" t="s">
        <v>423</v>
      </c>
      <c r="AD512" s="2035"/>
      <c r="AE512" s="2035"/>
      <c r="AF512" s="2035"/>
      <c r="AG512" s="82" t="s">
        <v>424</v>
      </c>
      <c r="AH512" s="2035" t="s">
        <v>425</v>
      </c>
      <c r="AI512" s="2035"/>
      <c r="AJ512" s="2035"/>
      <c r="AK512" s="203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56" t="s">
        <v>426</v>
      </c>
      <c r="C513" s="2057"/>
      <c r="D513" s="2057"/>
      <c r="E513" s="2057"/>
      <c r="F513" s="2057"/>
      <c r="G513" s="2057"/>
      <c r="H513" s="2058"/>
      <c r="I513" s="72" t="s">
        <v>427</v>
      </c>
      <c r="J513" s="72"/>
      <c r="K513" s="72"/>
      <c r="L513" s="72"/>
      <c r="M513" s="72"/>
      <c r="N513" s="72"/>
      <c r="O513" s="72"/>
      <c r="P513" s="72"/>
      <c r="Q513" s="72"/>
      <c r="R513" s="72"/>
      <c r="S513" s="72"/>
      <c r="T513" s="72"/>
      <c r="U513" s="72"/>
      <c r="V513" s="72"/>
      <c r="W513" s="72"/>
      <c r="X513" s="25"/>
      <c r="Y513" s="25"/>
      <c r="AC513" s="2104">
        <v>8</v>
      </c>
      <c r="AD513" s="2030"/>
      <c r="AE513" s="2030"/>
      <c r="AF513" s="2030"/>
      <c r="AG513" s="75" t="s">
        <v>424</v>
      </c>
      <c r="AH513" s="2069">
        <v>2021</v>
      </c>
      <c r="AI513" s="2069"/>
      <c r="AJ513" s="2069"/>
      <c r="AK513" s="207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59"/>
      <c r="C514" s="2060"/>
      <c r="D514" s="2060"/>
      <c r="E514" s="2060"/>
      <c r="F514" s="2060"/>
      <c r="G514" s="2060"/>
      <c r="H514" s="2061"/>
      <c r="I514" s="80" t="s">
        <v>428</v>
      </c>
      <c r="J514" s="80"/>
      <c r="K514" s="80"/>
      <c r="L514" s="80"/>
      <c r="M514" s="80"/>
      <c r="N514" s="80"/>
      <c r="O514" s="80"/>
      <c r="P514" s="80"/>
      <c r="Q514" s="80"/>
      <c r="R514" s="80"/>
      <c r="S514" s="80"/>
      <c r="T514" s="80"/>
      <c r="U514" s="80"/>
      <c r="V514" s="80"/>
      <c r="W514" s="80"/>
      <c r="X514" s="80"/>
      <c r="Y514" s="80"/>
      <c r="Z514" s="80"/>
      <c r="AA514" s="80"/>
      <c r="AB514" s="80"/>
      <c r="AC514" s="2104" t="s">
        <v>625</v>
      </c>
      <c r="AD514" s="2030"/>
      <c r="AE514" s="2030"/>
      <c r="AF514" s="2030"/>
      <c r="AG514" s="65" t="s">
        <v>424</v>
      </c>
      <c r="AH514" s="2069"/>
      <c r="AI514" s="2069"/>
      <c r="AJ514" s="2069"/>
      <c r="AK514" s="207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56" t="s">
        <v>429</v>
      </c>
      <c r="C515" s="2057"/>
      <c r="D515" s="2057"/>
      <c r="E515" s="2057"/>
      <c r="F515" s="2057"/>
      <c r="G515" s="2057"/>
      <c r="H515" s="2058"/>
      <c r="I515" s="72" t="s">
        <v>430</v>
      </c>
      <c r="J515" s="72"/>
      <c r="K515" s="72"/>
      <c r="L515" s="72"/>
      <c r="M515" s="72"/>
      <c r="N515" s="72"/>
      <c r="O515" s="72"/>
      <c r="P515" s="72"/>
      <c r="Q515" s="72"/>
      <c r="R515" s="72"/>
      <c r="S515" s="72"/>
      <c r="T515" s="72"/>
      <c r="U515" s="72"/>
      <c r="V515" s="72"/>
      <c r="W515" s="72"/>
      <c r="X515" s="25"/>
      <c r="Y515" s="25"/>
      <c r="AC515" s="2104" t="s">
        <v>625</v>
      </c>
      <c r="AD515" s="2030"/>
      <c r="AE515" s="2030"/>
      <c r="AF515" s="2030"/>
      <c r="AG515" s="75" t="s">
        <v>424</v>
      </c>
      <c r="AH515" s="2069"/>
      <c r="AI515" s="2069"/>
      <c r="AJ515" s="2069"/>
      <c r="AK515" s="207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59"/>
      <c r="C516" s="2060"/>
      <c r="D516" s="2060"/>
      <c r="E516" s="2060"/>
      <c r="F516" s="2060"/>
      <c r="G516" s="2060"/>
      <c r="H516" s="2061"/>
      <c r="I516" s="25" t="s">
        <v>431</v>
      </c>
      <c r="J516" s="25"/>
      <c r="K516" s="25"/>
      <c r="L516" s="25"/>
      <c r="M516" s="25"/>
      <c r="N516" s="25"/>
      <c r="O516" s="25"/>
      <c r="P516" s="25"/>
      <c r="Q516" s="25"/>
      <c r="R516" s="25"/>
      <c r="S516" s="25"/>
      <c r="T516" s="25"/>
      <c r="U516" s="25"/>
      <c r="V516" s="25"/>
      <c r="W516" s="25"/>
      <c r="X516" s="25"/>
      <c r="Y516" s="25"/>
      <c r="AC516" s="2104" t="s">
        <v>625</v>
      </c>
      <c r="AD516" s="2030"/>
      <c r="AE516" s="2030"/>
      <c r="AF516" s="2030"/>
      <c r="AG516" s="75" t="s">
        <v>424</v>
      </c>
      <c r="AH516" s="2069"/>
      <c r="AI516" s="2069"/>
      <c r="AJ516" s="2069"/>
      <c r="AK516" s="207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59"/>
      <c r="C517" s="2060"/>
      <c r="D517" s="2060"/>
      <c r="E517" s="2060"/>
      <c r="F517" s="2060"/>
      <c r="G517" s="2060"/>
      <c r="H517" s="2061"/>
      <c r="I517" s="25" t="s">
        <v>432</v>
      </c>
      <c r="J517" s="25"/>
      <c r="K517" s="25"/>
      <c r="L517" s="25"/>
      <c r="M517" s="25"/>
      <c r="N517" s="25"/>
      <c r="O517" s="25"/>
      <c r="P517" s="25"/>
      <c r="Q517" s="25"/>
      <c r="R517" s="25"/>
      <c r="S517" s="25"/>
      <c r="T517" s="25"/>
      <c r="U517" s="25"/>
      <c r="V517" s="25"/>
      <c r="W517" s="25"/>
      <c r="X517" s="25"/>
      <c r="Y517" s="25"/>
      <c r="AC517" s="2104" t="s">
        <v>625</v>
      </c>
      <c r="AD517" s="2030"/>
      <c r="AE517" s="2030"/>
      <c r="AF517" s="2030"/>
      <c r="AG517" s="75" t="s">
        <v>424</v>
      </c>
      <c r="AH517" s="2069"/>
      <c r="AI517" s="2069"/>
      <c r="AJ517" s="2069"/>
      <c r="AK517" s="207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59"/>
      <c r="C518" s="2060"/>
      <c r="D518" s="2060"/>
      <c r="E518" s="2060"/>
      <c r="F518" s="2060"/>
      <c r="G518" s="2060"/>
      <c r="H518" s="2061"/>
      <c r="I518" s="25" t="s">
        <v>433</v>
      </c>
      <c r="J518" s="25"/>
      <c r="K518" s="25"/>
      <c r="L518" s="25"/>
      <c r="M518" s="25"/>
      <c r="N518" s="25"/>
      <c r="O518" s="25"/>
      <c r="P518" s="25"/>
      <c r="Q518" s="25"/>
      <c r="R518" s="25"/>
      <c r="S518" s="25"/>
      <c r="T518" s="25"/>
      <c r="U518" s="25"/>
      <c r="V518" s="25"/>
      <c r="W518" s="25"/>
      <c r="X518" s="25"/>
      <c r="Y518" s="25"/>
      <c r="AC518" s="2104" t="s">
        <v>625</v>
      </c>
      <c r="AD518" s="2030"/>
      <c r="AE518" s="2030"/>
      <c r="AF518" s="2030"/>
      <c r="AG518" s="75" t="s">
        <v>424</v>
      </c>
      <c r="AH518" s="2069"/>
      <c r="AI518" s="2069"/>
      <c r="AJ518" s="2069"/>
      <c r="AK518" s="207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59"/>
      <c r="C519" s="2060"/>
      <c r="D519" s="2060"/>
      <c r="E519" s="2060"/>
      <c r="F519" s="2060"/>
      <c r="G519" s="2060"/>
      <c r="H519" s="2061"/>
      <c r="I519" s="177" t="s">
        <v>434</v>
      </c>
      <c r="J519" s="25"/>
      <c r="K519" s="25"/>
      <c r="L519" s="25"/>
      <c r="M519" s="25"/>
      <c r="N519" s="25"/>
      <c r="O519" s="25"/>
      <c r="P519" s="25"/>
      <c r="Q519" s="25"/>
      <c r="R519" s="25"/>
      <c r="S519" s="25"/>
      <c r="T519" s="25"/>
      <c r="U519" s="25"/>
      <c r="V519" s="25"/>
      <c r="W519" s="25"/>
      <c r="X519" s="25"/>
      <c r="Y519" s="25"/>
      <c r="AC519" s="2072" t="s">
        <v>625</v>
      </c>
      <c r="AD519" s="2073"/>
      <c r="AE519" s="2073"/>
      <c r="AF519" s="2073"/>
      <c r="AG519" s="75" t="s">
        <v>424</v>
      </c>
      <c r="AH519" s="2069"/>
      <c r="AI519" s="2069"/>
      <c r="AJ519" s="2069"/>
      <c r="AK519" s="207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59"/>
      <c r="C520" s="2060"/>
      <c r="D520" s="2060"/>
      <c r="E520" s="2060"/>
      <c r="F520" s="2060"/>
      <c r="G520" s="2060"/>
      <c r="H520" s="2061"/>
      <c r="I520" s="1524" t="s">
        <v>175</v>
      </c>
      <c r="J520" s="80"/>
      <c r="K520" s="80"/>
      <c r="L520" s="2174" t="s">
        <v>2596</v>
      </c>
      <c r="M520" s="2012"/>
      <c r="N520" s="2012"/>
      <c r="O520" s="2012"/>
      <c r="P520" s="2012"/>
      <c r="Q520" s="2012"/>
      <c r="R520" s="2012"/>
      <c r="S520" s="2012"/>
      <c r="T520" s="2012"/>
      <c r="U520" s="2012"/>
      <c r="V520" s="2012"/>
      <c r="W520" s="2012"/>
      <c r="X520" s="2012"/>
      <c r="Y520" s="2012"/>
      <c r="Z520" s="2012"/>
      <c r="AA520" s="2012"/>
      <c r="AB520" s="2175"/>
      <c r="AC520" s="2104">
        <v>8</v>
      </c>
      <c r="AD520" s="2030"/>
      <c r="AE520" s="2030"/>
      <c r="AF520" s="2030"/>
      <c r="AG520" s="1495" t="s">
        <v>424</v>
      </c>
      <c r="AH520" s="2069">
        <v>2021</v>
      </c>
      <c r="AI520" s="2069"/>
      <c r="AJ520" s="2069"/>
      <c r="AK520" s="207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26" t="s">
        <v>1383</v>
      </c>
      <c r="AD521" s="2026"/>
      <c r="AE521" s="2026"/>
      <c r="AF521" s="2026"/>
      <c r="AG521" s="1787"/>
      <c r="AH521" s="2065"/>
      <c r="AI521" s="2065"/>
      <c r="AJ521" s="2065"/>
      <c r="AK521" s="20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72"/>
      <c r="AD522" s="2073"/>
      <c r="AE522" s="2073"/>
      <c r="AF522" s="2074"/>
      <c r="AG522" s="1787"/>
      <c r="AH522" s="2065"/>
      <c r="AI522" s="2065"/>
      <c r="AJ522" s="2065"/>
      <c r="AK522" s="20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75"/>
      <c r="AD524" s="2076"/>
      <c r="AE524" s="2076"/>
      <c r="AF524" s="2077"/>
      <c r="AG524" s="1788"/>
      <c r="AH524" s="2078"/>
      <c r="AI524" s="2078"/>
      <c r="AJ524" s="2078"/>
      <c r="AK524" s="207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6" t="s">
        <v>423</v>
      </c>
      <c r="AD525" s="2167"/>
      <c r="AE525" s="2167"/>
      <c r="AF525" s="2167"/>
      <c r="AG525" s="1788" t="s">
        <v>424</v>
      </c>
      <c r="AH525" s="2167" t="s">
        <v>425</v>
      </c>
      <c r="AI525" s="2167"/>
      <c r="AJ525" s="2167"/>
      <c r="AK525" s="216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6" t="s">
        <v>435</v>
      </c>
      <c r="C526" s="2057"/>
      <c r="D526" s="2057"/>
      <c r="E526" s="2057"/>
      <c r="F526" s="2057"/>
      <c r="G526" s="2057"/>
      <c r="H526" s="2058"/>
      <c r="I526" s="72" t="s">
        <v>436</v>
      </c>
      <c r="J526" s="72"/>
      <c r="K526" s="72"/>
      <c r="L526" s="72"/>
      <c r="M526" s="72"/>
      <c r="N526" s="72"/>
      <c r="O526" s="72"/>
      <c r="P526" s="72"/>
      <c r="Q526" s="72"/>
      <c r="R526" s="72"/>
      <c r="S526" s="72"/>
      <c r="T526" s="72"/>
      <c r="U526" s="72"/>
      <c r="V526" s="72"/>
      <c r="W526" s="72"/>
      <c r="X526" s="25"/>
      <c r="Y526" s="25"/>
      <c r="AC526" s="2104">
        <v>8</v>
      </c>
      <c r="AD526" s="2030"/>
      <c r="AE526" s="2030"/>
      <c r="AF526" s="2030"/>
      <c r="AG526" s="75" t="s">
        <v>424</v>
      </c>
      <c r="AH526" s="2069">
        <v>2021</v>
      </c>
      <c r="AI526" s="2069"/>
      <c r="AJ526" s="2069"/>
      <c r="AK526" s="207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59"/>
      <c r="C527" s="2060"/>
      <c r="D527" s="2060"/>
      <c r="E527" s="2060"/>
      <c r="F527" s="2060"/>
      <c r="G527" s="2060"/>
      <c r="H527" s="2061"/>
      <c r="I527" s="25" t="s">
        <v>437</v>
      </c>
      <c r="J527" s="25"/>
      <c r="K527" s="25"/>
      <c r="L527" s="25"/>
      <c r="M527" s="25"/>
      <c r="N527" s="25"/>
      <c r="O527" s="25"/>
      <c r="P527" s="25"/>
      <c r="Q527" s="25"/>
      <c r="R527" s="25"/>
      <c r="S527" s="25"/>
      <c r="T527" s="25"/>
      <c r="U527" s="25"/>
      <c r="V527" s="25"/>
      <c r="W527" s="25"/>
      <c r="X527" s="25"/>
      <c r="Y527" s="25"/>
      <c r="AC527" s="2104">
        <v>8</v>
      </c>
      <c r="AD527" s="2030"/>
      <c r="AE527" s="2030"/>
      <c r="AF527" s="2030"/>
      <c r="AG527" s="75" t="s">
        <v>424</v>
      </c>
      <c r="AH527" s="2069">
        <v>2021</v>
      </c>
      <c r="AI527" s="2069"/>
      <c r="AJ527" s="2069"/>
      <c r="AK527" s="207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59"/>
      <c r="C528" s="2060"/>
      <c r="D528" s="2060"/>
      <c r="E528" s="2060"/>
      <c r="F528" s="2060"/>
      <c r="G528" s="2060"/>
      <c r="H528" s="2061"/>
      <c r="I528" s="80" t="s">
        <v>438</v>
      </c>
      <c r="J528" s="80"/>
      <c r="K528" s="80"/>
      <c r="L528" s="80"/>
      <c r="M528" s="80"/>
      <c r="N528" s="80"/>
      <c r="O528" s="80"/>
      <c r="P528" s="80"/>
      <c r="Q528" s="80"/>
      <c r="R528" s="80"/>
      <c r="S528" s="80"/>
      <c r="T528" s="80"/>
      <c r="U528" s="80"/>
      <c r="V528" s="80"/>
      <c r="W528" s="80"/>
      <c r="X528" s="80"/>
      <c r="Y528" s="80"/>
      <c r="Z528" s="80"/>
      <c r="AA528" s="80"/>
      <c r="AB528" s="80"/>
      <c r="AC528" s="2104">
        <v>6</v>
      </c>
      <c r="AD528" s="2030"/>
      <c r="AE528" s="2030"/>
      <c r="AF528" s="2030"/>
      <c r="AG528" s="65" t="s">
        <v>424</v>
      </c>
      <c r="AH528" s="2069">
        <v>2022</v>
      </c>
      <c r="AI528" s="2069"/>
      <c r="AJ528" s="2069"/>
      <c r="AK528" s="207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56" t="s">
        <v>439</v>
      </c>
      <c r="C529" s="2057"/>
      <c r="D529" s="2057"/>
      <c r="E529" s="2057"/>
      <c r="F529" s="2057"/>
      <c r="G529" s="2057"/>
      <c r="H529" s="2058"/>
      <c r="I529" s="72" t="s">
        <v>436</v>
      </c>
      <c r="J529" s="72"/>
      <c r="K529" s="72"/>
      <c r="L529" s="72"/>
      <c r="M529" s="72"/>
      <c r="N529" s="72"/>
      <c r="O529" s="72"/>
      <c r="P529" s="72"/>
      <c r="Q529" s="72"/>
      <c r="R529" s="72"/>
      <c r="S529" s="72"/>
      <c r="T529" s="72"/>
      <c r="U529" s="72"/>
      <c r="V529" s="72"/>
      <c r="W529" s="72"/>
      <c r="X529" s="72"/>
      <c r="Y529" s="72"/>
      <c r="Z529" s="72"/>
      <c r="AA529" s="72"/>
      <c r="AB529" s="72"/>
      <c r="AC529" s="2072">
        <v>8</v>
      </c>
      <c r="AD529" s="2073"/>
      <c r="AE529" s="2073"/>
      <c r="AF529" s="2073"/>
      <c r="AG529" s="196" t="s">
        <v>424</v>
      </c>
      <c r="AH529" s="2069">
        <v>2021</v>
      </c>
      <c r="AI529" s="2069"/>
      <c r="AJ529" s="2069"/>
      <c r="AK529" s="207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59"/>
      <c r="C530" s="2060"/>
      <c r="D530" s="2060"/>
      <c r="E530" s="2060"/>
      <c r="F530" s="2060"/>
      <c r="G530" s="2060"/>
      <c r="H530" s="2061"/>
      <c r="I530" s="25" t="s">
        <v>437</v>
      </c>
      <c r="J530" s="25"/>
      <c r="K530" s="25"/>
      <c r="L530" s="25"/>
      <c r="M530" s="25"/>
      <c r="N530" s="25"/>
      <c r="O530" s="25"/>
      <c r="P530" s="25"/>
      <c r="Q530" s="25"/>
      <c r="R530" s="25"/>
      <c r="S530" s="25"/>
      <c r="T530" s="25"/>
      <c r="U530" s="25"/>
      <c r="V530" s="25"/>
      <c r="W530" s="25"/>
      <c r="X530" s="25"/>
      <c r="Y530" s="25"/>
      <c r="Z530" s="25"/>
      <c r="AA530" s="25"/>
      <c r="AB530" s="25"/>
      <c r="AC530" s="2104">
        <v>8</v>
      </c>
      <c r="AD530" s="2030"/>
      <c r="AE530" s="2030"/>
      <c r="AF530" s="2030"/>
      <c r="AG530" s="75" t="s">
        <v>424</v>
      </c>
      <c r="AH530" s="2069">
        <v>2021</v>
      </c>
      <c r="AI530" s="2069"/>
      <c r="AJ530" s="2069"/>
      <c r="AK530" s="207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15"/>
      <c r="C531" s="2116"/>
      <c r="D531" s="2116"/>
      <c r="E531" s="2116"/>
      <c r="F531" s="2116"/>
      <c r="G531" s="2116"/>
      <c r="H531" s="2117"/>
      <c r="I531" s="80" t="s">
        <v>438</v>
      </c>
      <c r="J531" s="80"/>
      <c r="K531" s="80"/>
      <c r="L531" s="80"/>
      <c r="M531" s="80"/>
      <c r="N531" s="80"/>
      <c r="O531" s="80"/>
      <c r="P531" s="80"/>
      <c r="Q531" s="80"/>
      <c r="R531" s="80"/>
      <c r="S531" s="80"/>
      <c r="T531" s="80"/>
      <c r="U531" s="80"/>
      <c r="V531" s="80"/>
      <c r="W531" s="80"/>
      <c r="X531" s="80"/>
      <c r="Y531" s="80"/>
      <c r="Z531" s="80"/>
      <c r="AA531" s="80"/>
      <c r="AB531" s="80"/>
      <c r="AC531" s="2104">
        <v>6</v>
      </c>
      <c r="AD531" s="2030"/>
      <c r="AE531" s="2030"/>
      <c r="AF531" s="2030"/>
      <c r="AG531" s="65" t="s">
        <v>424</v>
      </c>
      <c r="AH531" s="2069">
        <v>2022</v>
      </c>
      <c r="AI531" s="2069"/>
      <c r="AJ531" s="2069"/>
      <c r="AK531" s="207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56" t="s">
        <v>440</v>
      </c>
      <c r="C532" s="2057"/>
      <c r="D532" s="2057"/>
      <c r="E532" s="2057"/>
      <c r="F532" s="2057"/>
      <c r="G532" s="2057"/>
      <c r="H532" s="2058"/>
      <c r="I532" s="71" t="s">
        <v>441</v>
      </c>
      <c r="J532" s="72"/>
      <c r="K532" s="72"/>
      <c r="L532" s="72"/>
      <c r="M532" s="72"/>
      <c r="N532" s="72"/>
      <c r="O532" s="2063" t="s">
        <v>343</v>
      </c>
      <c r="P532" s="2063"/>
      <c r="Q532" s="2063"/>
      <c r="R532" s="2063"/>
      <c r="S532" s="2063"/>
      <c r="T532" s="2063"/>
      <c r="U532" s="2063"/>
      <c r="V532" s="2063"/>
      <c r="W532" s="2063"/>
      <c r="X532" s="2063"/>
      <c r="Y532" s="2063"/>
      <c r="Z532" s="2063"/>
      <c r="AA532" s="2063"/>
      <c r="AB532" s="94"/>
      <c r="AC532" s="2072" t="s">
        <v>625</v>
      </c>
      <c r="AD532" s="2073"/>
      <c r="AE532" s="2073"/>
      <c r="AF532" s="2073"/>
      <c r="AG532" s="196" t="s">
        <v>424</v>
      </c>
      <c r="AH532" s="2069"/>
      <c r="AI532" s="2069"/>
      <c r="AJ532" s="2069"/>
      <c r="AK532" s="207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59"/>
      <c r="C533" s="2060"/>
      <c r="D533" s="2060"/>
      <c r="E533" s="2060"/>
      <c r="F533" s="2060"/>
      <c r="G533" s="2060"/>
      <c r="H533" s="2061"/>
      <c r="I533" s="171" t="s">
        <v>442</v>
      </c>
      <c r="J533" s="25"/>
      <c r="K533" s="25"/>
      <c r="L533" s="25"/>
      <c r="M533" s="25"/>
      <c r="N533" s="25"/>
      <c r="O533" s="25"/>
      <c r="P533" s="25"/>
      <c r="Q533" s="25"/>
      <c r="R533" s="25"/>
      <c r="S533" s="25"/>
      <c r="T533" s="25"/>
      <c r="U533" s="25"/>
      <c r="V533" s="25"/>
      <c r="W533" s="25"/>
      <c r="X533" s="25"/>
      <c r="Y533" s="25"/>
      <c r="Z533" s="25"/>
      <c r="AA533" s="25"/>
      <c r="AB533" s="101"/>
      <c r="AC533" s="2104" t="s">
        <v>625</v>
      </c>
      <c r="AD533" s="2030"/>
      <c r="AE533" s="2030"/>
      <c r="AF533" s="2030"/>
      <c r="AG533" s="75" t="s">
        <v>424</v>
      </c>
      <c r="AH533" s="2069"/>
      <c r="AI533" s="2069"/>
      <c r="AJ533" s="2069"/>
      <c r="AK533" s="207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59"/>
      <c r="C534" s="2060"/>
      <c r="D534" s="2060"/>
      <c r="E534" s="2060"/>
      <c r="F534" s="2060"/>
      <c r="G534" s="2060"/>
      <c r="H534" s="2061"/>
      <c r="I534" s="79" t="s">
        <v>443</v>
      </c>
      <c r="J534" s="80"/>
      <c r="K534" s="80"/>
      <c r="L534" s="80"/>
      <c r="M534" s="80"/>
      <c r="N534" s="80"/>
      <c r="O534" s="80"/>
      <c r="P534" s="80"/>
      <c r="Q534" s="80"/>
      <c r="R534" s="80"/>
      <c r="S534" s="80"/>
      <c r="T534" s="80"/>
      <c r="U534" s="80"/>
      <c r="V534" s="80"/>
      <c r="W534" s="80"/>
      <c r="X534" s="80"/>
      <c r="Y534" s="80"/>
      <c r="Z534" s="80"/>
      <c r="AA534" s="80"/>
      <c r="AB534" s="81"/>
      <c r="AC534" s="2104" t="s">
        <v>625</v>
      </c>
      <c r="AD534" s="2030"/>
      <c r="AE534" s="2030"/>
      <c r="AF534" s="2030"/>
      <c r="AG534" s="65" t="s">
        <v>424</v>
      </c>
      <c r="AH534" s="2069"/>
      <c r="AI534" s="2069"/>
      <c r="AJ534" s="2069"/>
      <c r="AK534" s="207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59"/>
      <c r="C535" s="2060"/>
      <c r="D535" s="2060"/>
      <c r="E535" s="2060"/>
      <c r="F535" s="2060"/>
      <c r="G535" s="2060"/>
      <c r="H535" s="2061"/>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04" t="s">
        <v>625</v>
      </c>
      <c r="AD535" s="2030"/>
      <c r="AE535" s="2030"/>
      <c r="AF535" s="2030"/>
      <c r="AG535" s="75" t="s">
        <v>424</v>
      </c>
      <c r="AH535" s="2069"/>
      <c r="AI535" s="2069"/>
      <c r="AJ535" s="2069"/>
      <c r="AK535" s="207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59"/>
      <c r="C536" s="2060"/>
      <c r="D536" s="2060"/>
      <c r="E536" s="2060"/>
      <c r="F536" s="2060"/>
      <c r="G536" s="2060"/>
      <c r="H536" s="2061"/>
      <c r="I536" s="25" t="s">
        <v>442</v>
      </c>
      <c r="J536" s="25"/>
      <c r="K536" s="25"/>
      <c r="L536" s="25"/>
      <c r="M536" s="25"/>
      <c r="N536" s="25"/>
      <c r="O536" s="25"/>
      <c r="P536" s="25"/>
      <c r="Q536" s="25"/>
      <c r="R536" s="25"/>
      <c r="S536" s="25"/>
      <c r="T536" s="25"/>
      <c r="U536" s="25"/>
      <c r="V536" s="25"/>
      <c r="W536" s="25"/>
      <c r="X536" s="25"/>
      <c r="Y536" s="25"/>
      <c r="AC536" s="2104" t="s">
        <v>625</v>
      </c>
      <c r="AD536" s="2030"/>
      <c r="AE536" s="2030"/>
      <c r="AF536" s="2030"/>
      <c r="AG536" s="75" t="s">
        <v>424</v>
      </c>
      <c r="AH536" s="2069"/>
      <c r="AI536" s="2069"/>
      <c r="AJ536" s="2069"/>
      <c r="AK536" s="207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59"/>
      <c r="C537" s="2060"/>
      <c r="D537" s="2060"/>
      <c r="E537" s="2060"/>
      <c r="F537" s="2060"/>
      <c r="G537" s="2060"/>
      <c r="H537" s="2061"/>
      <c r="I537" s="80" t="s">
        <v>443</v>
      </c>
      <c r="J537" s="80"/>
      <c r="K537" s="80"/>
      <c r="L537" s="80"/>
      <c r="M537" s="80"/>
      <c r="N537" s="80"/>
      <c r="O537" s="80"/>
      <c r="P537" s="80"/>
      <c r="Q537" s="80"/>
      <c r="R537" s="80"/>
      <c r="S537" s="80"/>
      <c r="T537" s="80"/>
      <c r="U537" s="80"/>
      <c r="V537" s="80"/>
      <c r="W537" s="80"/>
      <c r="X537" s="80"/>
      <c r="Y537" s="80"/>
      <c r="Z537" s="80"/>
      <c r="AA537" s="80"/>
      <c r="AB537" s="80"/>
      <c r="AC537" s="2104" t="s">
        <v>625</v>
      </c>
      <c r="AD537" s="2030"/>
      <c r="AE537" s="2030"/>
      <c r="AF537" s="2030"/>
      <c r="AG537" s="65" t="s">
        <v>424</v>
      </c>
      <c r="AH537" s="2069"/>
      <c r="AI537" s="2069"/>
      <c r="AJ537" s="2069"/>
      <c r="AK537" s="207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59"/>
      <c r="C538" s="2060"/>
      <c r="D538" s="2060"/>
      <c r="E538" s="2060"/>
      <c r="F538" s="2060"/>
      <c r="G538" s="2060"/>
      <c r="H538" s="2061"/>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04" t="s">
        <v>625</v>
      </c>
      <c r="AD538" s="2030"/>
      <c r="AE538" s="2030"/>
      <c r="AF538" s="2030"/>
      <c r="AG538" s="75" t="s">
        <v>424</v>
      </c>
      <c r="AH538" s="2069"/>
      <c r="AI538" s="2069"/>
      <c r="AJ538" s="2069"/>
      <c r="AK538" s="207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59"/>
      <c r="C539" s="2060"/>
      <c r="D539" s="2060"/>
      <c r="E539" s="2060"/>
      <c r="F539" s="2060"/>
      <c r="G539" s="2060"/>
      <c r="H539" s="2061"/>
      <c r="I539" s="25" t="s">
        <v>442</v>
      </c>
      <c r="J539" s="25"/>
      <c r="K539" s="25"/>
      <c r="L539" s="25"/>
      <c r="M539" s="25"/>
      <c r="N539" s="25"/>
      <c r="O539" s="25"/>
      <c r="P539" s="25"/>
      <c r="Q539" s="25"/>
      <c r="R539" s="25"/>
      <c r="S539" s="25"/>
      <c r="T539" s="25"/>
      <c r="U539" s="25"/>
      <c r="V539" s="25"/>
      <c r="W539" s="25"/>
      <c r="X539" s="25"/>
      <c r="Y539" s="25"/>
      <c r="AC539" s="2104" t="s">
        <v>625</v>
      </c>
      <c r="AD539" s="2030"/>
      <c r="AE539" s="2030"/>
      <c r="AF539" s="2030"/>
      <c r="AG539" s="75" t="s">
        <v>424</v>
      </c>
      <c r="AH539" s="2069"/>
      <c r="AI539" s="2069"/>
      <c r="AJ539" s="2069"/>
      <c r="AK539" s="207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59"/>
      <c r="C540" s="2060"/>
      <c r="D540" s="2060"/>
      <c r="E540" s="2060"/>
      <c r="F540" s="2060"/>
      <c r="G540" s="2060"/>
      <c r="H540" s="2061"/>
      <c r="I540" s="80" t="s">
        <v>443</v>
      </c>
      <c r="J540" s="80"/>
      <c r="K540" s="80"/>
      <c r="L540" s="80"/>
      <c r="M540" s="80"/>
      <c r="N540" s="80"/>
      <c r="O540" s="80"/>
      <c r="P540" s="80"/>
      <c r="Q540" s="80"/>
      <c r="R540" s="80"/>
      <c r="S540" s="80"/>
      <c r="T540" s="80"/>
      <c r="U540" s="80"/>
      <c r="V540" s="80"/>
      <c r="W540" s="80"/>
      <c r="X540" s="80"/>
      <c r="Y540" s="80"/>
      <c r="Z540" s="80"/>
      <c r="AA540" s="80"/>
      <c r="AB540" s="80"/>
      <c r="AC540" s="2104" t="s">
        <v>625</v>
      </c>
      <c r="AD540" s="2030"/>
      <c r="AE540" s="2030"/>
      <c r="AF540" s="2030"/>
      <c r="AG540" s="65" t="s">
        <v>424</v>
      </c>
      <c r="AH540" s="2069"/>
      <c r="AI540" s="2069"/>
      <c r="AJ540" s="2069"/>
      <c r="AK540" s="207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59"/>
      <c r="C541" s="2060"/>
      <c r="D541" s="2060"/>
      <c r="E541" s="2060"/>
      <c r="F541" s="2060"/>
      <c r="G541" s="2060"/>
      <c r="H541" s="2061"/>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04" t="s">
        <v>625</v>
      </c>
      <c r="AD541" s="2030"/>
      <c r="AE541" s="2030"/>
      <c r="AF541" s="2030"/>
      <c r="AG541" s="75" t="s">
        <v>424</v>
      </c>
      <c r="AH541" s="2069"/>
      <c r="AI541" s="2069"/>
      <c r="AJ541" s="2069"/>
      <c r="AK541" s="207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59"/>
      <c r="C542" s="2060"/>
      <c r="D542" s="2060"/>
      <c r="E542" s="2060"/>
      <c r="F542" s="2060"/>
      <c r="G542" s="2060"/>
      <c r="H542" s="2061"/>
      <c r="I542" s="25" t="s">
        <v>442</v>
      </c>
      <c r="J542" s="25"/>
      <c r="K542" s="25"/>
      <c r="L542" s="25"/>
      <c r="M542" s="25"/>
      <c r="N542" s="25"/>
      <c r="O542" s="25"/>
      <c r="P542" s="25"/>
      <c r="Q542" s="25"/>
      <c r="R542" s="25"/>
      <c r="S542" s="25"/>
      <c r="T542" s="25"/>
      <c r="U542" s="25"/>
      <c r="V542" s="25"/>
      <c r="W542" s="25"/>
      <c r="X542" s="25"/>
      <c r="Y542" s="25"/>
      <c r="AC542" s="2104" t="s">
        <v>625</v>
      </c>
      <c r="AD542" s="2030"/>
      <c r="AE542" s="2030"/>
      <c r="AF542" s="2030"/>
      <c r="AG542" s="75" t="s">
        <v>424</v>
      </c>
      <c r="AH542" s="2069"/>
      <c r="AI542" s="2069"/>
      <c r="AJ542" s="2069"/>
      <c r="AK542" s="207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59"/>
      <c r="C543" s="2060"/>
      <c r="D543" s="2060"/>
      <c r="E543" s="2060"/>
      <c r="F543" s="2060"/>
      <c r="G543" s="2060"/>
      <c r="H543" s="2061"/>
      <c r="I543" s="80" t="s">
        <v>443</v>
      </c>
      <c r="J543" s="80"/>
      <c r="K543" s="80"/>
      <c r="L543" s="80"/>
      <c r="M543" s="80"/>
      <c r="N543" s="80"/>
      <c r="O543" s="80"/>
      <c r="P543" s="80"/>
      <c r="Q543" s="80"/>
      <c r="R543" s="80"/>
      <c r="S543" s="80"/>
      <c r="T543" s="80"/>
      <c r="U543" s="80"/>
      <c r="V543" s="80"/>
      <c r="W543" s="80"/>
      <c r="X543" s="80"/>
      <c r="Y543" s="80"/>
      <c r="Z543" s="80"/>
      <c r="AA543" s="80"/>
      <c r="AB543" s="80"/>
      <c r="AC543" s="2104" t="s">
        <v>625</v>
      </c>
      <c r="AD543" s="2030"/>
      <c r="AE543" s="2030"/>
      <c r="AF543" s="2030"/>
      <c r="AG543" s="65" t="s">
        <v>424</v>
      </c>
      <c r="AH543" s="2069"/>
      <c r="AI543" s="2069"/>
      <c r="AJ543" s="2069"/>
      <c r="AK543" s="207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59"/>
      <c r="C544" s="2060"/>
      <c r="D544" s="2060"/>
      <c r="E544" s="2060"/>
      <c r="F544" s="2060"/>
      <c r="G544" s="2060"/>
      <c r="H544" s="2061"/>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04" t="s">
        <v>625</v>
      </c>
      <c r="AD544" s="2030"/>
      <c r="AE544" s="2030"/>
      <c r="AF544" s="2030"/>
      <c r="AG544" s="75" t="s">
        <v>424</v>
      </c>
      <c r="AH544" s="2069"/>
      <c r="AI544" s="2069"/>
      <c r="AJ544" s="2069"/>
      <c r="AK544" s="207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59"/>
      <c r="C545" s="2060"/>
      <c r="D545" s="2060"/>
      <c r="E545" s="2060"/>
      <c r="F545" s="2060"/>
      <c r="G545" s="2060"/>
      <c r="H545" s="2061"/>
      <c r="I545" s="25" t="s">
        <v>442</v>
      </c>
      <c r="J545" s="25"/>
      <c r="K545" s="25"/>
      <c r="L545" s="25"/>
      <c r="M545" s="25"/>
      <c r="N545" s="25"/>
      <c r="O545" s="25"/>
      <c r="P545" s="25"/>
      <c r="Q545" s="25"/>
      <c r="R545" s="25"/>
      <c r="S545" s="25"/>
      <c r="T545" s="25"/>
      <c r="U545" s="25"/>
      <c r="V545" s="25"/>
      <c r="W545" s="25"/>
      <c r="X545" s="25"/>
      <c r="Y545" s="25"/>
      <c r="AC545" s="2104" t="s">
        <v>625</v>
      </c>
      <c r="AD545" s="2030"/>
      <c r="AE545" s="2030"/>
      <c r="AF545" s="2030"/>
      <c r="AG545" s="65" t="s">
        <v>424</v>
      </c>
      <c r="AH545" s="2069"/>
      <c r="AI545" s="2069"/>
      <c r="AJ545" s="2069"/>
      <c r="AK545" s="207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59"/>
      <c r="C546" s="2060"/>
      <c r="D546" s="2060"/>
      <c r="E546" s="2060"/>
      <c r="F546" s="2060"/>
      <c r="G546" s="2060"/>
      <c r="H546" s="2061"/>
      <c r="I546" s="80" t="s">
        <v>443</v>
      </c>
      <c r="J546" s="80"/>
      <c r="K546" s="80"/>
      <c r="L546" s="80"/>
      <c r="M546" s="80"/>
      <c r="N546" s="80"/>
      <c r="O546" s="80"/>
      <c r="P546" s="80"/>
      <c r="Q546" s="80"/>
      <c r="R546" s="80"/>
      <c r="S546" s="80"/>
      <c r="T546" s="80"/>
      <c r="U546" s="80"/>
      <c r="V546" s="80"/>
      <c r="W546" s="80"/>
      <c r="X546" s="80"/>
      <c r="Y546" s="80"/>
      <c r="Z546" s="80"/>
      <c r="AA546" s="80"/>
      <c r="AB546" s="80"/>
      <c r="AC546" s="2104" t="s">
        <v>625</v>
      </c>
      <c r="AD546" s="2030"/>
      <c r="AE546" s="2030"/>
      <c r="AF546" s="2030"/>
      <c r="AG546" s="75" t="s">
        <v>424</v>
      </c>
      <c r="AH546" s="2069"/>
      <c r="AI546" s="2069"/>
      <c r="AJ546" s="2069"/>
      <c r="AK546" s="207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59"/>
      <c r="C547" s="2060"/>
      <c r="D547" s="2060"/>
      <c r="E547" s="2060"/>
      <c r="F547" s="2060"/>
      <c r="G547" s="2060"/>
      <c r="H547" s="2061"/>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04" t="s">
        <v>625</v>
      </c>
      <c r="AD547" s="2030"/>
      <c r="AE547" s="2030"/>
      <c r="AF547" s="2030"/>
      <c r="AG547" s="65" t="s">
        <v>424</v>
      </c>
      <c r="AH547" s="2069"/>
      <c r="AI547" s="2069"/>
      <c r="AJ547" s="2069"/>
      <c r="AK547" s="207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59"/>
      <c r="C548" s="2060"/>
      <c r="D548" s="2060"/>
      <c r="E548" s="2060"/>
      <c r="F548" s="2060"/>
      <c r="G548" s="2060"/>
      <c r="H548" s="2061"/>
      <c r="I548" s="25" t="s">
        <v>442</v>
      </c>
      <c r="J548" s="25"/>
      <c r="K548" s="25"/>
      <c r="L548" s="25"/>
      <c r="M548" s="25"/>
      <c r="N548" s="25"/>
      <c r="O548" s="25"/>
      <c r="P548" s="25"/>
      <c r="Q548" s="25"/>
      <c r="R548" s="25"/>
      <c r="S548" s="25"/>
      <c r="T548" s="25"/>
      <c r="U548" s="25"/>
      <c r="V548" s="25"/>
      <c r="W548" s="25"/>
      <c r="X548" s="25"/>
      <c r="Y548" s="25"/>
      <c r="AC548" s="2104" t="s">
        <v>625</v>
      </c>
      <c r="AD548" s="2030"/>
      <c r="AE548" s="2030"/>
      <c r="AF548" s="2030"/>
      <c r="AG548" s="75" t="s">
        <v>424</v>
      </c>
      <c r="AH548" s="2069"/>
      <c r="AI548" s="2069"/>
      <c r="AJ548" s="2069"/>
      <c r="AK548" s="207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59"/>
      <c r="C549" s="2060"/>
      <c r="D549" s="2060"/>
      <c r="E549" s="2060"/>
      <c r="F549" s="2060"/>
      <c r="G549" s="2060"/>
      <c r="H549" s="2061"/>
      <c r="I549" s="80" t="s">
        <v>443</v>
      </c>
      <c r="J549" s="80"/>
      <c r="K549" s="80"/>
      <c r="L549" s="80"/>
      <c r="M549" s="80"/>
      <c r="N549" s="80"/>
      <c r="O549" s="80"/>
      <c r="P549" s="80"/>
      <c r="Q549" s="80"/>
      <c r="R549" s="80"/>
      <c r="S549" s="80"/>
      <c r="T549" s="80"/>
      <c r="U549" s="80"/>
      <c r="V549" s="80"/>
      <c r="W549" s="80"/>
      <c r="X549" s="80"/>
      <c r="Y549" s="80"/>
      <c r="Z549" s="80"/>
      <c r="AA549" s="80"/>
      <c r="AB549" s="80"/>
      <c r="AC549" s="2104" t="s">
        <v>625</v>
      </c>
      <c r="AD549" s="2030"/>
      <c r="AE549" s="2030"/>
      <c r="AF549" s="2030"/>
      <c r="AG549" s="65" t="s">
        <v>424</v>
      </c>
      <c r="AH549" s="2069"/>
      <c r="AI549" s="2069"/>
      <c r="AJ549" s="2069"/>
      <c r="AK549" s="207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59"/>
      <c r="C550" s="2060"/>
      <c r="D550" s="2060"/>
      <c r="E550" s="2060"/>
      <c r="F550" s="2060"/>
      <c r="G550" s="2060"/>
      <c r="H550" s="2061"/>
      <c r="I550" s="72" t="s">
        <v>594</v>
      </c>
      <c r="J550" s="72"/>
      <c r="K550" s="72"/>
      <c r="L550" s="72"/>
      <c r="M550" s="72"/>
      <c r="N550" s="72"/>
      <c r="O550" s="72"/>
      <c r="P550" s="72"/>
      <c r="Q550" s="72"/>
      <c r="R550" s="72"/>
      <c r="S550" s="72"/>
      <c r="T550" s="72"/>
      <c r="U550" s="72"/>
      <c r="V550" s="72"/>
      <c r="W550" s="72"/>
      <c r="X550" s="25"/>
      <c r="Y550" s="25"/>
      <c r="AC550" s="2104">
        <v>6</v>
      </c>
      <c r="AD550" s="2030"/>
      <c r="AE550" s="2030"/>
      <c r="AF550" s="2030"/>
      <c r="AG550" s="65" t="s">
        <v>424</v>
      </c>
      <c r="AH550" s="2069">
        <v>2022</v>
      </c>
      <c r="AI550" s="2069"/>
      <c r="AJ550" s="2069"/>
      <c r="AK550" s="207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59"/>
      <c r="C551" s="2060"/>
      <c r="D551" s="2060"/>
      <c r="E551" s="2060"/>
      <c r="F551" s="2060"/>
      <c r="G551" s="2060"/>
      <c r="H551" s="2061"/>
      <c r="I551" s="25" t="s">
        <v>595</v>
      </c>
      <c r="J551" s="25"/>
      <c r="K551" s="25"/>
      <c r="L551" s="25"/>
      <c r="M551" s="25"/>
      <c r="N551" s="25"/>
      <c r="O551" s="25"/>
      <c r="P551" s="25"/>
      <c r="Q551" s="25"/>
      <c r="R551" s="25"/>
      <c r="S551" s="25"/>
      <c r="T551" s="25"/>
      <c r="U551" s="25"/>
      <c r="V551" s="25"/>
      <c r="W551" s="25"/>
      <c r="X551" s="25"/>
      <c r="Y551" s="25"/>
      <c r="AC551" s="2104">
        <v>6</v>
      </c>
      <c r="AD551" s="2030"/>
      <c r="AE551" s="2030"/>
      <c r="AF551" s="2030"/>
      <c r="AG551" s="75" t="s">
        <v>424</v>
      </c>
      <c r="AH551" s="2069">
        <v>2022</v>
      </c>
      <c r="AI551" s="2069"/>
      <c r="AJ551" s="2069"/>
      <c r="AK551" s="207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59"/>
      <c r="C552" s="2060"/>
      <c r="D552" s="2060"/>
      <c r="E552" s="2060"/>
      <c r="F552" s="2060"/>
      <c r="G552" s="2060"/>
      <c r="H552" s="2061"/>
      <c r="I552" s="25" t="s">
        <v>596</v>
      </c>
      <c r="J552" s="25"/>
      <c r="K552" s="25"/>
      <c r="L552" s="25"/>
      <c r="M552" s="25"/>
      <c r="N552" s="25"/>
      <c r="O552" s="25"/>
      <c r="P552" s="25"/>
      <c r="Q552" s="25"/>
      <c r="R552" s="25"/>
      <c r="S552" s="25"/>
      <c r="T552" s="25"/>
      <c r="U552" s="25"/>
      <c r="V552" s="25"/>
      <c r="W552" s="25"/>
      <c r="X552" s="25"/>
      <c r="Y552" s="25"/>
      <c r="AC552" s="2104">
        <v>10</v>
      </c>
      <c r="AD552" s="2030"/>
      <c r="AE552" s="2030"/>
      <c r="AF552" s="2030"/>
      <c r="AG552" s="65" t="s">
        <v>424</v>
      </c>
      <c r="AH552" s="2069">
        <v>2024</v>
      </c>
      <c r="AI552" s="2069"/>
      <c r="AJ552" s="2069"/>
      <c r="AK552" s="207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59"/>
      <c r="C553" s="2060"/>
      <c r="D553" s="2060"/>
      <c r="E553" s="2060"/>
      <c r="F553" s="2060"/>
      <c r="G553" s="2060"/>
      <c r="H553" s="2061"/>
      <c r="I553" s="25" t="s">
        <v>597</v>
      </c>
      <c r="J553" s="25"/>
      <c r="K553" s="25"/>
      <c r="L553" s="25"/>
      <c r="M553" s="25"/>
      <c r="N553" s="25"/>
      <c r="O553" s="25"/>
      <c r="P553" s="25"/>
      <c r="Q553" s="25"/>
      <c r="R553" s="25"/>
      <c r="S553" s="25"/>
      <c r="T553" s="25"/>
      <c r="U553" s="25"/>
      <c r="V553" s="25"/>
      <c r="W553" s="25"/>
      <c r="X553" s="25"/>
      <c r="Y553" s="25"/>
      <c r="AC553" s="2104">
        <v>10</v>
      </c>
      <c r="AD553" s="2030"/>
      <c r="AE553" s="2030"/>
      <c r="AF553" s="2030"/>
      <c r="AG553" s="65" t="s">
        <v>424</v>
      </c>
      <c r="AH553" s="2069">
        <v>2024</v>
      </c>
      <c r="AI553" s="2069"/>
      <c r="AJ553" s="2069"/>
      <c r="AK553" s="207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15"/>
      <c r="C554" s="2116"/>
      <c r="D554" s="2116"/>
      <c r="E554" s="2116"/>
      <c r="F554" s="2116"/>
      <c r="G554" s="2116"/>
      <c r="H554" s="2117"/>
      <c r="I554" s="80" t="s">
        <v>481</v>
      </c>
      <c r="J554" s="80"/>
      <c r="K554" s="80"/>
      <c r="L554" s="80"/>
      <c r="M554" s="80"/>
      <c r="N554" s="80"/>
      <c r="O554" s="80"/>
      <c r="P554" s="80"/>
      <c r="Q554" s="80"/>
      <c r="R554" s="80"/>
      <c r="S554" s="80"/>
      <c r="T554" s="80"/>
      <c r="U554" s="80"/>
      <c r="V554" s="80"/>
      <c r="W554" s="80"/>
      <c r="X554" s="80"/>
      <c r="Y554" s="80"/>
      <c r="Z554" s="80"/>
      <c r="AA554" s="80"/>
      <c r="AB554" s="80"/>
      <c r="AC554" s="2104">
        <v>10</v>
      </c>
      <c r="AD554" s="2030"/>
      <c r="AE554" s="2030"/>
      <c r="AF554" s="2030"/>
      <c r="AG554" s="65" t="s">
        <v>424</v>
      </c>
      <c r="AH554" s="2069">
        <v>2025</v>
      </c>
      <c r="AI554" s="2069"/>
      <c r="AJ554" s="2069"/>
      <c r="AK554" s="207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575</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88" t="s">
        <v>483</v>
      </c>
      <c r="C563" s="2089"/>
      <c r="D563" s="2089"/>
      <c r="E563" s="2089"/>
      <c r="F563" s="2089"/>
      <c r="G563" s="2089"/>
      <c r="H563" s="2089"/>
      <c r="I563" s="2089"/>
      <c r="J563" s="2089"/>
      <c r="K563" s="2089"/>
      <c r="L563" s="2089"/>
      <c r="M563" s="2089"/>
      <c r="N563" s="2089"/>
      <c r="O563" s="2089"/>
      <c r="P563" s="2090"/>
      <c r="Q563" s="2088" t="s">
        <v>2378</v>
      </c>
      <c r="R563" s="2144"/>
      <c r="S563" s="2145"/>
      <c r="T563" s="2088" t="s">
        <v>2376</v>
      </c>
      <c r="U563" s="2144"/>
      <c r="V563" s="2145"/>
      <c r="W563" s="2088" t="s">
        <v>484</v>
      </c>
      <c r="X563" s="2144"/>
      <c r="Y563" s="2145"/>
      <c r="Z563" s="2088" t="s">
        <v>2377</v>
      </c>
      <c r="AA563" s="2144"/>
      <c r="AB563" s="2144"/>
      <c r="AC563" s="2144"/>
      <c r="AD563" s="2144"/>
      <c r="AE563" s="2088" t="s">
        <v>2150</v>
      </c>
      <c r="AF563" s="2144"/>
      <c r="AG563" s="2144"/>
      <c r="AH563" s="2145"/>
      <c r="AI563" s="2088" t="s">
        <v>2151</v>
      </c>
      <c r="AJ563" s="2144"/>
      <c r="AK563" s="2144"/>
      <c r="AL563" s="2145"/>
      <c r="AM563" s="2088" t="s">
        <v>485</v>
      </c>
      <c r="AN563" s="2144"/>
      <c r="AO563" s="2144"/>
      <c r="AP563" s="2144"/>
      <c r="AQ563" s="2144"/>
      <c r="AR563" s="2144"/>
      <c r="AS563" s="21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2647</v>
      </c>
      <c r="D564" s="2091"/>
      <c r="E564" s="2091"/>
      <c r="F564" s="2091"/>
      <c r="G564" s="2091"/>
      <c r="H564" s="2091"/>
      <c r="I564" s="2091"/>
      <c r="J564" s="2091"/>
      <c r="K564" s="2091"/>
      <c r="L564" s="2091"/>
      <c r="M564" s="2091"/>
      <c r="N564" s="2091"/>
      <c r="O564" s="2091"/>
      <c r="P564" s="2092"/>
      <c r="Q564" s="2085">
        <v>48</v>
      </c>
      <c r="R564" s="2085"/>
      <c r="S564" s="2086"/>
      <c r="T564" s="2087" t="s">
        <v>625</v>
      </c>
      <c r="U564" s="2085"/>
      <c r="V564" s="2086"/>
      <c r="W564" s="2105" t="s">
        <v>2524</v>
      </c>
      <c r="X564" s="2106"/>
      <c r="Y564" s="2107"/>
      <c r="Z564" s="2080" t="s">
        <v>2527</v>
      </c>
      <c r="AA564" s="2080"/>
      <c r="AB564" s="2080"/>
      <c r="AC564" s="2080"/>
      <c r="AD564" s="2080"/>
      <c r="AE564" s="2128">
        <v>1</v>
      </c>
      <c r="AF564" s="2129"/>
      <c r="AG564" s="2129"/>
      <c r="AH564" s="2130"/>
      <c r="AI564" s="2112" t="s">
        <v>2528</v>
      </c>
      <c r="AJ564" s="2113"/>
      <c r="AK564" s="2113"/>
      <c r="AL564" s="2114"/>
      <c r="AM564" s="2081">
        <v>48000000</v>
      </c>
      <c r="AN564" s="2082"/>
      <c r="AO564" s="2082"/>
      <c r="AP564" s="2082"/>
      <c r="AQ564" s="2082"/>
      <c r="AR564" s="2082"/>
      <c r="AS564" s="208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2646</v>
      </c>
      <c r="D565" s="2091"/>
      <c r="E565" s="2091"/>
      <c r="F565" s="2091"/>
      <c r="G565" s="2091"/>
      <c r="H565" s="2091"/>
      <c r="I565" s="2091"/>
      <c r="J565" s="2091"/>
      <c r="K565" s="2091"/>
      <c r="L565" s="2091"/>
      <c r="M565" s="2091"/>
      <c r="N565" s="2091"/>
      <c r="O565" s="2091"/>
      <c r="P565" s="2092"/>
      <c r="Q565" s="2084">
        <v>48</v>
      </c>
      <c r="R565" s="2085"/>
      <c r="S565" s="2086"/>
      <c r="T565" s="2087" t="s">
        <v>625</v>
      </c>
      <c r="U565" s="2085"/>
      <c r="V565" s="2086"/>
      <c r="W565" s="2105" t="s">
        <v>2525</v>
      </c>
      <c r="X565" s="2106"/>
      <c r="Y565" s="2107"/>
      <c r="Z565" s="2080" t="s">
        <v>2527</v>
      </c>
      <c r="AA565" s="2080"/>
      <c r="AB565" s="2080"/>
      <c r="AC565" s="2080"/>
      <c r="AD565" s="2080"/>
      <c r="AE565" s="2128">
        <v>1</v>
      </c>
      <c r="AF565" s="2129"/>
      <c r="AG565" s="2129"/>
      <c r="AH565" s="2130"/>
      <c r="AI565" s="2112" t="s">
        <v>2528</v>
      </c>
      <c r="AJ565" s="2113"/>
      <c r="AK565" s="2113"/>
      <c r="AL565" s="2114"/>
      <c r="AM565" s="2081">
        <v>16000000</v>
      </c>
      <c r="AN565" s="2082"/>
      <c r="AO565" s="2082"/>
      <c r="AP565" s="2082"/>
      <c r="AQ565" s="2082"/>
      <c r="AR565" s="2082"/>
      <c r="AS565" s="20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2645</v>
      </c>
      <c r="D566" s="2091"/>
      <c r="E566" s="2091"/>
      <c r="F566" s="2091"/>
      <c r="G566" s="2091"/>
      <c r="H566" s="2091"/>
      <c r="I566" s="2091"/>
      <c r="J566" s="2091"/>
      <c r="K566" s="2091"/>
      <c r="L566" s="2091"/>
      <c r="M566" s="2091"/>
      <c r="N566" s="2091"/>
      <c r="O566" s="2091"/>
      <c r="P566" s="2092"/>
      <c r="Q566" s="2084">
        <v>48</v>
      </c>
      <c r="R566" s="2085"/>
      <c r="S566" s="2086"/>
      <c r="T566" s="2087" t="s">
        <v>625</v>
      </c>
      <c r="U566" s="2085"/>
      <c r="V566" s="2086"/>
      <c r="W566" s="2105">
        <v>0.08</v>
      </c>
      <c r="X566" s="2106"/>
      <c r="Y566" s="2107"/>
      <c r="Z566" s="2080" t="s">
        <v>2526</v>
      </c>
      <c r="AA566" s="2080"/>
      <c r="AB566" s="2080"/>
      <c r="AC566" s="2080"/>
      <c r="AD566" s="2080"/>
      <c r="AE566" s="2128">
        <v>2</v>
      </c>
      <c r="AF566" s="2129"/>
      <c r="AG566" s="2129"/>
      <c r="AH566" s="2130"/>
      <c r="AI566" s="2112" t="s">
        <v>2528</v>
      </c>
      <c r="AJ566" s="2113"/>
      <c r="AK566" s="2113"/>
      <c r="AL566" s="2114"/>
      <c r="AM566" s="2081">
        <v>2000000</v>
      </c>
      <c r="AN566" s="2082"/>
      <c r="AO566" s="2082"/>
      <c r="AP566" s="2082"/>
      <c r="AQ566" s="2082"/>
      <c r="AR566" s="2082"/>
      <c r="AS566" s="20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1"/>
      <c r="D567" s="2091"/>
      <c r="E567" s="2091"/>
      <c r="F567" s="2091"/>
      <c r="G567" s="2091"/>
      <c r="H567" s="2091"/>
      <c r="I567" s="2091"/>
      <c r="J567" s="2091"/>
      <c r="K567" s="2091"/>
      <c r="L567" s="2091"/>
      <c r="M567" s="2091"/>
      <c r="N567" s="2091"/>
      <c r="O567" s="2091"/>
      <c r="P567" s="2092"/>
      <c r="Q567" s="2084"/>
      <c r="R567" s="2085"/>
      <c r="S567" s="2086"/>
      <c r="T567" s="2084"/>
      <c r="U567" s="2085"/>
      <c r="V567" s="2086"/>
      <c r="W567" s="2105"/>
      <c r="X567" s="2106"/>
      <c r="Y567" s="2107"/>
      <c r="Z567" s="2080" t="s">
        <v>1383</v>
      </c>
      <c r="AA567" s="2080"/>
      <c r="AB567" s="2080"/>
      <c r="AC567" s="2080"/>
      <c r="AD567" s="2080"/>
      <c r="AE567" s="2128"/>
      <c r="AF567" s="2129"/>
      <c r="AG567" s="2129"/>
      <c r="AH567" s="2130"/>
      <c r="AI567" s="2112"/>
      <c r="AJ567" s="2113"/>
      <c r="AK567" s="2113"/>
      <c r="AL567" s="2114"/>
      <c r="AM567" s="2081">
        <v>0</v>
      </c>
      <c r="AN567" s="2082"/>
      <c r="AO567" s="2082"/>
      <c r="AP567" s="2082"/>
      <c r="AQ567" s="2082"/>
      <c r="AR567" s="2082"/>
      <c r="AS567" s="20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1" t="s">
        <v>2622</v>
      </c>
      <c r="D568" s="2091"/>
      <c r="E568" s="2091"/>
      <c r="F568" s="2091"/>
      <c r="G568" s="2091"/>
      <c r="H568" s="2091"/>
      <c r="I568" s="2091"/>
      <c r="J568" s="2091"/>
      <c r="K568" s="2091"/>
      <c r="L568" s="2091"/>
      <c r="M568" s="2091"/>
      <c r="N568" s="2091"/>
      <c r="O568" s="2091"/>
      <c r="P568" s="2092"/>
      <c r="Q568" s="2084">
        <v>48</v>
      </c>
      <c r="R568" s="2085"/>
      <c r="S568" s="2086"/>
      <c r="T568" s="2084"/>
      <c r="U568" s="2085"/>
      <c r="V568" s="2086"/>
      <c r="W568" s="2105"/>
      <c r="X568" s="2106"/>
      <c r="Y568" s="2107"/>
      <c r="Z568" s="2080" t="s">
        <v>625</v>
      </c>
      <c r="AA568" s="2080"/>
      <c r="AB568" s="2080"/>
      <c r="AC568" s="2080"/>
      <c r="AD568" s="2080"/>
      <c r="AE568" s="2128"/>
      <c r="AF568" s="2129"/>
      <c r="AG568" s="2129"/>
      <c r="AH568" s="2130"/>
      <c r="AI568" s="2112"/>
      <c r="AJ568" s="2113"/>
      <c r="AK568" s="2113"/>
      <c r="AL568" s="2114"/>
      <c r="AM568" s="2081">
        <v>8798526</v>
      </c>
      <c r="AN568" s="2082"/>
      <c r="AO568" s="2082"/>
      <c r="AP568" s="2082"/>
      <c r="AQ568" s="2082"/>
      <c r="AR568" s="2082"/>
      <c r="AS568" s="20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1" t="s">
        <v>2523</v>
      </c>
      <c r="D569" s="2091"/>
      <c r="E569" s="2091"/>
      <c r="F569" s="2091"/>
      <c r="G569" s="2091"/>
      <c r="H569" s="2091"/>
      <c r="I569" s="2091"/>
      <c r="J569" s="2091"/>
      <c r="K569" s="2091"/>
      <c r="L569" s="2091"/>
      <c r="M569" s="2091"/>
      <c r="N569" s="2091"/>
      <c r="O569" s="2091"/>
      <c r="P569" s="2092"/>
      <c r="Q569" s="2084">
        <v>48</v>
      </c>
      <c r="R569" s="2085"/>
      <c r="S569" s="2086"/>
      <c r="T569" s="2084"/>
      <c r="U569" s="2085"/>
      <c r="V569" s="2086"/>
      <c r="W569" s="2105"/>
      <c r="X569" s="2106"/>
      <c r="Y569" s="2107"/>
      <c r="Z569" s="2080" t="s">
        <v>625</v>
      </c>
      <c r="AA569" s="2080"/>
      <c r="AB569" s="2080"/>
      <c r="AC569" s="2080"/>
      <c r="AD569" s="2080"/>
      <c r="AE569" s="2128"/>
      <c r="AF569" s="2129"/>
      <c r="AG569" s="2129"/>
      <c r="AH569" s="2130"/>
      <c r="AI569" s="2112"/>
      <c r="AJ569" s="2113"/>
      <c r="AK569" s="2113"/>
      <c r="AL569" s="2114"/>
      <c r="AM569" s="2081">
        <v>367967</v>
      </c>
      <c r="AN569" s="2082"/>
      <c r="AO569" s="2082"/>
      <c r="AP569" s="2082"/>
      <c r="AQ569" s="2082"/>
      <c r="AR569" s="2082"/>
      <c r="AS569" s="20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1" t="s">
        <v>2623</v>
      </c>
      <c r="D570" s="2091"/>
      <c r="E570" s="2091"/>
      <c r="F570" s="2091"/>
      <c r="G570" s="2091"/>
      <c r="H570" s="2091"/>
      <c r="I570" s="2091"/>
      <c r="J570" s="2091"/>
      <c r="K570" s="2091"/>
      <c r="L570" s="2091"/>
      <c r="M570" s="2091"/>
      <c r="N570" s="2091"/>
      <c r="O570" s="2091"/>
      <c r="P570" s="2092"/>
      <c r="Q570" s="2084">
        <v>48</v>
      </c>
      <c r="R570" s="2085"/>
      <c r="S570" s="2086"/>
      <c r="T570" s="2084"/>
      <c r="U570" s="2085"/>
      <c r="V570" s="2086"/>
      <c r="W570" s="2105"/>
      <c r="X570" s="2106"/>
      <c r="Y570" s="2107"/>
      <c r="Z570" s="2080" t="s">
        <v>625</v>
      </c>
      <c r="AA570" s="2080"/>
      <c r="AB570" s="2080"/>
      <c r="AC570" s="2080"/>
      <c r="AD570" s="2080"/>
      <c r="AE570" s="2128"/>
      <c r="AF570" s="2129"/>
      <c r="AG570" s="2129"/>
      <c r="AH570" s="2130"/>
      <c r="AI570" s="2112"/>
      <c r="AJ570" s="2113"/>
      <c r="AK570" s="2113"/>
      <c r="AL570" s="2114"/>
      <c r="AM570" s="2081">
        <v>12925727</v>
      </c>
      <c r="AN570" s="2082"/>
      <c r="AO570" s="2082"/>
      <c r="AP570" s="2082"/>
      <c r="AQ570" s="2082"/>
      <c r="AR570" s="2082"/>
      <c r="AS570" s="20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1"/>
      <c r="D571" s="2091"/>
      <c r="E571" s="2091"/>
      <c r="F571" s="2091"/>
      <c r="G571" s="2091"/>
      <c r="H571" s="2091"/>
      <c r="I571" s="2091"/>
      <c r="J571" s="2091"/>
      <c r="K571" s="2091"/>
      <c r="L571" s="2091"/>
      <c r="M571" s="2091"/>
      <c r="N571" s="2091"/>
      <c r="O571" s="2091"/>
      <c r="P571" s="2092"/>
      <c r="Q571" s="2084"/>
      <c r="R571" s="2085"/>
      <c r="S571" s="2086"/>
      <c r="T571" s="2084"/>
      <c r="U571" s="2085"/>
      <c r="V571" s="2086"/>
      <c r="W571" s="2105"/>
      <c r="X571" s="2106"/>
      <c r="Y571" s="2107"/>
      <c r="Z571" s="2080" t="s">
        <v>1383</v>
      </c>
      <c r="AA571" s="2080"/>
      <c r="AB571" s="2080"/>
      <c r="AC571" s="2080"/>
      <c r="AD571" s="2080"/>
      <c r="AE571" s="2128"/>
      <c r="AF571" s="2129"/>
      <c r="AG571" s="2129"/>
      <c r="AH571" s="2130"/>
      <c r="AI571" s="2112"/>
      <c r="AJ571" s="2113"/>
      <c r="AK571" s="2113"/>
      <c r="AL571" s="2114"/>
      <c r="AM571" s="2081"/>
      <c r="AN571" s="2082"/>
      <c r="AO571" s="2082"/>
      <c r="AP571" s="2082"/>
      <c r="AQ571" s="2082"/>
      <c r="AR571" s="2082"/>
      <c r="AS571" s="2083"/>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1"/>
      <c r="D572" s="2091"/>
      <c r="E572" s="2091"/>
      <c r="F572" s="2091"/>
      <c r="G572" s="2091"/>
      <c r="H572" s="2091"/>
      <c r="I572" s="2091"/>
      <c r="J572" s="2091"/>
      <c r="K572" s="2091"/>
      <c r="L572" s="2091"/>
      <c r="M572" s="2091"/>
      <c r="N572" s="2091"/>
      <c r="O572" s="2091"/>
      <c r="P572" s="2092"/>
      <c r="Q572" s="2084"/>
      <c r="R572" s="2085"/>
      <c r="S572" s="2086"/>
      <c r="T572" s="2084"/>
      <c r="U572" s="2085"/>
      <c r="V572" s="2086"/>
      <c r="W572" s="2105"/>
      <c r="X572" s="2106"/>
      <c r="Y572" s="2107"/>
      <c r="Z572" s="2080" t="s">
        <v>1383</v>
      </c>
      <c r="AA572" s="2080"/>
      <c r="AB572" s="2080"/>
      <c r="AC572" s="2080"/>
      <c r="AD572" s="2080"/>
      <c r="AE572" s="2128"/>
      <c r="AF572" s="2129"/>
      <c r="AG572" s="2129"/>
      <c r="AH572" s="2130"/>
      <c r="AI572" s="2112"/>
      <c r="AJ572" s="2113"/>
      <c r="AK572" s="2113"/>
      <c r="AL572" s="2114"/>
      <c r="AM572" s="2081"/>
      <c r="AN572" s="2082"/>
      <c r="AO572" s="2082"/>
      <c r="AP572" s="2082"/>
      <c r="AQ572" s="2082"/>
      <c r="AR572" s="2082"/>
      <c r="AS572" s="2083"/>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1"/>
      <c r="D573" s="2091"/>
      <c r="E573" s="2091"/>
      <c r="F573" s="2091"/>
      <c r="G573" s="2091"/>
      <c r="H573" s="2091"/>
      <c r="I573" s="2091"/>
      <c r="J573" s="2091"/>
      <c r="K573" s="2091"/>
      <c r="L573" s="2091"/>
      <c r="M573" s="2091"/>
      <c r="N573" s="2091"/>
      <c r="O573" s="2091"/>
      <c r="P573" s="2092"/>
      <c r="Q573" s="2084"/>
      <c r="R573" s="2085"/>
      <c r="S573" s="2086"/>
      <c r="T573" s="2084"/>
      <c r="U573" s="2085"/>
      <c r="V573" s="2086"/>
      <c r="W573" s="2105"/>
      <c r="X573" s="2106"/>
      <c r="Y573" s="2107"/>
      <c r="Z573" s="2080" t="s">
        <v>1383</v>
      </c>
      <c r="AA573" s="2080"/>
      <c r="AB573" s="2080"/>
      <c r="AC573" s="2080"/>
      <c r="AD573" s="2080"/>
      <c r="AE573" s="2128"/>
      <c r="AF573" s="2129"/>
      <c r="AG573" s="2129"/>
      <c r="AH573" s="2130"/>
      <c r="AI573" s="2112"/>
      <c r="AJ573" s="2113"/>
      <c r="AK573" s="2113"/>
      <c r="AL573" s="2114"/>
      <c r="AM573" s="2081"/>
      <c r="AN573" s="2082"/>
      <c r="AO573" s="2082"/>
      <c r="AP573" s="2082"/>
      <c r="AQ573" s="2082"/>
      <c r="AR573" s="2082"/>
      <c r="AS573" s="20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84"/>
      <c r="R574" s="2085"/>
      <c r="S574" s="2086"/>
      <c r="T574" s="2084"/>
      <c r="U574" s="2085"/>
      <c r="V574" s="2086"/>
      <c r="W574" s="2105"/>
      <c r="X574" s="2106"/>
      <c r="Y574" s="2107"/>
      <c r="Z574" s="2080" t="s">
        <v>1383</v>
      </c>
      <c r="AA574" s="2080"/>
      <c r="AB574" s="2080"/>
      <c r="AC574" s="2080"/>
      <c r="AD574" s="2080"/>
      <c r="AE574" s="2128"/>
      <c r="AF574" s="2129"/>
      <c r="AG574" s="2129"/>
      <c r="AH574" s="2130"/>
      <c r="AI574" s="2112"/>
      <c r="AJ574" s="2113"/>
      <c r="AK574" s="2113"/>
      <c r="AL574" s="2114"/>
      <c r="AM574" s="2081"/>
      <c r="AN574" s="2082"/>
      <c r="AO574" s="2082"/>
      <c r="AP574" s="2082"/>
      <c r="AQ574" s="2082"/>
      <c r="AR574" s="2082"/>
      <c r="AS574" s="20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84"/>
      <c r="R575" s="2085"/>
      <c r="S575" s="2086"/>
      <c r="T575" s="2084"/>
      <c r="U575" s="2085"/>
      <c r="V575" s="2086"/>
      <c r="W575" s="2105"/>
      <c r="X575" s="2106"/>
      <c r="Y575" s="2107"/>
      <c r="Z575" s="2080" t="s">
        <v>1383</v>
      </c>
      <c r="AA575" s="2080"/>
      <c r="AB575" s="2080"/>
      <c r="AC575" s="2080"/>
      <c r="AD575" s="2080"/>
      <c r="AE575" s="2128"/>
      <c r="AF575" s="2129"/>
      <c r="AG575" s="2129"/>
      <c r="AH575" s="2130"/>
      <c r="AI575" s="2112"/>
      <c r="AJ575" s="2113"/>
      <c r="AK575" s="2113"/>
      <c r="AL575" s="2114"/>
      <c r="AM575" s="2081"/>
      <c r="AN575" s="2082"/>
      <c r="AO575" s="2082"/>
      <c r="AP575" s="2082"/>
      <c r="AQ575" s="2082"/>
      <c r="AR575" s="2082"/>
      <c r="AS575" s="20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152">
        <f>SUM(AM564:AS575)</f>
        <v>88092220</v>
      </c>
      <c r="AN576" s="2153"/>
      <c r="AO576" s="2153"/>
      <c r="AP576" s="2153"/>
      <c r="AQ576" s="2153"/>
      <c r="AR576" s="2153"/>
      <c r="AS576" s="215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27" t="str">
        <f>C564</f>
        <v>Citibank -Tranche A - Tax-Exempt</v>
      </c>
      <c r="H578" s="2127"/>
      <c r="I578" s="2127"/>
      <c r="J578" s="2127"/>
      <c r="K578" s="2127"/>
      <c r="L578" s="2127"/>
      <c r="M578" s="2127"/>
      <c r="N578" s="2127"/>
      <c r="O578" s="2127"/>
      <c r="P578" s="2127"/>
      <c r="Q578" s="2127"/>
      <c r="R578" s="2127"/>
      <c r="S578" s="14"/>
      <c r="T578" s="87" t="s">
        <v>118</v>
      </c>
      <c r="U578" s="12" t="s">
        <v>495</v>
      </c>
      <c r="Z578" s="2127" t="str">
        <f>C565</f>
        <v>Citibank -Tranche B - Recycled TE Bonds</v>
      </c>
      <c r="AA578" s="2127"/>
      <c r="AB578" s="2127"/>
      <c r="AC578" s="2127"/>
      <c r="AD578" s="2127"/>
      <c r="AE578" s="2127"/>
      <c r="AF578" s="2127"/>
      <c r="AG578" s="2127"/>
      <c r="AH578" s="2127"/>
      <c r="AI578" s="2127"/>
      <c r="AJ578" s="2127"/>
      <c r="AK578" s="212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2583</v>
      </c>
      <c r="H579" s="2039"/>
      <c r="I579" s="2039"/>
      <c r="J579" s="2039"/>
      <c r="K579" s="2039"/>
      <c r="L579" s="2039"/>
      <c r="M579" s="2039"/>
      <c r="N579" s="2039"/>
      <c r="O579" s="2039"/>
      <c r="P579" s="2039"/>
      <c r="Q579" s="2039"/>
      <c r="R579" s="2039"/>
      <c r="S579" s="14"/>
      <c r="T579" s="35"/>
      <c r="U579" s="12" t="s">
        <v>90</v>
      </c>
      <c r="Z579" s="2039" t="s">
        <v>2583</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9" t="s">
        <v>2584</v>
      </c>
      <c r="H580" s="2039"/>
      <c r="I580" s="2039"/>
      <c r="J580" s="2039"/>
      <c r="K580" s="2039"/>
      <c r="L580" s="2039"/>
      <c r="M580" s="2039"/>
      <c r="N580" s="2039"/>
      <c r="O580" s="2039"/>
      <c r="P580" s="2039"/>
      <c r="Q580" s="2039"/>
      <c r="R580" s="2039"/>
      <c r="S580" s="88"/>
      <c r="T580" s="35"/>
      <c r="U580" s="12" t="s">
        <v>614</v>
      </c>
      <c r="Z580" s="2039" t="s">
        <v>2584</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2585</v>
      </c>
      <c r="H581" s="2039"/>
      <c r="I581" s="2039"/>
      <c r="J581" s="2039"/>
      <c r="K581" s="2039"/>
      <c r="L581" s="2039"/>
      <c r="M581" s="2039"/>
      <c r="N581" s="2039"/>
      <c r="O581" s="2039"/>
      <c r="P581" s="2039"/>
      <c r="Q581" s="2039"/>
      <c r="R581" s="2039"/>
      <c r="S581" s="14"/>
      <c r="T581" s="35"/>
      <c r="U581" s="12" t="s">
        <v>17</v>
      </c>
      <c r="Z581" s="2039" t="s">
        <v>2585</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31">
        <v>8055570933</v>
      </c>
      <c r="H582" s="2131"/>
      <c r="I582" s="2131"/>
      <c r="J582" s="2131"/>
      <c r="K582" s="2131"/>
      <c r="L582" s="2131"/>
      <c r="O582" s="137" t="s">
        <v>212</v>
      </c>
      <c r="P582" s="2062"/>
      <c r="Q582" s="2062"/>
      <c r="R582" s="2062"/>
      <c r="S582" s="16"/>
      <c r="T582" s="35"/>
      <c r="U582" s="12" t="s">
        <v>325</v>
      </c>
      <c r="Z582" s="2131">
        <v>8055570933</v>
      </c>
      <c r="AA582" s="2131"/>
      <c r="AB582" s="2131"/>
      <c r="AC582" s="2131"/>
      <c r="AD582" s="2131"/>
      <c r="AE582" s="2131"/>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2586</v>
      </c>
      <c r="I583" s="2039"/>
      <c r="J583" s="2039"/>
      <c r="K583" s="2039"/>
      <c r="L583" s="2039"/>
      <c r="M583" s="2039"/>
      <c r="N583" s="2039"/>
      <c r="O583" s="2039"/>
      <c r="P583" s="2039"/>
      <c r="Q583" s="2039"/>
      <c r="R583" s="2039"/>
      <c r="S583" s="14"/>
      <c r="T583" s="35"/>
      <c r="U583" s="12" t="s">
        <v>18</v>
      </c>
      <c r="AA583" s="2039" t="s">
        <v>2587</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32"/>
      <c r="N584" s="2132"/>
      <c r="O584" s="2132"/>
      <c r="P584" s="2132"/>
      <c r="Q584" s="2132"/>
      <c r="R584" s="2132"/>
      <c r="S584" s="14"/>
      <c r="T584" s="35"/>
      <c r="U584" s="509" t="s">
        <v>1384</v>
      </c>
      <c r="V584" s="719"/>
      <c r="W584" s="719"/>
      <c r="X584" s="719"/>
      <c r="Y584" s="719"/>
      <c r="Z584" s="719"/>
      <c r="AA584" s="14"/>
      <c r="AB584" s="14"/>
      <c r="AC584" s="14"/>
      <c r="AD584" s="14"/>
      <c r="AE584" s="14"/>
      <c r="AF584" s="2132"/>
      <c r="AG584" s="2132"/>
      <c r="AH584" s="2132"/>
      <c r="AI584" s="2132"/>
      <c r="AJ584" s="2132"/>
      <c r="AK584" s="213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9" t="s">
        <v>577</v>
      </c>
      <c r="O585" s="2029"/>
      <c r="T585" s="35"/>
      <c r="U585" s="12" t="s">
        <v>20</v>
      </c>
      <c r="AG585" s="2029" t="s">
        <v>577</v>
      </c>
      <c r="AH585" s="202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27" t="str">
        <f>C566</f>
        <v>USA Properties Fund, Inc.- Tax Exempt B Bond</v>
      </c>
      <c r="H587" s="2127"/>
      <c r="I587" s="2127"/>
      <c r="J587" s="2127"/>
      <c r="K587" s="2127"/>
      <c r="L587" s="2127"/>
      <c r="M587" s="2127"/>
      <c r="N587" s="2127"/>
      <c r="O587" s="2127"/>
      <c r="P587" s="2127"/>
      <c r="Q587" s="2127"/>
      <c r="R587" s="2127"/>
      <c r="T587" s="87" t="s">
        <v>615</v>
      </c>
      <c r="U587" s="12" t="s">
        <v>495</v>
      </c>
      <c r="Z587" s="2127">
        <f>C567</f>
        <v>0</v>
      </c>
      <c r="AA587" s="2127"/>
      <c r="AB587" s="2127"/>
      <c r="AC587" s="2127"/>
      <c r="AD587" s="2127"/>
      <c r="AE587" s="2127"/>
      <c r="AF587" s="2127"/>
      <c r="AG587" s="2127"/>
      <c r="AH587" s="2127"/>
      <c r="AI587" s="2127"/>
      <c r="AJ587" s="2127"/>
      <c r="AK587" s="212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2545</v>
      </c>
      <c r="H588" s="2039"/>
      <c r="I588" s="2039"/>
      <c r="J588" s="2039"/>
      <c r="K588" s="2039"/>
      <c r="L588" s="2039"/>
      <c r="M588" s="2039"/>
      <c r="N588" s="2039"/>
      <c r="O588" s="2039"/>
      <c r="P588" s="2039"/>
      <c r="Q588" s="2039"/>
      <c r="R588" s="2039"/>
      <c r="T588" s="35"/>
      <c r="U588" s="12" t="s">
        <v>90</v>
      </c>
      <c r="Z588" s="2039"/>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63" t="s">
        <v>2562</v>
      </c>
      <c r="H589" s="2063"/>
      <c r="I589" s="2063"/>
      <c r="J589" s="2063"/>
      <c r="K589" s="2063"/>
      <c r="L589" s="2063"/>
      <c r="M589" s="2063"/>
      <c r="N589" s="2063"/>
      <c r="O589" s="2063"/>
      <c r="P589" s="2063"/>
      <c r="Q589" s="2063"/>
      <c r="R589" s="2063"/>
      <c r="T589" s="35"/>
      <c r="U589" s="12" t="s">
        <v>614</v>
      </c>
      <c r="Z589" s="2063"/>
      <c r="AA589" s="2063"/>
      <c r="AB589" s="2063"/>
      <c r="AC589" s="2063"/>
      <c r="AD589" s="2063"/>
      <c r="AE589" s="2063"/>
      <c r="AF589" s="2063"/>
      <c r="AG589" s="2063"/>
      <c r="AH589" s="2063"/>
      <c r="AI589" s="2063"/>
      <c r="AJ589" s="2063"/>
      <c r="AK589" s="206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3" t="s">
        <v>2563</v>
      </c>
      <c r="H590" s="2063"/>
      <c r="I590" s="2063"/>
      <c r="J590" s="2063"/>
      <c r="K590" s="2063"/>
      <c r="L590" s="2063"/>
      <c r="M590" s="2063"/>
      <c r="N590" s="2063"/>
      <c r="O590" s="2063"/>
      <c r="P590" s="2063"/>
      <c r="Q590" s="2063"/>
      <c r="R590" s="2063"/>
      <c r="T590" s="35"/>
      <c r="U590" s="12" t="s">
        <v>17</v>
      </c>
      <c r="Z590" s="2063"/>
      <c r="AA590" s="2063"/>
      <c r="AB590" s="2063"/>
      <c r="AC590" s="2063"/>
      <c r="AD590" s="2063"/>
      <c r="AE590" s="2063"/>
      <c r="AF590" s="2063"/>
      <c r="AG590" s="2063"/>
      <c r="AH590" s="2063"/>
      <c r="AI590" s="2063"/>
      <c r="AJ590" s="2063"/>
      <c r="AK590" s="206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31">
        <v>9167736060</v>
      </c>
      <c r="H591" s="2131"/>
      <c r="I591" s="2131"/>
      <c r="J591" s="2131"/>
      <c r="K591" s="2131"/>
      <c r="L591" s="2131"/>
      <c r="O591" s="137" t="s">
        <v>212</v>
      </c>
      <c r="P591" s="2062"/>
      <c r="Q591" s="2062"/>
      <c r="R591" s="2062"/>
      <c r="T591" s="35"/>
      <c r="U591" s="12" t="s">
        <v>325</v>
      </c>
      <c r="Z591" s="2131"/>
      <c r="AA591" s="2131"/>
      <c r="AB591" s="2131"/>
      <c r="AC591" s="2131"/>
      <c r="AD591" s="2131"/>
      <c r="AE591" s="2131"/>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2624</v>
      </c>
      <c r="I592" s="2039"/>
      <c r="J592" s="2039"/>
      <c r="K592" s="2039"/>
      <c r="L592" s="2039"/>
      <c r="M592" s="2039"/>
      <c r="N592" s="2039"/>
      <c r="O592" s="2039"/>
      <c r="P592" s="2039"/>
      <c r="Q592" s="2039"/>
      <c r="R592" s="2039"/>
      <c r="T592" s="35"/>
      <c r="U592" s="12" t="s">
        <v>18</v>
      </c>
      <c r="AA592" s="2039"/>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9" t="s">
        <v>577</v>
      </c>
      <c r="O593" s="2029"/>
      <c r="T593" s="35"/>
      <c r="U593" s="12" t="s">
        <v>20</v>
      </c>
      <c r="AG593" s="2029" t="s">
        <v>577</v>
      </c>
      <c r="AH593" s="202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27" t="str">
        <f>C568</f>
        <v>WNC - Tax Credit Investor</v>
      </c>
      <c r="H595" s="2127"/>
      <c r="I595" s="2127"/>
      <c r="J595" s="2127"/>
      <c r="K595" s="2127"/>
      <c r="L595" s="2127"/>
      <c r="M595" s="2127"/>
      <c r="N595" s="2127"/>
      <c r="O595" s="2127"/>
      <c r="P595" s="2127"/>
      <c r="Q595" s="2127"/>
      <c r="R595" s="2127"/>
      <c r="T595" s="87" t="s">
        <v>618</v>
      </c>
      <c r="U595" s="12" t="s">
        <v>495</v>
      </c>
      <c r="Z595" s="2127" t="str">
        <f>C569</f>
        <v xml:space="preserve">NOI during Construction </v>
      </c>
      <c r="AA595" s="2127"/>
      <c r="AB595" s="2127"/>
      <c r="AC595" s="2127"/>
      <c r="AD595" s="2127"/>
      <c r="AE595" s="2127"/>
      <c r="AF595" s="2127"/>
      <c r="AG595" s="2127"/>
      <c r="AH595" s="2127"/>
      <c r="AI595" s="2127"/>
      <c r="AJ595" s="2127"/>
      <c r="AK595" s="212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2629</v>
      </c>
      <c r="H596" s="2039"/>
      <c r="I596" s="2039"/>
      <c r="J596" s="2039"/>
      <c r="K596" s="2039"/>
      <c r="L596" s="2039"/>
      <c r="M596" s="2039"/>
      <c r="N596" s="2039"/>
      <c r="O596" s="2039"/>
      <c r="P596" s="2039"/>
      <c r="Q596" s="2039"/>
      <c r="R596" s="2039"/>
      <c r="T596" s="35"/>
      <c r="U596" s="12" t="s">
        <v>90</v>
      </c>
      <c r="Z596" s="2039" t="s">
        <v>2545</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
        <v>2630</v>
      </c>
      <c r="H597" s="2039"/>
      <c r="I597" s="2039"/>
      <c r="J597" s="2039"/>
      <c r="K597" s="2039"/>
      <c r="L597" s="2039"/>
      <c r="M597" s="2039"/>
      <c r="N597" s="2039"/>
      <c r="O597" s="2039"/>
      <c r="P597" s="2039"/>
      <c r="Q597" s="2039"/>
      <c r="R597" s="2039"/>
      <c r="T597" s="35"/>
      <c r="U597" s="12" t="s">
        <v>614</v>
      </c>
      <c r="Z597" s="2063" t="s">
        <v>2562</v>
      </c>
      <c r="AA597" s="2063"/>
      <c r="AB597" s="2063"/>
      <c r="AC597" s="2063"/>
      <c r="AD597" s="2063"/>
      <c r="AE597" s="2063"/>
      <c r="AF597" s="2063"/>
      <c r="AG597" s="2063"/>
      <c r="AH597" s="2063"/>
      <c r="AI597" s="2063"/>
      <c r="AJ597" s="2063"/>
      <c r="AK597" s="206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2631</v>
      </c>
      <c r="H598" s="2039"/>
      <c r="I598" s="2039"/>
      <c r="J598" s="2039"/>
      <c r="K598" s="2039"/>
      <c r="L598" s="2039"/>
      <c r="M598" s="2039"/>
      <c r="N598" s="2039"/>
      <c r="O598" s="2039"/>
      <c r="P598" s="2039"/>
      <c r="Q598" s="2039"/>
      <c r="R598" s="2039"/>
      <c r="T598" s="35"/>
      <c r="U598" s="12" t="s">
        <v>17</v>
      </c>
      <c r="Z598" s="2063" t="s">
        <v>2563</v>
      </c>
      <c r="AA598" s="2063"/>
      <c r="AB598" s="2063"/>
      <c r="AC598" s="2063"/>
      <c r="AD598" s="2063"/>
      <c r="AE598" s="2063"/>
      <c r="AF598" s="2063"/>
      <c r="AG598" s="2063"/>
      <c r="AH598" s="2063"/>
      <c r="AI598" s="2063"/>
      <c r="AJ598" s="2063"/>
      <c r="AK598" s="206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40">
        <v>9494392616</v>
      </c>
      <c r="H599" s="2040"/>
      <c r="I599" s="2040"/>
      <c r="J599" s="2040"/>
      <c r="K599" s="2040"/>
      <c r="L599" s="2040"/>
      <c r="O599" s="137" t="s">
        <v>212</v>
      </c>
      <c r="P599" s="2062"/>
      <c r="Q599" s="2062"/>
      <c r="R599" s="2062"/>
      <c r="T599" s="35"/>
      <c r="U599" s="12" t="s">
        <v>325</v>
      </c>
      <c r="Z599" s="2131">
        <v>9167736060</v>
      </c>
      <c r="AA599" s="2131"/>
      <c r="AB599" s="2131"/>
      <c r="AC599" s="2131"/>
      <c r="AD599" s="2131"/>
      <c r="AE599" s="2131"/>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213" t="s">
        <v>2627</v>
      </c>
      <c r="I600" s="2039"/>
      <c r="J600" s="2039"/>
      <c r="K600" s="2039"/>
      <c r="L600" s="2039"/>
      <c r="M600" s="2039"/>
      <c r="N600" s="2039"/>
      <c r="O600" s="2039"/>
      <c r="P600" s="2039"/>
      <c r="Q600" s="2039"/>
      <c r="R600" s="2039"/>
      <c r="T600" s="35"/>
      <c r="U600" s="12" t="s">
        <v>18</v>
      </c>
      <c r="AA600" s="2039" t="s">
        <v>2588</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9" t="s">
        <v>577</v>
      </c>
      <c r="O601" s="2029"/>
      <c r="T601" s="35"/>
      <c r="U601" s="12" t="s">
        <v>20</v>
      </c>
      <c r="AG601" s="2029" t="s">
        <v>577</v>
      </c>
      <c r="AH601" s="202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27" t="str">
        <f>C570</f>
        <v>Deferred Fees</v>
      </c>
      <c r="H603" s="2127"/>
      <c r="I603" s="2127"/>
      <c r="J603" s="2127"/>
      <c r="K603" s="2127"/>
      <c r="L603" s="2127"/>
      <c r="M603" s="2127"/>
      <c r="N603" s="2127"/>
      <c r="O603" s="2127"/>
      <c r="P603" s="2127"/>
      <c r="Q603" s="2127"/>
      <c r="R603" s="2127"/>
      <c r="T603" s="87" t="s">
        <v>487</v>
      </c>
      <c r="U603" s="12" t="s">
        <v>495</v>
      </c>
      <c r="Z603" s="2127">
        <f>C571</f>
        <v>0</v>
      </c>
      <c r="AA603" s="2127"/>
      <c r="AB603" s="2127"/>
      <c r="AC603" s="2127"/>
      <c r="AD603" s="2127"/>
      <c r="AE603" s="2127"/>
      <c r="AF603" s="2127"/>
      <c r="AG603" s="2127"/>
      <c r="AH603" s="2127"/>
      <c r="AI603" s="2127"/>
      <c r="AJ603" s="2127"/>
      <c r="AK603" s="212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t="s">
        <v>2545</v>
      </c>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63" t="s">
        <v>2562</v>
      </c>
      <c r="H605" s="2063"/>
      <c r="I605" s="2063"/>
      <c r="J605" s="2063"/>
      <c r="K605" s="2063"/>
      <c r="L605" s="2063"/>
      <c r="M605" s="2063"/>
      <c r="N605" s="2063"/>
      <c r="O605" s="2063"/>
      <c r="P605" s="2063"/>
      <c r="Q605" s="2063"/>
      <c r="R605" s="2063"/>
      <c r="T605" s="35"/>
      <c r="U605" s="12" t="s">
        <v>614</v>
      </c>
      <c r="Z605" s="2063"/>
      <c r="AA605" s="2063"/>
      <c r="AB605" s="2063"/>
      <c r="AC605" s="2063"/>
      <c r="AD605" s="2063"/>
      <c r="AE605" s="2063"/>
      <c r="AF605" s="2063"/>
      <c r="AG605" s="2063"/>
      <c r="AH605" s="2063"/>
      <c r="AI605" s="2063"/>
      <c r="AJ605" s="2063"/>
      <c r="AK605" s="206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3" t="s">
        <v>2563</v>
      </c>
      <c r="H606" s="2063"/>
      <c r="I606" s="2063"/>
      <c r="J606" s="2063"/>
      <c r="K606" s="2063"/>
      <c r="L606" s="2063"/>
      <c r="M606" s="2063"/>
      <c r="N606" s="2063"/>
      <c r="O606" s="2063"/>
      <c r="P606" s="2063"/>
      <c r="Q606" s="2063"/>
      <c r="R606" s="2063"/>
      <c r="T606" s="35"/>
      <c r="U606" s="12" t="s">
        <v>17</v>
      </c>
      <c r="Z606" s="2063"/>
      <c r="AA606" s="2063"/>
      <c r="AB606" s="2063"/>
      <c r="AC606" s="2063"/>
      <c r="AD606" s="2063"/>
      <c r="AE606" s="2063"/>
      <c r="AF606" s="2063"/>
      <c r="AG606" s="2063"/>
      <c r="AH606" s="2063"/>
      <c r="AI606" s="2063"/>
      <c r="AJ606" s="2063"/>
      <c r="AK606" s="206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31">
        <v>9167736060</v>
      </c>
      <c r="H607" s="2131"/>
      <c r="I607" s="2131"/>
      <c r="J607" s="2131"/>
      <c r="K607" s="2131"/>
      <c r="L607" s="2131"/>
      <c r="M607" s="12"/>
      <c r="N607" s="12"/>
      <c r="O607" s="137" t="s">
        <v>212</v>
      </c>
      <c r="P607" s="2062"/>
      <c r="Q607" s="2062"/>
      <c r="R607" s="2062"/>
      <c r="S607" s="12"/>
      <c r="T607" s="35"/>
      <c r="U607" s="12" t="s">
        <v>325</v>
      </c>
      <c r="V607" s="12"/>
      <c r="W607" s="12"/>
      <c r="X607" s="12"/>
      <c r="Y607" s="12"/>
      <c r="Z607" s="2040"/>
      <c r="AA607" s="2040"/>
      <c r="AB607" s="2040"/>
      <c r="AC607" s="2040"/>
      <c r="AD607" s="2040"/>
      <c r="AE607" s="2040"/>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t="s">
        <v>2625</v>
      </c>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9" t="s">
        <v>577</v>
      </c>
      <c r="O609" s="2029"/>
      <c r="P609" s="12"/>
      <c r="Q609" s="12"/>
      <c r="R609" s="12"/>
      <c r="S609" s="12"/>
      <c r="T609" s="35"/>
      <c r="U609" s="12" t="s">
        <v>20</v>
      </c>
      <c r="V609" s="12"/>
      <c r="W609" s="12"/>
      <c r="X609" s="12"/>
      <c r="Y609" s="12"/>
      <c r="Z609" s="12"/>
      <c r="AA609" s="12"/>
      <c r="AB609" s="12"/>
      <c r="AC609" s="12"/>
      <c r="AD609" s="12"/>
      <c r="AE609" s="12"/>
      <c r="AF609" s="12"/>
      <c r="AG609" s="2029" t="s">
        <v>705</v>
      </c>
      <c r="AH609" s="202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184"/>
      <c r="BH609" s="2185"/>
      <c r="BI609" s="185" t="s">
        <v>507</v>
      </c>
      <c r="BJ609" s="186"/>
      <c r="BK609" s="2184"/>
      <c r="BL609" s="2185"/>
      <c r="BM609" s="58"/>
      <c r="BN609" s="2371" t="s">
        <v>667</v>
      </c>
      <c r="BO609" s="2372"/>
      <c r="BP609" s="2372"/>
      <c r="BQ609" s="2372"/>
      <c r="BR609" s="2373"/>
      <c r="BS609" s="2192" t="s">
        <v>334</v>
      </c>
      <c r="BT609" s="2192"/>
      <c r="BU609" s="2192"/>
      <c r="BV609" s="2192"/>
      <c r="BW609" s="2192"/>
      <c r="BX609" s="2192" t="s">
        <v>168</v>
      </c>
      <c r="BY609" s="2192"/>
      <c r="BZ609" s="2192"/>
      <c r="CA609" s="2192"/>
      <c r="CB609" s="2192"/>
      <c r="CC609" s="2192" t="s">
        <v>169</v>
      </c>
      <c r="CD609" s="2192"/>
      <c r="CE609" s="2192"/>
      <c r="CF609" s="2192"/>
      <c r="CG609" s="2192"/>
      <c r="CH609" s="2192" t="s">
        <v>492</v>
      </c>
      <c r="CI609" s="2192"/>
      <c r="CJ609" s="2192"/>
      <c r="CK609" s="2192"/>
      <c r="CL609" s="2192"/>
      <c r="CM609" s="2192" t="s">
        <v>31</v>
      </c>
      <c r="CN609" s="2192"/>
      <c r="CO609" s="2192"/>
      <c r="CP609" s="2192"/>
      <c r="CQ609" s="2192"/>
      <c r="CR609" s="1804"/>
      <c r="CS609" s="2192" t="s">
        <v>667</v>
      </c>
      <c r="CT609" s="2192"/>
      <c r="CU609" s="2192"/>
      <c r="CV609" s="2192"/>
      <c r="CW609" s="2192"/>
      <c r="CX609" s="2192" t="s">
        <v>334</v>
      </c>
      <c r="CY609" s="2192"/>
      <c r="CZ609" s="2192"/>
      <c r="DA609" s="2192"/>
      <c r="DB609" s="2192"/>
      <c r="DC609" s="2192" t="s">
        <v>168</v>
      </c>
      <c r="DD609" s="2192"/>
      <c r="DE609" s="2192"/>
      <c r="DF609" s="2192"/>
      <c r="DG609" s="2192"/>
      <c r="DH609" s="2192" t="s">
        <v>169</v>
      </c>
      <c r="DI609" s="2192"/>
      <c r="DJ609" s="2192"/>
      <c r="DK609" s="2192"/>
      <c r="DL609" s="2192"/>
      <c r="DM609" s="2192" t="s">
        <v>492</v>
      </c>
      <c r="DN609" s="2192"/>
      <c r="DO609" s="2192"/>
      <c r="DP609" s="2192"/>
      <c r="DQ609" s="2192"/>
      <c r="DR609" s="2192" t="s">
        <v>31</v>
      </c>
      <c r="DS609" s="2192"/>
      <c r="DT609" s="2192"/>
      <c r="DU609" s="2192"/>
      <c r="DV609" s="2192"/>
      <c r="DX609" s="2192" t="s">
        <v>667</v>
      </c>
      <c r="DY609" s="2192"/>
      <c r="DZ609" s="2192"/>
      <c r="EA609" s="2192"/>
      <c r="EB609" s="2192"/>
      <c r="EC609" s="2192" t="s">
        <v>334</v>
      </c>
      <c r="ED609" s="2192"/>
      <c r="EE609" s="2192"/>
      <c r="EF609" s="2192"/>
      <c r="EG609" s="2192"/>
      <c r="EH609" s="2192" t="s">
        <v>168</v>
      </c>
      <c r="EI609" s="2192"/>
      <c r="EJ609" s="2192"/>
      <c r="EK609" s="2192"/>
      <c r="EL609" s="2192"/>
      <c r="EM609" s="2192" t="s">
        <v>169</v>
      </c>
      <c r="EN609" s="2192"/>
      <c r="EO609" s="2192"/>
      <c r="EP609" s="2192"/>
      <c r="EQ609" s="2192"/>
      <c r="ER609" s="2192" t="s">
        <v>492</v>
      </c>
      <c r="ES609" s="2192"/>
      <c r="ET609" s="2192"/>
      <c r="EU609" s="2192"/>
      <c r="EV609" s="2192"/>
      <c r="EW609" s="2192" t="s">
        <v>31</v>
      </c>
      <c r="EX609" s="2192"/>
      <c r="EY609" s="2192"/>
      <c r="EZ609" s="2192"/>
      <c r="FA609" s="219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0">
        <f t="shared" ref="BE610:BE634" si="0">IF(AND(AH728&lt;=0.5,AH728&gt;=0.36),1,0)</f>
        <v>0</v>
      </c>
      <c r="BF610" s="2011"/>
      <c r="BG610" s="2184">
        <f t="shared" ref="BG610:BG634" si="1">IF(BE610=1,G728,0)</f>
        <v>0</v>
      </c>
      <c r="BH610" s="2185"/>
      <c r="BI610" s="2010">
        <f t="shared" ref="BI610:BI634" si="2">IF(AND(AH728&lt;=0.35,AH728&gt;0),1,0)</f>
        <v>1</v>
      </c>
      <c r="BJ610" s="2011"/>
      <c r="BK610" s="2184">
        <f t="shared" ref="BK610:BK634" si="3">IF(BI610=1,G728,0)</f>
        <v>7</v>
      </c>
      <c r="BL610" s="2185"/>
      <c r="BM610" s="58"/>
      <c r="BN610" s="2176">
        <f t="shared" ref="BN610:BN634" si="4">IF(B728="SRO/Studio",G728,0)</f>
        <v>0</v>
      </c>
      <c r="BO610" s="2177"/>
      <c r="BP610" s="2177"/>
      <c r="BQ610" s="2177"/>
      <c r="BR610" s="2178"/>
      <c r="BS610" s="2068">
        <f t="shared" ref="BS610:BS634" si="5">IF(B728="1 Bedroom",G728,0)</f>
        <v>7</v>
      </c>
      <c r="BT610" s="2068"/>
      <c r="BU610" s="2068"/>
      <c r="BV610" s="2068"/>
      <c r="BW610" s="2068"/>
      <c r="BX610" s="2068">
        <f t="shared" ref="BX610:BX634" si="6">IF(B728="2 Bedrooms",G728,0)</f>
        <v>0</v>
      </c>
      <c r="BY610" s="2068"/>
      <c r="BZ610" s="2068"/>
      <c r="CA610" s="2068"/>
      <c r="CB610" s="2068"/>
      <c r="CC610" s="2068">
        <f t="shared" ref="CC610:CC634" si="7">IF(B728="3 Bedrooms",G728,0)</f>
        <v>0</v>
      </c>
      <c r="CD610" s="2068"/>
      <c r="CE610" s="2068"/>
      <c r="CF610" s="2068"/>
      <c r="CG610" s="2068"/>
      <c r="CH610" s="2068">
        <f t="shared" ref="CH610:CH634" si="8">IF(B728="4 Bedrooms",G728,0)</f>
        <v>0</v>
      </c>
      <c r="CI610" s="2068"/>
      <c r="CJ610" s="2068"/>
      <c r="CK610" s="2068"/>
      <c r="CL610" s="2068"/>
      <c r="CM610" s="2068">
        <f t="shared" ref="CM610:CM634" si="9">IF(B728="5 Bedrooms",G728,0)</f>
        <v>0</v>
      </c>
      <c r="CN610" s="2068"/>
      <c r="CO610" s="2068"/>
      <c r="CP610" s="2068"/>
      <c r="CQ610" s="2068"/>
      <c r="CR610" s="265"/>
      <c r="CS610" s="2364">
        <f t="shared" ref="CS610:CS634" si="10">IF(AND(B728="SRO/Studio",AH728&lt;=0.3),G728,0)</f>
        <v>0</v>
      </c>
      <c r="CT610" s="2364"/>
      <c r="CU610" s="2364"/>
      <c r="CV610" s="2364"/>
      <c r="CW610" s="2364"/>
      <c r="CX610" s="2364">
        <f t="shared" ref="CX610:CX634" si="11">IF(AND(B728="1 Bedroom",AH728&lt;=0.3),G728,0)</f>
        <v>7</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10" t="str">
        <f t="shared" ref="DX610:DX634" si="16">IF(BN610&gt;0,O728," ")</f>
        <v xml:space="preserve"> </v>
      </c>
      <c r="DY610" s="2190"/>
      <c r="DZ610" s="2190"/>
      <c r="EA610" s="2190"/>
      <c r="EB610" s="2011"/>
      <c r="EC610" s="2010">
        <f t="shared" ref="EC610:EC634" si="17">IF(BS610&gt;0,O728," ")</f>
        <v>461</v>
      </c>
      <c r="ED610" s="2190"/>
      <c r="EE610" s="2190"/>
      <c r="EF610" s="2190"/>
      <c r="EG610" s="2011"/>
      <c r="EH610" s="2010" t="str">
        <f t="shared" ref="EH610:EH634" si="18">IF(BX610&gt;0,O728," ")</f>
        <v xml:space="preserve"> </v>
      </c>
      <c r="EI610" s="2190"/>
      <c r="EJ610" s="2190"/>
      <c r="EK610" s="2190"/>
      <c r="EL610" s="2011"/>
      <c r="EM610" s="2010" t="str">
        <f t="shared" ref="EM610:EM634" si="19">IF(CC610&gt;0,O728," ")</f>
        <v xml:space="preserve"> </v>
      </c>
      <c r="EN610" s="2190"/>
      <c r="EO610" s="2190"/>
      <c r="EP610" s="2190"/>
      <c r="EQ610" s="2011"/>
      <c r="ER610" s="2010" t="str">
        <f t="shared" ref="ER610:ER634" si="20">IF(CH610&gt;0,O728," ")</f>
        <v xml:space="preserve"> </v>
      </c>
      <c r="ES610" s="2190"/>
      <c r="ET610" s="2190"/>
      <c r="EU610" s="2190"/>
      <c r="EV610" s="2011"/>
      <c r="EW610" s="2010" t="str">
        <f t="shared" ref="EW610:EW634" si="21">IF(CM610&gt;0,O728," ")</f>
        <v xml:space="preserve"> </v>
      </c>
      <c r="EX610" s="2190"/>
      <c r="EY610" s="2190"/>
      <c r="EZ610" s="2190"/>
      <c r="FA610" s="2011"/>
    </row>
    <row r="611" spans="1:157" s="7" customFormat="1" ht="12.75">
      <c r="A611" s="87" t="s">
        <v>493</v>
      </c>
      <c r="B611" s="12" t="s">
        <v>495</v>
      </c>
      <c r="C611" s="12"/>
      <c r="D611" s="12"/>
      <c r="E611" s="12"/>
      <c r="F611" s="12"/>
      <c r="G611" s="2127">
        <f>C572</f>
        <v>0</v>
      </c>
      <c r="H611" s="2127"/>
      <c r="I611" s="2127"/>
      <c r="J611" s="2127"/>
      <c r="K611" s="2127"/>
      <c r="L611" s="2127"/>
      <c r="M611" s="2127"/>
      <c r="N611" s="2127"/>
      <c r="O611" s="2127"/>
      <c r="P611" s="2127"/>
      <c r="Q611" s="2127"/>
      <c r="R611" s="2127"/>
      <c r="S611" s="12"/>
      <c r="T611" s="87" t="s">
        <v>680</v>
      </c>
      <c r="U611" s="12" t="s">
        <v>495</v>
      </c>
      <c r="V611" s="12"/>
      <c r="W611" s="12"/>
      <c r="X611" s="12"/>
      <c r="Y611" s="12"/>
      <c r="Z611" s="2127">
        <f>C573</f>
        <v>0</v>
      </c>
      <c r="AA611" s="2127"/>
      <c r="AB611" s="2127"/>
      <c r="AC611" s="2127"/>
      <c r="AD611" s="2127"/>
      <c r="AE611" s="2127"/>
      <c r="AF611" s="2127"/>
      <c r="AG611" s="2127"/>
      <c r="AH611" s="2127"/>
      <c r="AI611" s="2127"/>
      <c r="AJ611" s="2127"/>
      <c r="AK611" s="2127"/>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184">
        <f t="shared" si="1"/>
        <v>15</v>
      </c>
      <c r="BH611" s="2185"/>
      <c r="BI611" s="2010">
        <f t="shared" si="2"/>
        <v>0</v>
      </c>
      <c r="BJ611" s="2011"/>
      <c r="BK611" s="2184">
        <f t="shared" si="3"/>
        <v>0</v>
      </c>
      <c r="BL611" s="2185"/>
      <c r="BM611" s="58"/>
      <c r="BN611" s="2176">
        <f t="shared" si="4"/>
        <v>0</v>
      </c>
      <c r="BO611" s="2177"/>
      <c r="BP611" s="2177"/>
      <c r="BQ611" s="2177"/>
      <c r="BR611" s="2178"/>
      <c r="BS611" s="2068">
        <f t="shared" si="5"/>
        <v>15</v>
      </c>
      <c r="BT611" s="2068"/>
      <c r="BU611" s="2068"/>
      <c r="BV611" s="2068"/>
      <c r="BW611" s="2068"/>
      <c r="BX611" s="2068">
        <f t="shared" si="6"/>
        <v>0</v>
      </c>
      <c r="BY611" s="2068"/>
      <c r="BZ611" s="2068"/>
      <c r="CA611" s="2068"/>
      <c r="CB611" s="2068"/>
      <c r="CC611" s="2068">
        <f t="shared" si="7"/>
        <v>0</v>
      </c>
      <c r="CD611" s="2068"/>
      <c r="CE611" s="2068"/>
      <c r="CF611" s="2068"/>
      <c r="CG611" s="2068"/>
      <c r="CH611" s="2068">
        <f t="shared" si="8"/>
        <v>0</v>
      </c>
      <c r="CI611" s="2068"/>
      <c r="CJ611" s="2068"/>
      <c r="CK611" s="2068"/>
      <c r="CL611" s="2068"/>
      <c r="CM611" s="2068">
        <f t="shared" si="9"/>
        <v>0</v>
      </c>
      <c r="CN611" s="2068"/>
      <c r="CO611" s="2068"/>
      <c r="CP611" s="2068"/>
      <c r="CQ611" s="2068"/>
      <c r="CR611" s="265"/>
      <c r="CS611" s="2364">
        <f t="shared" si="10"/>
        <v>0</v>
      </c>
      <c r="CT611" s="2364"/>
      <c r="CU611" s="2364"/>
      <c r="CV611" s="2364"/>
      <c r="CW611" s="2364"/>
      <c r="CX611" s="2364">
        <f t="shared" si="11"/>
        <v>0</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10" t="str">
        <f t="shared" si="16"/>
        <v xml:space="preserve"> </v>
      </c>
      <c r="DY611" s="2190"/>
      <c r="DZ611" s="2190"/>
      <c r="EA611" s="2190"/>
      <c r="EB611" s="2011"/>
      <c r="EC611" s="2010">
        <f t="shared" si="17"/>
        <v>801</v>
      </c>
      <c r="ED611" s="2190"/>
      <c r="EE611" s="2190"/>
      <c r="EF611" s="2190"/>
      <c r="EG611" s="2011"/>
      <c r="EH611" s="2010" t="str">
        <f t="shared" si="18"/>
        <v xml:space="preserve"> </v>
      </c>
      <c r="EI611" s="2190"/>
      <c r="EJ611" s="2190"/>
      <c r="EK611" s="2190"/>
      <c r="EL611" s="2011"/>
      <c r="EM611" s="2010" t="str">
        <f t="shared" si="19"/>
        <v xml:space="preserve"> </v>
      </c>
      <c r="EN611" s="2190"/>
      <c r="EO611" s="2190"/>
      <c r="EP611" s="2190"/>
      <c r="EQ611" s="2011"/>
      <c r="ER611" s="2010" t="str">
        <f t="shared" si="20"/>
        <v xml:space="preserve"> </v>
      </c>
      <c r="ES611" s="2190"/>
      <c r="ET611" s="2190"/>
      <c r="EU611" s="2190"/>
      <c r="EV611" s="2011"/>
      <c r="EW611" s="2010" t="str">
        <f t="shared" si="21"/>
        <v xml:space="preserve"> </v>
      </c>
      <c r="EX611" s="2190"/>
      <c r="EY611" s="2190"/>
      <c r="EZ611" s="2190"/>
      <c r="FA611" s="2011"/>
    </row>
    <row r="612" spans="1:157" ht="12.7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0">
        <f t="shared" si="0"/>
        <v>0</v>
      </c>
      <c r="BF612" s="2011"/>
      <c r="BG612" s="2184">
        <f t="shared" si="1"/>
        <v>0</v>
      </c>
      <c r="BH612" s="2185"/>
      <c r="BI612" s="2010">
        <f t="shared" si="2"/>
        <v>0</v>
      </c>
      <c r="BJ612" s="2011"/>
      <c r="BK612" s="2184">
        <f t="shared" si="3"/>
        <v>0</v>
      </c>
      <c r="BL612" s="2185"/>
      <c r="BM612" s="58"/>
      <c r="BN612" s="2176">
        <f t="shared" si="4"/>
        <v>0</v>
      </c>
      <c r="BO612" s="2177"/>
      <c r="BP612" s="2177"/>
      <c r="BQ612" s="2177"/>
      <c r="BR612" s="2178"/>
      <c r="BS612" s="2068">
        <f t="shared" si="5"/>
        <v>13</v>
      </c>
      <c r="BT612" s="2068"/>
      <c r="BU612" s="2068"/>
      <c r="BV612" s="2068"/>
      <c r="BW612" s="2068"/>
      <c r="BX612" s="2068">
        <f t="shared" si="6"/>
        <v>0</v>
      </c>
      <c r="BY612" s="2068"/>
      <c r="BZ612" s="2068"/>
      <c r="CA612" s="2068"/>
      <c r="CB612" s="2068"/>
      <c r="CC612" s="2068">
        <f t="shared" si="7"/>
        <v>0</v>
      </c>
      <c r="CD612" s="2068"/>
      <c r="CE612" s="2068"/>
      <c r="CF612" s="2068"/>
      <c r="CG612" s="2068"/>
      <c r="CH612" s="2068">
        <f t="shared" si="8"/>
        <v>0</v>
      </c>
      <c r="CI612" s="2068"/>
      <c r="CJ612" s="2068"/>
      <c r="CK612" s="2068"/>
      <c r="CL612" s="2068"/>
      <c r="CM612" s="2068">
        <f t="shared" si="9"/>
        <v>0</v>
      </c>
      <c r="CN612" s="2068"/>
      <c r="CO612" s="2068"/>
      <c r="CP612" s="2068"/>
      <c r="CQ612" s="2068"/>
      <c r="CR612" s="265"/>
      <c r="CS612" s="2364">
        <f t="shared" si="10"/>
        <v>0</v>
      </c>
      <c r="CT612" s="2364"/>
      <c r="CU612" s="2364"/>
      <c r="CV612" s="2364"/>
      <c r="CW612" s="2364"/>
      <c r="CX612" s="2364">
        <f t="shared" si="11"/>
        <v>0</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10" t="str">
        <f t="shared" si="16"/>
        <v xml:space="preserve"> </v>
      </c>
      <c r="DY612" s="2190"/>
      <c r="DZ612" s="2190"/>
      <c r="EA612" s="2190"/>
      <c r="EB612" s="2011"/>
      <c r="EC612" s="2010">
        <f t="shared" si="17"/>
        <v>971</v>
      </c>
      <c r="ED612" s="2190"/>
      <c r="EE612" s="2190"/>
      <c r="EF612" s="2190"/>
      <c r="EG612" s="2011"/>
      <c r="EH612" s="2010" t="str">
        <f t="shared" si="18"/>
        <v xml:space="preserve"> </v>
      </c>
      <c r="EI612" s="2190"/>
      <c r="EJ612" s="2190"/>
      <c r="EK612" s="2190"/>
      <c r="EL612" s="2011"/>
      <c r="EM612" s="2010" t="str">
        <f t="shared" si="19"/>
        <v xml:space="preserve"> </v>
      </c>
      <c r="EN612" s="2190"/>
      <c r="EO612" s="2190"/>
      <c r="EP612" s="2190"/>
      <c r="EQ612" s="2011"/>
      <c r="ER612" s="2010" t="str">
        <f t="shared" si="20"/>
        <v xml:space="preserve"> </v>
      </c>
      <c r="ES612" s="2190"/>
      <c r="ET612" s="2190"/>
      <c r="EU612" s="2190"/>
      <c r="EV612" s="2011"/>
      <c r="EW612" s="2010" t="str">
        <f t="shared" si="21"/>
        <v xml:space="preserve"> </v>
      </c>
      <c r="EX612" s="2190"/>
      <c r="EY612" s="2190"/>
      <c r="EZ612" s="2190"/>
      <c r="FA612" s="2011"/>
    </row>
    <row r="613" spans="1:157" ht="12.75">
      <c r="A613" s="35"/>
      <c r="B613" s="12" t="s">
        <v>614</v>
      </c>
      <c r="G613" s="2039"/>
      <c r="H613" s="2039"/>
      <c r="I613" s="2039"/>
      <c r="J613" s="2039"/>
      <c r="K613" s="2039"/>
      <c r="L613" s="2039"/>
      <c r="M613" s="2039"/>
      <c r="N613" s="2039"/>
      <c r="O613" s="2039"/>
      <c r="P613" s="2039"/>
      <c r="Q613" s="2039"/>
      <c r="R613" s="2039"/>
      <c r="T613" s="35"/>
      <c r="U613" s="12" t="s">
        <v>614</v>
      </c>
      <c r="Z613" s="2063"/>
      <c r="AA613" s="2063"/>
      <c r="AB613" s="2063"/>
      <c r="AC613" s="2063"/>
      <c r="AD613" s="2063"/>
      <c r="AE613" s="2063"/>
      <c r="AF613" s="2063"/>
      <c r="AG613" s="2063"/>
      <c r="AH613" s="2063"/>
      <c r="AI613" s="2063"/>
      <c r="AJ613" s="2063"/>
      <c r="AK613" s="2063"/>
      <c r="BA613" s="7" t="s">
        <v>170</v>
      </c>
      <c r="BB613" s="58"/>
      <c r="BC613" s="58"/>
      <c r="BD613" s="58"/>
      <c r="BE613" s="2010">
        <f t="shared" si="0"/>
        <v>0</v>
      </c>
      <c r="BF613" s="2011"/>
      <c r="BG613" s="2184">
        <f t="shared" si="1"/>
        <v>0</v>
      </c>
      <c r="BH613" s="2185"/>
      <c r="BI613" s="2010">
        <f t="shared" si="2"/>
        <v>0</v>
      </c>
      <c r="BJ613" s="2011"/>
      <c r="BK613" s="2184">
        <f t="shared" si="3"/>
        <v>0</v>
      </c>
      <c r="BL613" s="2185"/>
      <c r="BM613" s="58"/>
      <c r="BN613" s="2176">
        <f t="shared" si="4"/>
        <v>0</v>
      </c>
      <c r="BO613" s="2177"/>
      <c r="BP613" s="2177"/>
      <c r="BQ613" s="2177"/>
      <c r="BR613" s="2178"/>
      <c r="BS613" s="2068">
        <f t="shared" si="5"/>
        <v>37</v>
      </c>
      <c r="BT613" s="2068"/>
      <c r="BU613" s="2068"/>
      <c r="BV613" s="2068"/>
      <c r="BW613" s="2068"/>
      <c r="BX613" s="2068">
        <f t="shared" si="6"/>
        <v>0</v>
      </c>
      <c r="BY613" s="2068"/>
      <c r="BZ613" s="2068"/>
      <c r="CA613" s="2068"/>
      <c r="CB613" s="2068"/>
      <c r="CC613" s="2068">
        <f t="shared" si="7"/>
        <v>0</v>
      </c>
      <c r="CD613" s="2068"/>
      <c r="CE613" s="2068"/>
      <c r="CF613" s="2068"/>
      <c r="CG613" s="2068"/>
      <c r="CH613" s="2068">
        <f t="shared" si="8"/>
        <v>0</v>
      </c>
      <c r="CI613" s="2068"/>
      <c r="CJ613" s="2068"/>
      <c r="CK613" s="2068"/>
      <c r="CL613" s="2068"/>
      <c r="CM613" s="2068">
        <f t="shared" si="9"/>
        <v>0</v>
      </c>
      <c r="CN613" s="2068"/>
      <c r="CO613" s="2068"/>
      <c r="CP613" s="2068"/>
      <c r="CQ613" s="2068"/>
      <c r="CR613" s="265"/>
      <c r="CS613" s="2364">
        <f t="shared" si="10"/>
        <v>0</v>
      </c>
      <c r="CT613" s="2364"/>
      <c r="CU613" s="2364"/>
      <c r="CV613" s="2364"/>
      <c r="CW613" s="2364"/>
      <c r="CX613" s="2364">
        <f t="shared" si="11"/>
        <v>0</v>
      </c>
      <c r="CY613" s="2364"/>
      <c r="CZ613" s="2364"/>
      <c r="DA613" s="2364"/>
      <c r="DB613" s="2364"/>
      <c r="DC613" s="2364">
        <f t="shared" si="12"/>
        <v>0</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10" t="str">
        <f t="shared" si="16"/>
        <v xml:space="preserve"> </v>
      </c>
      <c r="DY613" s="2190"/>
      <c r="DZ613" s="2190"/>
      <c r="EA613" s="2190"/>
      <c r="EB613" s="2011"/>
      <c r="EC613" s="2010">
        <f t="shared" si="17"/>
        <v>1141</v>
      </c>
      <c r="ED613" s="2190"/>
      <c r="EE613" s="2190"/>
      <c r="EF613" s="2190"/>
      <c r="EG613" s="2011"/>
      <c r="EH613" s="2010" t="str">
        <f t="shared" si="18"/>
        <v xml:space="preserve"> </v>
      </c>
      <c r="EI613" s="2190"/>
      <c r="EJ613" s="2190"/>
      <c r="EK613" s="2190"/>
      <c r="EL613" s="2011"/>
      <c r="EM613" s="2010" t="str">
        <f t="shared" si="19"/>
        <v xml:space="preserve"> </v>
      </c>
      <c r="EN613" s="2190"/>
      <c r="EO613" s="2190"/>
      <c r="EP613" s="2190"/>
      <c r="EQ613" s="2011"/>
      <c r="ER613" s="2010" t="str">
        <f t="shared" si="20"/>
        <v xml:space="preserve"> </v>
      </c>
      <c r="ES613" s="2190"/>
      <c r="ET613" s="2190"/>
      <c r="EU613" s="2190"/>
      <c r="EV613" s="2011"/>
      <c r="EW613" s="2010" t="str">
        <f t="shared" si="21"/>
        <v xml:space="preserve"> </v>
      </c>
      <c r="EX613" s="2190"/>
      <c r="EY613" s="2190"/>
      <c r="EZ613" s="2190"/>
      <c r="FA613" s="2011"/>
    </row>
    <row r="614" spans="1:157" ht="12.75">
      <c r="A614" s="35"/>
      <c r="B614" s="12" t="s">
        <v>17</v>
      </c>
      <c r="G614" s="2039"/>
      <c r="H614" s="2039"/>
      <c r="I614" s="2039"/>
      <c r="J614" s="2039"/>
      <c r="K614" s="2039"/>
      <c r="L614" s="2039"/>
      <c r="M614" s="2039"/>
      <c r="N614" s="2039"/>
      <c r="O614" s="2039"/>
      <c r="P614" s="2039"/>
      <c r="Q614" s="2039"/>
      <c r="R614" s="2039"/>
      <c r="T614" s="35"/>
      <c r="U614" s="12" t="s">
        <v>17</v>
      </c>
      <c r="Z614" s="2063"/>
      <c r="AA614" s="2063"/>
      <c r="AB614" s="2063"/>
      <c r="AC614" s="2063"/>
      <c r="AD614" s="2063"/>
      <c r="AE614" s="2063"/>
      <c r="AF614" s="2063"/>
      <c r="AG614" s="2063"/>
      <c r="AH614" s="2063"/>
      <c r="AI614" s="2063"/>
      <c r="AJ614" s="2063"/>
      <c r="AK614" s="2063"/>
      <c r="BA614" s="7" t="s">
        <v>31</v>
      </c>
      <c r="BB614" s="58"/>
      <c r="BC614" s="58"/>
      <c r="BD614" s="58"/>
      <c r="BE614" s="2010">
        <f t="shared" si="0"/>
        <v>0</v>
      </c>
      <c r="BF614" s="2011"/>
      <c r="BG614" s="2184">
        <f t="shared" si="1"/>
        <v>0</v>
      </c>
      <c r="BH614" s="2185"/>
      <c r="BI614" s="2010">
        <f t="shared" si="2"/>
        <v>1</v>
      </c>
      <c r="BJ614" s="2011"/>
      <c r="BK614" s="2184">
        <f t="shared" si="3"/>
        <v>15</v>
      </c>
      <c r="BL614" s="2185"/>
      <c r="BM614" s="58"/>
      <c r="BN614" s="2176">
        <f t="shared" si="4"/>
        <v>0</v>
      </c>
      <c r="BO614" s="2177"/>
      <c r="BP614" s="2177"/>
      <c r="BQ614" s="2177"/>
      <c r="BR614" s="2178"/>
      <c r="BS614" s="2068">
        <f t="shared" si="5"/>
        <v>0</v>
      </c>
      <c r="BT614" s="2068"/>
      <c r="BU614" s="2068"/>
      <c r="BV614" s="2068"/>
      <c r="BW614" s="2068"/>
      <c r="BX614" s="2068">
        <f t="shared" si="6"/>
        <v>15</v>
      </c>
      <c r="BY614" s="2068"/>
      <c r="BZ614" s="2068"/>
      <c r="CA614" s="2068"/>
      <c r="CB614" s="2068"/>
      <c r="CC614" s="2068">
        <f t="shared" si="7"/>
        <v>0</v>
      </c>
      <c r="CD614" s="2068"/>
      <c r="CE614" s="2068"/>
      <c r="CF614" s="2068"/>
      <c r="CG614" s="2068"/>
      <c r="CH614" s="2068">
        <f t="shared" si="8"/>
        <v>0</v>
      </c>
      <c r="CI614" s="2068"/>
      <c r="CJ614" s="2068"/>
      <c r="CK614" s="2068"/>
      <c r="CL614" s="2068"/>
      <c r="CM614" s="2068">
        <f t="shared" si="9"/>
        <v>0</v>
      </c>
      <c r="CN614" s="2068"/>
      <c r="CO614" s="2068"/>
      <c r="CP614" s="2068"/>
      <c r="CQ614" s="2068"/>
      <c r="CR614" s="265"/>
      <c r="CS614" s="2364">
        <f t="shared" si="10"/>
        <v>0</v>
      </c>
      <c r="CT614" s="2364"/>
      <c r="CU614" s="2364"/>
      <c r="CV614" s="2364"/>
      <c r="CW614" s="2364"/>
      <c r="CX614" s="2364">
        <f t="shared" si="11"/>
        <v>0</v>
      </c>
      <c r="CY614" s="2364"/>
      <c r="CZ614" s="2364"/>
      <c r="DA614" s="2364"/>
      <c r="DB614" s="2364"/>
      <c r="DC614" s="2364">
        <f t="shared" si="12"/>
        <v>15</v>
      </c>
      <c r="DD614" s="2364"/>
      <c r="DE614" s="2364"/>
      <c r="DF614" s="2364"/>
      <c r="DG614" s="2364"/>
      <c r="DH614" s="2364">
        <f t="shared" si="13"/>
        <v>0</v>
      </c>
      <c r="DI614" s="2364"/>
      <c r="DJ614" s="2364"/>
      <c r="DK614" s="2364"/>
      <c r="DL614" s="2364"/>
      <c r="DM614" s="2364">
        <f t="shared" si="14"/>
        <v>0</v>
      </c>
      <c r="DN614" s="2364"/>
      <c r="DO614" s="2364"/>
      <c r="DP614" s="2364"/>
      <c r="DQ614" s="2364"/>
      <c r="DR614" s="2364">
        <f t="shared" si="15"/>
        <v>0</v>
      </c>
      <c r="DS614" s="2364"/>
      <c r="DT614" s="2364"/>
      <c r="DU614" s="2364"/>
      <c r="DV614" s="2364"/>
      <c r="DX614" s="2010" t="str">
        <f t="shared" si="16"/>
        <v xml:space="preserve"> </v>
      </c>
      <c r="DY614" s="2190"/>
      <c r="DZ614" s="2190"/>
      <c r="EA614" s="2190"/>
      <c r="EB614" s="2011"/>
      <c r="EC614" s="2010" t="str">
        <f t="shared" si="17"/>
        <v xml:space="preserve"> </v>
      </c>
      <c r="ED614" s="2190"/>
      <c r="EE614" s="2190"/>
      <c r="EF614" s="2190"/>
      <c r="EG614" s="2011"/>
      <c r="EH614" s="2010">
        <f t="shared" si="18"/>
        <v>542</v>
      </c>
      <c r="EI614" s="2190"/>
      <c r="EJ614" s="2190"/>
      <c r="EK614" s="2190"/>
      <c r="EL614" s="2011"/>
      <c r="EM614" s="2010" t="str">
        <f t="shared" si="19"/>
        <v xml:space="preserve"> </v>
      </c>
      <c r="EN614" s="2190"/>
      <c r="EO614" s="2190"/>
      <c r="EP614" s="2190"/>
      <c r="EQ614" s="2011"/>
      <c r="ER614" s="2010" t="str">
        <f t="shared" si="20"/>
        <v xml:space="preserve"> </v>
      </c>
      <c r="ES614" s="2190"/>
      <c r="ET614" s="2190"/>
      <c r="EU614" s="2190"/>
      <c r="EV614" s="2011"/>
      <c r="EW614" s="2010" t="str">
        <f t="shared" si="21"/>
        <v xml:space="preserve"> </v>
      </c>
      <c r="EX614" s="2190"/>
      <c r="EY614" s="2190"/>
      <c r="EZ614" s="2190"/>
      <c r="FA614" s="2011"/>
    </row>
    <row r="615" spans="1:157" ht="12.75">
      <c r="A615" s="35"/>
      <c r="B615" s="12" t="s">
        <v>325</v>
      </c>
      <c r="G615" s="2040"/>
      <c r="H615" s="2040"/>
      <c r="I615" s="2040"/>
      <c r="J615" s="2040"/>
      <c r="K615" s="2040"/>
      <c r="L615" s="2040"/>
      <c r="O615" s="137" t="s">
        <v>212</v>
      </c>
      <c r="P615" s="2062"/>
      <c r="Q615" s="2062"/>
      <c r="R615" s="2062"/>
      <c r="T615" s="35"/>
      <c r="U615" s="12" t="s">
        <v>325</v>
      </c>
      <c r="Z615" s="2040"/>
      <c r="AA615" s="2040"/>
      <c r="AB615" s="2040"/>
      <c r="AC615" s="2040"/>
      <c r="AD615" s="2040"/>
      <c r="AE615" s="2040"/>
      <c r="AH615" s="137" t="s">
        <v>212</v>
      </c>
      <c r="AI615" s="2062"/>
      <c r="AJ615" s="2062"/>
      <c r="AK615" s="2062"/>
      <c r="AZ615" s="58"/>
      <c r="BA615" s="58"/>
      <c r="BB615" s="58"/>
      <c r="BC615" s="58"/>
      <c r="BD615" s="58"/>
      <c r="BE615" s="2010">
        <f t="shared" si="0"/>
        <v>1</v>
      </c>
      <c r="BF615" s="2011"/>
      <c r="BG615" s="2184">
        <f t="shared" si="1"/>
        <v>30</v>
      </c>
      <c r="BH615" s="2185"/>
      <c r="BI615" s="2010">
        <f t="shared" si="2"/>
        <v>0</v>
      </c>
      <c r="BJ615" s="2011"/>
      <c r="BK615" s="2184">
        <f t="shared" si="3"/>
        <v>0</v>
      </c>
      <c r="BL615" s="2185"/>
      <c r="BM615" s="58"/>
      <c r="BN615" s="2176">
        <f t="shared" si="4"/>
        <v>0</v>
      </c>
      <c r="BO615" s="2177"/>
      <c r="BP615" s="2177"/>
      <c r="BQ615" s="2177"/>
      <c r="BR615" s="2178"/>
      <c r="BS615" s="2068">
        <f t="shared" si="5"/>
        <v>0</v>
      </c>
      <c r="BT615" s="2068"/>
      <c r="BU615" s="2068"/>
      <c r="BV615" s="2068"/>
      <c r="BW615" s="2068"/>
      <c r="BX615" s="2068">
        <f t="shared" si="6"/>
        <v>30</v>
      </c>
      <c r="BY615" s="2068"/>
      <c r="BZ615" s="2068"/>
      <c r="CA615" s="2068"/>
      <c r="CB615" s="2068"/>
      <c r="CC615" s="2068">
        <f t="shared" si="7"/>
        <v>0</v>
      </c>
      <c r="CD615" s="2068"/>
      <c r="CE615" s="2068"/>
      <c r="CF615" s="2068"/>
      <c r="CG615" s="2068"/>
      <c r="CH615" s="2068">
        <f t="shared" si="8"/>
        <v>0</v>
      </c>
      <c r="CI615" s="2068"/>
      <c r="CJ615" s="2068"/>
      <c r="CK615" s="2068"/>
      <c r="CL615" s="2068"/>
      <c r="CM615" s="2068">
        <f t="shared" si="9"/>
        <v>0</v>
      </c>
      <c r="CN615" s="2068"/>
      <c r="CO615" s="2068"/>
      <c r="CP615" s="2068"/>
      <c r="CQ615" s="2068"/>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10" t="str">
        <f t="shared" si="16"/>
        <v xml:space="preserve"> </v>
      </c>
      <c r="DY615" s="2190"/>
      <c r="DZ615" s="2190"/>
      <c r="EA615" s="2190"/>
      <c r="EB615" s="2011"/>
      <c r="EC615" s="2010" t="str">
        <f t="shared" si="17"/>
        <v xml:space="preserve"> </v>
      </c>
      <c r="ED615" s="2190"/>
      <c r="EE615" s="2190"/>
      <c r="EF615" s="2190"/>
      <c r="EG615" s="2011"/>
      <c r="EH615" s="2010">
        <f t="shared" si="18"/>
        <v>950</v>
      </c>
      <c r="EI615" s="2190"/>
      <c r="EJ615" s="2190"/>
      <c r="EK615" s="2190"/>
      <c r="EL615" s="2011"/>
      <c r="EM615" s="2010" t="str">
        <f t="shared" si="19"/>
        <v xml:space="preserve"> </v>
      </c>
      <c r="EN615" s="2190"/>
      <c r="EO615" s="2190"/>
      <c r="EP615" s="2190"/>
      <c r="EQ615" s="2011"/>
      <c r="ER615" s="2010" t="str">
        <f t="shared" si="20"/>
        <v xml:space="preserve"> </v>
      </c>
      <c r="ES615" s="2190"/>
      <c r="ET615" s="2190"/>
      <c r="EU615" s="2190"/>
      <c r="EV615" s="2011"/>
      <c r="EW615" s="2010" t="str">
        <f t="shared" si="21"/>
        <v xml:space="preserve"> </v>
      </c>
      <c r="EX615" s="2190"/>
      <c r="EY615" s="2190"/>
      <c r="EZ615" s="2190"/>
      <c r="FA615" s="2011"/>
    </row>
    <row r="616" spans="1:157" ht="12.7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0">
        <f t="shared" si="0"/>
        <v>0</v>
      </c>
      <c r="BF616" s="2011"/>
      <c r="BG616" s="2184">
        <f t="shared" si="1"/>
        <v>0</v>
      </c>
      <c r="BH616" s="2185"/>
      <c r="BI616" s="2010">
        <f t="shared" si="2"/>
        <v>0</v>
      </c>
      <c r="BJ616" s="2011"/>
      <c r="BK616" s="2184">
        <f t="shared" si="3"/>
        <v>0</v>
      </c>
      <c r="BL616" s="2185"/>
      <c r="BM616" s="58"/>
      <c r="BN616" s="2176">
        <f t="shared" si="4"/>
        <v>0</v>
      </c>
      <c r="BO616" s="2177"/>
      <c r="BP616" s="2177"/>
      <c r="BQ616" s="2177"/>
      <c r="BR616" s="2178"/>
      <c r="BS616" s="2068">
        <f t="shared" si="5"/>
        <v>0</v>
      </c>
      <c r="BT616" s="2068"/>
      <c r="BU616" s="2068"/>
      <c r="BV616" s="2068"/>
      <c r="BW616" s="2068"/>
      <c r="BX616" s="2068">
        <f t="shared" si="6"/>
        <v>26</v>
      </c>
      <c r="BY616" s="2068"/>
      <c r="BZ616" s="2068"/>
      <c r="CA616" s="2068"/>
      <c r="CB616" s="2068"/>
      <c r="CC616" s="2068">
        <f t="shared" si="7"/>
        <v>0</v>
      </c>
      <c r="CD616" s="2068"/>
      <c r="CE616" s="2068"/>
      <c r="CF616" s="2068"/>
      <c r="CG616" s="2068"/>
      <c r="CH616" s="2068">
        <f t="shared" si="8"/>
        <v>0</v>
      </c>
      <c r="CI616" s="2068"/>
      <c r="CJ616" s="2068"/>
      <c r="CK616" s="2068"/>
      <c r="CL616" s="2068"/>
      <c r="CM616" s="2068">
        <f t="shared" si="9"/>
        <v>0</v>
      </c>
      <c r="CN616" s="2068"/>
      <c r="CO616" s="2068"/>
      <c r="CP616" s="2068"/>
      <c r="CQ616" s="2068"/>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10" t="str">
        <f t="shared" si="16"/>
        <v xml:space="preserve"> </v>
      </c>
      <c r="DY616" s="2190"/>
      <c r="DZ616" s="2190"/>
      <c r="EA616" s="2190"/>
      <c r="EB616" s="2011"/>
      <c r="EC616" s="2010" t="str">
        <f t="shared" si="17"/>
        <v xml:space="preserve"> </v>
      </c>
      <c r="ED616" s="2190"/>
      <c r="EE616" s="2190"/>
      <c r="EF616" s="2190"/>
      <c r="EG616" s="2011"/>
      <c r="EH616" s="2010">
        <f t="shared" si="18"/>
        <v>1154</v>
      </c>
      <c r="EI616" s="2190"/>
      <c r="EJ616" s="2190"/>
      <c r="EK616" s="2190"/>
      <c r="EL616" s="2011"/>
      <c r="EM616" s="2010" t="str">
        <f t="shared" si="19"/>
        <v xml:space="preserve"> </v>
      </c>
      <c r="EN616" s="2190"/>
      <c r="EO616" s="2190"/>
      <c r="EP616" s="2190"/>
      <c r="EQ616" s="2011"/>
      <c r="ER616" s="2010" t="str">
        <f t="shared" si="20"/>
        <v xml:space="preserve"> </v>
      </c>
      <c r="ES616" s="2190"/>
      <c r="ET616" s="2190"/>
      <c r="EU616" s="2190"/>
      <c r="EV616" s="2011"/>
      <c r="EW616" s="2010" t="str">
        <f t="shared" si="21"/>
        <v xml:space="preserve"> </v>
      </c>
      <c r="EX616" s="2190"/>
      <c r="EY616" s="2190"/>
      <c r="EZ616" s="2190"/>
      <c r="FA616" s="2011"/>
    </row>
    <row r="617" spans="1:157" ht="12.75">
      <c r="A617" s="35"/>
      <c r="B617" s="12" t="s">
        <v>20</v>
      </c>
      <c r="N617" s="2029" t="s">
        <v>705</v>
      </c>
      <c r="O617" s="2029"/>
      <c r="T617" s="35"/>
      <c r="U617" s="12" t="s">
        <v>20</v>
      </c>
      <c r="AG617" s="2029" t="s">
        <v>705</v>
      </c>
      <c r="AH617" s="2029"/>
      <c r="AZ617" s="58"/>
      <c r="BA617" s="58"/>
      <c r="BB617" s="58"/>
      <c r="BC617" s="58"/>
      <c r="BD617" s="58"/>
      <c r="BE617" s="2010">
        <f t="shared" si="0"/>
        <v>0</v>
      </c>
      <c r="BF617" s="2011"/>
      <c r="BG617" s="2184">
        <f t="shared" si="1"/>
        <v>0</v>
      </c>
      <c r="BH617" s="2185"/>
      <c r="BI617" s="2010">
        <f t="shared" si="2"/>
        <v>0</v>
      </c>
      <c r="BJ617" s="2011"/>
      <c r="BK617" s="2184">
        <f t="shared" si="3"/>
        <v>0</v>
      </c>
      <c r="BL617" s="2185"/>
      <c r="BM617" s="58"/>
      <c r="BN617" s="2176">
        <f t="shared" si="4"/>
        <v>0</v>
      </c>
      <c r="BO617" s="2177"/>
      <c r="BP617" s="2177"/>
      <c r="BQ617" s="2177"/>
      <c r="BR617" s="2178"/>
      <c r="BS617" s="2068">
        <f t="shared" si="5"/>
        <v>0</v>
      </c>
      <c r="BT617" s="2068"/>
      <c r="BU617" s="2068"/>
      <c r="BV617" s="2068"/>
      <c r="BW617" s="2068"/>
      <c r="BX617" s="2068">
        <f t="shared" si="6"/>
        <v>70</v>
      </c>
      <c r="BY617" s="2068"/>
      <c r="BZ617" s="2068"/>
      <c r="CA617" s="2068"/>
      <c r="CB617" s="2068"/>
      <c r="CC617" s="2068">
        <f t="shared" si="7"/>
        <v>0</v>
      </c>
      <c r="CD617" s="2068"/>
      <c r="CE617" s="2068"/>
      <c r="CF617" s="2068"/>
      <c r="CG617" s="2068"/>
      <c r="CH617" s="2068">
        <f t="shared" si="8"/>
        <v>0</v>
      </c>
      <c r="CI617" s="2068"/>
      <c r="CJ617" s="2068"/>
      <c r="CK617" s="2068"/>
      <c r="CL617" s="2068"/>
      <c r="CM617" s="2068">
        <f t="shared" si="9"/>
        <v>0</v>
      </c>
      <c r="CN617" s="2068"/>
      <c r="CO617" s="2068"/>
      <c r="CP617" s="2068"/>
      <c r="CQ617" s="2068"/>
      <c r="CR617" s="265"/>
      <c r="CS617" s="2364">
        <f t="shared" si="10"/>
        <v>0</v>
      </c>
      <c r="CT617" s="2364"/>
      <c r="CU617" s="2364"/>
      <c r="CV617" s="2364"/>
      <c r="CW617" s="2364"/>
      <c r="CX617" s="2364">
        <f t="shared" si="11"/>
        <v>0</v>
      </c>
      <c r="CY617" s="2364"/>
      <c r="CZ617" s="2364"/>
      <c r="DA617" s="2364"/>
      <c r="DB617" s="2364"/>
      <c r="DC617" s="2364">
        <f t="shared" si="12"/>
        <v>0</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10" t="str">
        <f t="shared" si="16"/>
        <v xml:space="preserve"> </v>
      </c>
      <c r="DY617" s="2190"/>
      <c r="DZ617" s="2190"/>
      <c r="EA617" s="2190"/>
      <c r="EB617" s="2011"/>
      <c r="EC617" s="2010" t="str">
        <f t="shared" si="17"/>
        <v xml:space="preserve"> </v>
      </c>
      <c r="ED617" s="2190"/>
      <c r="EE617" s="2190"/>
      <c r="EF617" s="2190"/>
      <c r="EG617" s="2011"/>
      <c r="EH617" s="2010">
        <f t="shared" si="18"/>
        <v>1358</v>
      </c>
      <c r="EI617" s="2190"/>
      <c r="EJ617" s="2190"/>
      <c r="EK617" s="2190"/>
      <c r="EL617" s="2011"/>
      <c r="EM617" s="2010" t="str">
        <f t="shared" si="19"/>
        <v xml:space="preserve"> </v>
      </c>
      <c r="EN617" s="2190"/>
      <c r="EO617" s="2190"/>
      <c r="EP617" s="2190"/>
      <c r="EQ617" s="2011"/>
      <c r="ER617" s="2010" t="str">
        <f t="shared" si="20"/>
        <v xml:space="preserve"> </v>
      </c>
      <c r="ES617" s="2190"/>
      <c r="ET617" s="2190"/>
      <c r="EU617" s="2190"/>
      <c r="EV617" s="2011"/>
      <c r="EW617" s="2010" t="str">
        <f t="shared" si="21"/>
        <v xml:space="preserve"> </v>
      </c>
      <c r="EX617" s="2190"/>
      <c r="EY617" s="2190"/>
      <c r="EZ617" s="2190"/>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184">
        <f t="shared" si="1"/>
        <v>0</v>
      </c>
      <c r="BH618" s="2185"/>
      <c r="BI618" s="2010">
        <f t="shared" si="2"/>
        <v>1</v>
      </c>
      <c r="BJ618" s="2011"/>
      <c r="BK618" s="2184">
        <f t="shared" si="3"/>
        <v>7</v>
      </c>
      <c r="BL618" s="2185"/>
      <c r="BM618" s="58"/>
      <c r="BN618" s="2176">
        <f t="shared" si="4"/>
        <v>0</v>
      </c>
      <c r="BO618" s="2177"/>
      <c r="BP618" s="2177"/>
      <c r="BQ618" s="2177"/>
      <c r="BR618" s="2178"/>
      <c r="BS618" s="2068">
        <f t="shared" si="5"/>
        <v>0</v>
      </c>
      <c r="BT618" s="2068"/>
      <c r="BU618" s="2068"/>
      <c r="BV618" s="2068"/>
      <c r="BW618" s="2068"/>
      <c r="BX618" s="2068">
        <f t="shared" si="6"/>
        <v>0</v>
      </c>
      <c r="BY618" s="2068"/>
      <c r="BZ618" s="2068"/>
      <c r="CA618" s="2068"/>
      <c r="CB618" s="2068"/>
      <c r="CC618" s="2068">
        <f t="shared" si="7"/>
        <v>7</v>
      </c>
      <c r="CD618" s="2068"/>
      <c r="CE618" s="2068"/>
      <c r="CF618" s="2068"/>
      <c r="CG618" s="2068"/>
      <c r="CH618" s="2068">
        <f t="shared" si="8"/>
        <v>0</v>
      </c>
      <c r="CI618" s="2068"/>
      <c r="CJ618" s="2068"/>
      <c r="CK618" s="2068"/>
      <c r="CL618" s="2068"/>
      <c r="CM618" s="2068">
        <f t="shared" si="9"/>
        <v>0</v>
      </c>
      <c r="CN618" s="2068"/>
      <c r="CO618" s="2068"/>
      <c r="CP618" s="2068"/>
      <c r="CQ618" s="2068"/>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7</v>
      </c>
      <c r="DI618" s="2364"/>
      <c r="DJ618" s="2364"/>
      <c r="DK618" s="2364"/>
      <c r="DL618" s="2364"/>
      <c r="DM618" s="2364">
        <f t="shared" si="14"/>
        <v>0</v>
      </c>
      <c r="DN618" s="2364"/>
      <c r="DO618" s="2364"/>
      <c r="DP618" s="2364"/>
      <c r="DQ618" s="2364"/>
      <c r="DR618" s="2364">
        <f t="shared" si="15"/>
        <v>0</v>
      </c>
      <c r="DS618" s="2364"/>
      <c r="DT618" s="2364"/>
      <c r="DU618" s="2364"/>
      <c r="DV618" s="2364"/>
      <c r="DX618" s="2010" t="str">
        <f t="shared" si="16"/>
        <v xml:space="preserve"> </v>
      </c>
      <c r="DY618" s="2190"/>
      <c r="DZ618" s="2190"/>
      <c r="EA618" s="2190"/>
      <c r="EB618" s="2011"/>
      <c r="EC618" s="2010" t="str">
        <f t="shared" si="17"/>
        <v xml:space="preserve"> </v>
      </c>
      <c r="ED618" s="2190"/>
      <c r="EE618" s="2190"/>
      <c r="EF618" s="2190"/>
      <c r="EG618" s="2011"/>
      <c r="EH618" s="2010" t="str">
        <f t="shared" si="18"/>
        <v xml:space="preserve"> </v>
      </c>
      <c r="EI618" s="2190"/>
      <c r="EJ618" s="2190"/>
      <c r="EK618" s="2190"/>
      <c r="EL618" s="2011"/>
      <c r="EM618" s="2010">
        <f t="shared" si="19"/>
        <v>613</v>
      </c>
      <c r="EN618" s="2190"/>
      <c r="EO618" s="2190"/>
      <c r="EP618" s="2190"/>
      <c r="EQ618" s="2011"/>
      <c r="ER618" s="2010" t="str">
        <f t="shared" si="20"/>
        <v xml:space="preserve"> </v>
      </c>
      <c r="ES618" s="2190"/>
      <c r="ET618" s="2190"/>
      <c r="EU618" s="2190"/>
      <c r="EV618" s="2011"/>
      <c r="EW618" s="2010" t="str">
        <f t="shared" si="21"/>
        <v xml:space="preserve"> </v>
      </c>
      <c r="EX618" s="2190"/>
      <c r="EY618" s="2190"/>
      <c r="EZ618" s="2190"/>
      <c r="FA618" s="2011"/>
    </row>
    <row r="619" spans="1:157" s="7" customFormat="1" ht="12.75">
      <c r="A619" s="87" t="s">
        <v>372</v>
      </c>
      <c r="B619" s="12" t="s">
        <v>495</v>
      </c>
      <c r="C619" s="12"/>
      <c r="D619" s="12"/>
      <c r="E619" s="12"/>
      <c r="F619" s="12"/>
      <c r="G619" s="2127">
        <f>C574</f>
        <v>0</v>
      </c>
      <c r="H619" s="2127"/>
      <c r="I619" s="2127"/>
      <c r="J619" s="2127"/>
      <c r="K619" s="2127"/>
      <c r="L619" s="2127"/>
      <c r="M619" s="2127"/>
      <c r="N619" s="2127"/>
      <c r="O619" s="2127"/>
      <c r="P619" s="2127"/>
      <c r="Q619" s="2127"/>
      <c r="R619" s="2127"/>
      <c r="S619" s="12"/>
      <c r="T619" s="87" t="s">
        <v>373</v>
      </c>
      <c r="U619" s="12" t="s">
        <v>495</v>
      </c>
      <c r="V619" s="12"/>
      <c r="W619" s="12"/>
      <c r="X619" s="12"/>
      <c r="Y619" s="12"/>
      <c r="Z619" s="2127">
        <f>C575</f>
        <v>0</v>
      </c>
      <c r="AA619" s="2127"/>
      <c r="AB619" s="2127"/>
      <c r="AC619" s="2127"/>
      <c r="AD619" s="2127"/>
      <c r="AE619" s="2127"/>
      <c r="AF619" s="2127"/>
      <c r="AG619" s="2127"/>
      <c r="AH619" s="2127"/>
      <c r="AI619" s="2127"/>
      <c r="AJ619" s="2127"/>
      <c r="AK619" s="2127"/>
      <c r="AL619" s="12"/>
      <c r="AM619" s="39"/>
      <c r="AN619" s="39"/>
      <c r="AO619" s="39"/>
      <c r="AP619" s="39"/>
      <c r="AQ619" s="39"/>
      <c r="AR619" s="39"/>
      <c r="AS619" s="39"/>
      <c r="AT619" s="39"/>
      <c r="AU619" s="39"/>
      <c r="AV619" s="39"/>
      <c r="AW619" s="39"/>
      <c r="AX619" s="39"/>
      <c r="AY619" s="39"/>
      <c r="AZ619" s="58"/>
      <c r="BA619" s="58"/>
      <c r="BB619" s="58"/>
      <c r="BC619" s="58"/>
      <c r="BD619" s="58"/>
      <c r="BE619" s="2010">
        <f t="shared" si="0"/>
        <v>1</v>
      </c>
      <c r="BF619" s="2011"/>
      <c r="BG619" s="2184">
        <f t="shared" si="1"/>
        <v>15</v>
      </c>
      <c r="BH619" s="2185"/>
      <c r="BI619" s="2010">
        <f t="shared" si="2"/>
        <v>0</v>
      </c>
      <c r="BJ619" s="2011"/>
      <c r="BK619" s="2184">
        <f t="shared" si="3"/>
        <v>0</v>
      </c>
      <c r="BL619" s="2185"/>
      <c r="BM619" s="58"/>
      <c r="BN619" s="2176">
        <f t="shared" si="4"/>
        <v>0</v>
      </c>
      <c r="BO619" s="2177"/>
      <c r="BP619" s="2177"/>
      <c r="BQ619" s="2177"/>
      <c r="BR619" s="2178"/>
      <c r="BS619" s="2068">
        <f t="shared" si="5"/>
        <v>0</v>
      </c>
      <c r="BT619" s="2068"/>
      <c r="BU619" s="2068"/>
      <c r="BV619" s="2068"/>
      <c r="BW619" s="2068"/>
      <c r="BX619" s="2068">
        <f t="shared" si="6"/>
        <v>0</v>
      </c>
      <c r="BY619" s="2068"/>
      <c r="BZ619" s="2068"/>
      <c r="CA619" s="2068"/>
      <c r="CB619" s="2068"/>
      <c r="CC619" s="2068">
        <f t="shared" si="7"/>
        <v>15</v>
      </c>
      <c r="CD619" s="2068"/>
      <c r="CE619" s="2068"/>
      <c r="CF619" s="2068"/>
      <c r="CG619" s="2068"/>
      <c r="CH619" s="2068">
        <f t="shared" si="8"/>
        <v>0</v>
      </c>
      <c r="CI619" s="2068"/>
      <c r="CJ619" s="2068"/>
      <c r="CK619" s="2068"/>
      <c r="CL619" s="2068"/>
      <c r="CM619" s="2068">
        <f t="shared" si="9"/>
        <v>0</v>
      </c>
      <c r="CN619" s="2068"/>
      <c r="CO619" s="2068"/>
      <c r="CP619" s="2068"/>
      <c r="CQ619" s="2068"/>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10" t="str">
        <f t="shared" si="16"/>
        <v xml:space="preserve"> </v>
      </c>
      <c r="DY619" s="2190"/>
      <c r="DZ619" s="2190"/>
      <c r="EA619" s="2190"/>
      <c r="EB619" s="2011"/>
      <c r="EC619" s="2010" t="str">
        <f t="shared" si="17"/>
        <v xml:space="preserve"> </v>
      </c>
      <c r="ED619" s="2190"/>
      <c r="EE619" s="2190"/>
      <c r="EF619" s="2190"/>
      <c r="EG619" s="2011"/>
      <c r="EH619" s="2010" t="str">
        <f t="shared" si="18"/>
        <v xml:space="preserve"> </v>
      </c>
      <c r="EI619" s="2190"/>
      <c r="EJ619" s="2190"/>
      <c r="EK619" s="2190"/>
      <c r="EL619" s="2011"/>
      <c r="EM619" s="2010">
        <f t="shared" si="19"/>
        <v>1085</v>
      </c>
      <c r="EN619" s="2190"/>
      <c r="EO619" s="2190"/>
      <c r="EP619" s="2190"/>
      <c r="EQ619" s="2011"/>
      <c r="ER619" s="2010" t="str">
        <f t="shared" si="20"/>
        <v xml:space="preserve"> </v>
      </c>
      <c r="ES619" s="2190"/>
      <c r="ET619" s="2190"/>
      <c r="EU619" s="2190"/>
      <c r="EV619" s="2011"/>
      <c r="EW619" s="2010" t="str">
        <f t="shared" si="21"/>
        <v xml:space="preserve"> </v>
      </c>
      <c r="EX619" s="2190"/>
      <c r="EY619" s="2190"/>
      <c r="EZ619" s="2190"/>
      <c r="FA619" s="2011"/>
    </row>
    <row r="620" spans="1:157" s="7" customFormat="1" ht="12.7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184">
        <f t="shared" si="1"/>
        <v>0</v>
      </c>
      <c r="BH620" s="2185"/>
      <c r="BI620" s="2010">
        <f t="shared" si="2"/>
        <v>0</v>
      </c>
      <c r="BJ620" s="2011"/>
      <c r="BK620" s="2184">
        <f t="shared" si="3"/>
        <v>0</v>
      </c>
      <c r="BL620" s="2185"/>
      <c r="BM620" s="58"/>
      <c r="BN620" s="2176">
        <f t="shared" si="4"/>
        <v>0</v>
      </c>
      <c r="BO620" s="2177"/>
      <c r="BP620" s="2177"/>
      <c r="BQ620" s="2177"/>
      <c r="BR620" s="2178"/>
      <c r="BS620" s="2068">
        <f t="shared" si="5"/>
        <v>0</v>
      </c>
      <c r="BT620" s="2068"/>
      <c r="BU620" s="2068"/>
      <c r="BV620" s="2068"/>
      <c r="BW620" s="2068"/>
      <c r="BX620" s="2068">
        <f t="shared" si="6"/>
        <v>0</v>
      </c>
      <c r="BY620" s="2068"/>
      <c r="BZ620" s="2068"/>
      <c r="CA620" s="2068"/>
      <c r="CB620" s="2068"/>
      <c r="CC620" s="2068">
        <f t="shared" si="7"/>
        <v>15</v>
      </c>
      <c r="CD620" s="2068"/>
      <c r="CE620" s="2068"/>
      <c r="CF620" s="2068"/>
      <c r="CG620" s="2068"/>
      <c r="CH620" s="2068">
        <f t="shared" si="8"/>
        <v>0</v>
      </c>
      <c r="CI620" s="2068"/>
      <c r="CJ620" s="2068"/>
      <c r="CK620" s="2068"/>
      <c r="CL620" s="2068"/>
      <c r="CM620" s="2068">
        <f t="shared" si="9"/>
        <v>0</v>
      </c>
      <c r="CN620" s="2068"/>
      <c r="CO620" s="2068"/>
      <c r="CP620" s="2068"/>
      <c r="CQ620" s="2068"/>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10" t="str">
        <f t="shared" si="16"/>
        <v xml:space="preserve"> </v>
      </c>
      <c r="DY620" s="2190"/>
      <c r="DZ620" s="2190"/>
      <c r="EA620" s="2190"/>
      <c r="EB620" s="2011"/>
      <c r="EC620" s="2010" t="str">
        <f t="shared" si="17"/>
        <v xml:space="preserve"> </v>
      </c>
      <c r="ED620" s="2190"/>
      <c r="EE620" s="2190"/>
      <c r="EF620" s="2190"/>
      <c r="EG620" s="2011"/>
      <c r="EH620" s="2010" t="str">
        <f t="shared" si="18"/>
        <v xml:space="preserve"> </v>
      </c>
      <c r="EI620" s="2190"/>
      <c r="EJ620" s="2190"/>
      <c r="EK620" s="2190"/>
      <c r="EL620" s="2011"/>
      <c r="EM620" s="2010">
        <f t="shared" si="19"/>
        <v>1320</v>
      </c>
      <c r="EN620" s="2190"/>
      <c r="EO620" s="2190"/>
      <c r="EP620" s="2190"/>
      <c r="EQ620" s="2011"/>
      <c r="ER620" s="2010" t="str">
        <f t="shared" si="20"/>
        <v xml:space="preserve"> </v>
      </c>
      <c r="ES620" s="2190"/>
      <c r="ET620" s="2190"/>
      <c r="EU620" s="2190"/>
      <c r="EV620" s="2011"/>
      <c r="EW620" s="2010" t="str">
        <f t="shared" si="21"/>
        <v xml:space="preserve"> </v>
      </c>
      <c r="EX620" s="2190"/>
      <c r="EY620" s="2190"/>
      <c r="EZ620" s="2190"/>
      <c r="FA620" s="2011"/>
    </row>
    <row r="621" spans="1:157" ht="12.75">
      <c r="B621" s="12" t="s">
        <v>614</v>
      </c>
      <c r="G621" s="2039"/>
      <c r="H621" s="2039"/>
      <c r="I621" s="2039"/>
      <c r="J621" s="2039"/>
      <c r="K621" s="2039"/>
      <c r="L621" s="2039"/>
      <c r="M621" s="2039"/>
      <c r="N621" s="2039"/>
      <c r="O621" s="2039"/>
      <c r="P621" s="2039"/>
      <c r="Q621" s="2039"/>
      <c r="R621" s="2039"/>
      <c r="U621" s="12" t="s">
        <v>614</v>
      </c>
      <c r="Z621" s="2063"/>
      <c r="AA621" s="2063"/>
      <c r="AB621" s="2063"/>
      <c r="AC621" s="2063"/>
      <c r="AD621" s="2063"/>
      <c r="AE621" s="2063"/>
      <c r="AF621" s="2063"/>
      <c r="AG621" s="2063"/>
      <c r="AH621" s="2063"/>
      <c r="AI621" s="2063"/>
      <c r="AJ621" s="2063"/>
      <c r="AK621" s="2063"/>
      <c r="AZ621" s="58"/>
      <c r="BA621" s="58"/>
      <c r="BB621" s="58"/>
      <c r="BC621" s="58"/>
      <c r="BD621" s="58"/>
      <c r="BE621" s="2010">
        <f t="shared" si="0"/>
        <v>0</v>
      </c>
      <c r="BF621" s="2011"/>
      <c r="BG621" s="2184">
        <f t="shared" si="1"/>
        <v>0</v>
      </c>
      <c r="BH621" s="2185"/>
      <c r="BI621" s="2010">
        <f t="shared" si="2"/>
        <v>0</v>
      </c>
      <c r="BJ621" s="2011"/>
      <c r="BK621" s="2184">
        <f t="shared" si="3"/>
        <v>0</v>
      </c>
      <c r="BL621" s="2185"/>
      <c r="BM621" s="58"/>
      <c r="BN621" s="2176">
        <f t="shared" si="4"/>
        <v>0</v>
      </c>
      <c r="BO621" s="2177"/>
      <c r="BP621" s="2177"/>
      <c r="BQ621" s="2177"/>
      <c r="BR621" s="2178"/>
      <c r="BS621" s="2068">
        <f t="shared" si="5"/>
        <v>0</v>
      </c>
      <c r="BT621" s="2068"/>
      <c r="BU621" s="2068"/>
      <c r="BV621" s="2068"/>
      <c r="BW621" s="2068"/>
      <c r="BX621" s="2068">
        <f t="shared" si="6"/>
        <v>0</v>
      </c>
      <c r="BY621" s="2068"/>
      <c r="BZ621" s="2068"/>
      <c r="CA621" s="2068"/>
      <c r="CB621" s="2068"/>
      <c r="CC621" s="2068">
        <f t="shared" si="7"/>
        <v>35</v>
      </c>
      <c r="CD621" s="2068"/>
      <c r="CE621" s="2068"/>
      <c r="CF621" s="2068"/>
      <c r="CG621" s="2068"/>
      <c r="CH621" s="2068">
        <f t="shared" si="8"/>
        <v>0</v>
      </c>
      <c r="CI621" s="2068"/>
      <c r="CJ621" s="2068"/>
      <c r="CK621" s="2068"/>
      <c r="CL621" s="2068"/>
      <c r="CM621" s="2068">
        <f t="shared" si="9"/>
        <v>0</v>
      </c>
      <c r="CN621" s="2068"/>
      <c r="CO621" s="2068"/>
      <c r="CP621" s="2068"/>
      <c r="CQ621" s="2068"/>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10" t="str">
        <f t="shared" si="16"/>
        <v xml:space="preserve"> </v>
      </c>
      <c r="DY621" s="2190"/>
      <c r="DZ621" s="2190"/>
      <c r="EA621" s="2190"/>
      <c r="EB621" s="2011"/>
      <c r="EC621" s="2010" t="str">
        <f t="shared" si="17"/>
        <v xml:space="preserve"> </v>
      </c>
      <c r="ED621" s="2190"/>
      <c r="EE621" s="2190"/>
      <c r="EF621" s="2190"/>
      <c r="EG621" s="2011"/>
      <c r="EH621" s="2010" t="str">
        <f t="shared" si="18"/>
        <v xml:space="preserve"> </v>
      </c>
      <c r="EI621" s="2190"/>
      <c r="EJ621" s="2190"/>
      <c r="EK621" s="2190"/>
      <c r="EL621" s="2011"/>
      <c r="EM621" s="2010">
        <f t="shared" si="19"/>
        <v>1556</v>
      </c>
      <c r="EN621" s="2190"/>
      <c r="EO621" s="2190"/>
      <c r="EP621" s="2190"/>
      <c r="EQ621" s="2011"/>
      <c r="ER621" s="2010" t="str">
        <f t="shared" si="20"/>
        <v xml:space="preserve"> </v>
      </c>
      <c r="ES621" s="2190"/>
      <c r="ET621" s="2190"/>
      <c r="EU621" s="2190"/>
      <c r="EV621" s="2011"/>
      <c r="EW621" s="2010" t="str">
        <f t="shared" si="21"/>
        <v xml:space="preserve"> </v>
      </c>
      <c r="EX621" s="2190"/>
      <c r="EY621" s="2190"/>
      <c r="EZ621" s="2190"/>
      <c r="FA621" s="2011"/>
    </row>
    <row r="622" spans="1:157" ht="12.75">
      <c r="B622" s="12" t="s">
        <v>17</v>
      </c>
      <c r="G622" s="2039"/>
      <c r="H622" s="2039"/>
      <c r="I622" s="2039"/>
      <c r="J622" s="2039"/>
      <c r="K622" s="2039"/>
      <c r="L622" s="2039"/>
      <c r="M622" s="2039"/>
      <c r="N622" s="2039"/>
      <c r="O622" s="2039"/>
      <c r="P622" s="2039"/>
      <c r="Q622" s="2039"/>
      <c r="R622" s="2039"/>
      <c r="U622" s="12" t="s">
        <v>17</v>
      </c>
      <c r="Z622" s="2063"/>
      <c r="AA622" s="2063"/>
      <c r="AB622" s="2063"/>
      <c r="AC622" s="2063"/>
      <c r="AD622" s="2063"/>
      <c r="AE622" s="2063"/>
      <c r="AF622" s="2063"/>
      <c r="AG622" s="2063"/>
      <c r="AH622" s="2063"/>
      <c r="AI622" s="2063"/>
      <c r="AJ622" s="2063"/>
      <c r="AK622" s="2063"/>
      <c r="AZ622" s="58"/>
      <c r="BA622" s="58"/>
      <c r="BB622" s="58"/>
      <c r="BC622" s="58"/>
      <c r="BD622" s="58"/>
      <c r="BE622" s="2010">
        <f t="shared" si="0"/>
        <v>0</v>
      </c>
      <c r="BF622" s="2011"/>
      <c r="BG622" s="2184">
        <f t="shared" si="1"/>
        <v>0</v>
      </c>
      <c r="BH622" s="2185"/>
      <c r="BI622" s="2010">
        <f t="shared" si="2"/>
        <v>0</v>
      </c>
      <c r="BJ622" s="2011"/>
      <c r="BK622" s="2184">
        <f t="shared" si="3"/>
        <v>0</v>
      </c>
      <c r="BL622" s="2185"/>
      <c r="BM622" s="58"/>
      <c r="BN622" s="2176">
        <f t="shared" si="4"/>
        <v>0</v>
      </c>
      <c r="BO622" s="2177"/>
      <c r="BP622" s="2177"/>
      <c r="BQ622" s="2177"/>
      <c r="BR622" s="2178"/>
      <c r="BS622" s="2068">
        <f t="shared" si="5"/>
        <v>0</v>
      </c>
      <c r="BT622" s="2068"/>
      <c r="BU622" s="2068"/>
      <c r="BV622" s="2068"/>
      <c r="BW622" s="2068"/>
      <c r="BX622" s="2068">
        <f t="shared" si="6"/>
        <v>0</v>
      </c>
      <c r="BY622" s="2068"/>
      <c r="BZ622" s="2068"/>
      <c r="CA622" s="2068"/>
      <c r="CB622" s="2068"/>
      <c r="CC622" s="2068">
        <f t="shared" si="7"/>
        <v>0</v>
      </c>
      <c r="CD622" s="2068"/>
      <c r="CE622" s="2068"/>
      <c r="CF622" s="2068"/>
      <c r="CG622" s="2068"/>
      <c r="CH622" s="2068">
        <f t="shared" si="8"/>
        <v>0</v>
      </c>
      <c r="CI622" s="2068"/>
      <c r="CJ622" s="2068"/>
      <c r="CK622" s="2068"/>
      <c r="CL622" s="2068"/>
      <c r="CM622" s="2068">
        <f t="shared" si="9"/>
        <v>0</v>
      </c>
      <c r="CN622" s="2068"/>
      <c r="CO622" s="2068"/>
      <c r="CP622" s="2068"/>
      <c r="CQ622" s="2068"/>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10" t="str">
        <f t="shared" si="16"/>
        <v xml:space="preserve"> </v>
      </c>
      <c r="DY622" s="2190"/>
      <c r="DZ622" s="2190"/>
      <c r="EA622" s="2190"/>
      <c r="EB622" s="2011"/>
      <c r="EC622" s="2010" t="str">
        <f t="shared" si="17"/>
        <v xml:space="preserve"> </v>
      </c>
      <c r="ED622" s="2190"/>
      <c r="EE622" s="2190"/>
      <c r="EF622" s="2190"/>
      <c r="EG622" s="2011"/>
      <c r="EH622" s="2010" t="str">
        <f t="shared" si="18"/>
        <v xml:space="preserve"> </v>
      </c>
      <c r="EI622" s="2190"/>
      <c r="EJ622" s="2190"/>
      <c r="EK622" s="2190"/>
      <c r="EL622" s="2011"/>
      <c r="EM622" s="2010" t="str">
        <f t="shared" si="19"/>
        <v xml:space="preserve"> </v>
      </c>
      <c r="EN622" s="2190"/>
      <c r="EO622" s="2190"/>
      <c r="EP622" s="2190"/>
      <c r="EQ622" s="2011"/>
      <c r="ER622" s="2010" t="str">
        <f t="shared" si="20"/>
        <v xml:space="preserve"> </v>
      </c>
      <c r="ES622" s="2190"/>
      <c r="ET622" s="2190"/>
      <c r="EU622" s="2190"/>
      <c r="EV622" s="2011"/>
      <c r="EW622" s="2010" t="str">
        <f t="shared" si="21"/>
        <v xml:space="preserve"> </v>
      </c>
      <c r="EX622" s="2190"/>
      <c r="EY622" s="2190"/>
      <c r="EZ622" s="2190"/>
      <c r="FA622" s="2011"/>
    </row>
    <row r="623" spans="1:157" ht="12.75">
      <c r="B623" s="12" t="s">
        <v>325</v>
      </c>
      <c r="G623" s="2040"/>
      <c r="H623" s="2040"/>
      <c r="I623" s="2040"/>
      <c r="J623" s="2040"/>
      <c r="K623" s="2040"/>
      <c r="L623" s="2040"/>
      <c r="O623" s="137" t="s">
        <v>212</v>
      </c>
      <c r="P623" s="2062"/>
      <c r="Q623" s="2062"/>
      <c r="R623" s="2062"/>
      <c r="U623" s="12" t="s">
        <v>325</v>
      </c>
      <c r="Z623" s="2040"/>
      <c r="AA623" s="2040"/>
      <c r="AB623" s="2040"/>
      <c r="AC623" s="2040"/>
      <c r="AD623" s="2040"/>
      <c r="AE623" s="2040"/>
      <c r="AH623" s="137" t="s">
        <v>212</v>
      </c>
      <c r="AI623" s="2062"/>
      <c r="AJ623" s="2062"/>
      <c r="AK623" s="2062"/>
      <c r="AZ623" s="58"/>
      <c r="BA623" s="58"/>
      <c r="BB623" s="58"/>
      <c r="BC623" s="58"/>
      <c r="BD623" s="58"/>
      <c r="BE623" s="2010">
        <f t="shared" si="0"/>
        <v>0</v>
      </c>
      <c r="BF623" s="2011"/>
      <c r="BG623" s="2184">
        <f t="shared" si="1"/>
        <v>0</v>
      </c>
      <c r="BH623" s="2185"/>
      <c r="BI623" s="2010">
        <f t="shared" si="2"/>
        <v>0</v>
      </c>
      <c r="BJ623" s="2011"/>
      <c r="BK623" s="2184">
        <f t="shared" si="3"/>
        <v>0</v>
      </c>
      <c r="BL623" s="2185"/>
      <c r="BM623" s="58"/>
      <c r="BN623" s="2176">
        <f t="shared" si="4"/>
        <v>0</v>
      </c>
      <c r="BO623" s="2177"/>
      <c r="BP623" s="2177"/>
      <c r="BQ623" s="2177"/>
      <c r="BR623" s="2178"/>
      <c r="BS623" s="2068">
        <f t="shared" si="5"/>
        <v>0</v>
      </c>
      <c r="BT623" s="2068"/>
      <c r="BU623" s="2068"/>
      <c r="BV623" s="2068"/>
      <c r="BW623" s="2068"/>
      <c r="BX623" s="2068">
        <f t="shared" si="6"/>
        <v>0</v>
      </c>
      <c r="BY623" s="2068"/>
      <c r="BZ623" s="2068"/>
      <c r="CA623" s="2068"/>
      <c r="CB623" s="2068"/>
      <c r="CC623" s="2068">
        <f t="shared" si="7"/>
        <v>0</v>
      </c>
      <c r="CD623" s="2068"/>
      <c r="CE623" s="2068"/>
      <c r="CF623" s="2068"/>
      <c r="CG623" s="2068"/>
      <c r="CH623" s="2068">
        <f t="shared" si="8"/>
        <v>0</v>
      </c>
      <c r="CI623" s="2068"/>
      <c r="CJ623" s="2068"/>
      <c r="CK623" s="2068"/>
      <c r="CL623" s="2068"/>
      <c r="CM623" s="2068">
        <f t="shared" si="9"/>
        <v>0</v>
      </c>
      <c r="CN623" s="2068"/>
      <c r="CO623" s="2068"/>
      <c r="CP623" s="2068"/>
      <c r="CQ623" s="2068"/>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10" t="str">
        <f t="shared" si="16"/>
        <v xml:space="preserve"> </v>
      </c>
      <c r="DY623" s="2190"/>
      <c r="DZ623" s="2190"/>
      <c r="EA623" s="2190"/>
      <c r="EB623" s="2011"/>
      <c r="EC623" s="2010" t="str">
        <f t="shared" si="17"/>
        <v xml:space="preserve"> </v>
      </c>
      <c r="ED623" s="2190"/>
      <c r="EE623" s="2190"/>
      <c r="EF623" s="2190"/>
      <c r="EG623" s="2011"/>
      <c r="EH623" s="2010" t="str">
        <f t="shared" si="18"/>
        <v xml:space="preserve"> </v>
      </c>
      <c r="EI623" s="2190"/>
      <c r="EJ623" s="2190"/>
      <c r="EK623" s="2190"/>
      <c r="EL623" s="2011"/>
      <c r="EM623" s="2010" t="str">
        <f t="shared" si="19"/>
        <v xml:space="preserve"> </v>
      </c>
      <c r="EN623" s="2190"/>
      <c r="EO623" s="2190"/>
      <c r="EP623" s="2190"/>
      <c r="EQ623" s="2011"/>
      <c r="ER623" s="2010" t="str">
        <f t="shared" si="20"/>
        <v xml:space="preserve"> </v>
      </c>
      <c r="ES623" s="2190"/>
      <c r="ET623" s="2190"/>
      <c r="EU623" s="2190"/>
      <c r="EV623" s="2011"/>
      <c r="EW623" s="2010" t="str">
        <f t="shared" si="21"/>
        <v xml:space="preserve"> </v>
      </c>
      <c r="EX623" s="2190"/>
      <c r="EY623" s="2190"/>
      <c r="EZ623" s="2190"/>
      <c r="FA623" s="2011"/>
    </row>
    <row r="624" spans="1:157" ht="12.7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0">
        <f t="shared" si="0"/>
        <v>0</v>
      </c>
      <c r="BF624" s="2011"/>
      <c r="BG624" s="2184">
        <f t="shared" si="1"/>
        <v>0</v>
      </c>
      <c r="BH624" s="2185"/>
      <c r="BI624" s="2010">
        <f t="shared" si="2"/>
        <v>0</v>
      </c>
      <c r="BJ624" s="2011"/>
      <c r="BK624" s="2184">
        <f t="shared" si="3"/>
        <v>0</v>
      </c>
      <c r="BL624" s="2185"/>
      <c r="BM624" s="58"/>
      <c r="BN624" s="2176">
        <f t="shared" si="4"/>
        <v>0</v>
      </c>
      <c r="BO624" s="2177"/>
      <c r="BP624" s="2177"/>
      <c r="BQ624" s="2177"/>
      <c r="BR624" s="2178"/>
      <c r="BS624" s="2068">
        <f t="shared" si="5"/>
        <v>0</v>
      </c>
      <c r="BT624" s="2068"/>
      <c r="BU624" s="2068"/>
      <c r="BV624" s="2068"/>
      <c r="BW624" s="2068"/>
      <c r="BX624" s="2068">
        <f t="shared" si="6"/>
        <v>0</v>
      </c>
      <c r="BY624" s="2068"/>
      <c r="BZ624" s="2068"/>
      <c r="CA624" s="2068"/>
      <c r="CB624" s="2068"/>
      <c r="CC624" s="2068">
        <f t="shared" si="7"/>
        <v>0</v>
      </c>
      <c r="CD624" s="2068"/>
      <c r="CE624" s="2068"/>
      <c r="CF624" s="2068"/>
      <c r="CG624" s="2068"/>
      <c r="CH624" s="2068">
        <f t="shared" si="8"/>
        <v>0</v>
      </c>
      <c r="CI624" s="2068"/>
      <c r="CJ624" s="2068"/>
      <c r="CK624" s="2068"/>
      <c r="CL624" s="2068"/>
      <c r="CM624" s="2068">
        <f t="shared" si="9"/>
        <v>0</v>
      </c>
      <c r="CN624" s="2068"/>
      <c r="CO624" s="2068"/>
      <c r="CP624" s="2068"/>
      <c r="CQ624" s="2068"/>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10" t="str">
        <f t="shared" si="16"/>
        <v xml:space="preserve"> </v>
      </c>
      <c r="DY624" s="2190"/>
      <c r="DZ624" s="2190"/>
      <c r="EA624" s="2190"/>
      <c r="EB624" s="2011"/>
      <c r="EC624" s="2010" t="str">
        <f t="shared" si="17"/>
        <v xml:space="preserve"> </v>
      </c>
      <c r="ED624" s="2190"/>
      <c r="EE624" s="2190"/>
      <c r="EF624" s="2190"/>
      <c r="EG624" s="2011"/>
      <c r="EH624" s="2010" t="str">
        <f t="shared" si="18"/>
        <v xml:space="preserve"> </v>
      </c>
      <c r="EI624" s="2190"/>
      <c r="EJ624" s="2190"/>
      <c r="EK624" s="2190"/>
      <c r="EL624" s="2011"/>
      <c r="EM624" s="2010" t="str">
        <f t="shared" si="19"/>
        <v xml:space="preserve"> </v>
      </c>
      <c r="EN624" s="2190"/>
      <c r="EO624" s="2190"/>
      <c r="EP624" s="2190"/>
      <c r="EQ624" s="2011"/>
      <c r="ER624" s="2010" t="str">
        <f t="shared" si="20"/>
        <v xml:space="preserve"> </v>
      </c>
      <c r="ES624" s="2190"/>
      <c r="ET624" s="2190"/>
      <c r="EU624" s="2190"/>
      <c r="EV624" s="2011"/>
      <c r="EW624" s="2010" t="str">
        <f t="shared" si="21"/>
        <v xml:space="preserve"> </v>
      </c>
      <c r="EX624" s="2190"/>
      <c r="EY624" s="2190"/>
      <c r="EZ624" s="2190"/>
      <c r="FA624" s="2011"/>
    </row>
    <row r="625" spans="1:157" ht="12.75">
      <c r="B625" s="12" t="s">
        <v>20</v>
      </c>
      <c r="N625" s="2029" t="s">
        <v>705</v>
      </c>
      <c r="O625" s="2029"/>
      <c r="U625" s="12" t="s">
        <v>20</v>
      </c>
      <c r="AG625" s="2029" t="s">
        <v>705</v>
      </c>
      <c r="AH625" s="2029"/>
      <c r="AZ625" s="58"/>
      <c r="BA625" s="58"/>
      <c r="BB625" s="58"/>
      <c r="BC625" s="58"/>
      <c r="BD625" s="58"/>
      <c r="BE625" s="2010">
        <f t="shared" si="0"/>
        <v>0</v>
      </c>
      <c r="BF625" s="2011"/>
      <c r="BG625" s="2184">
        <f t="shared" si="1"/>
        <v>0</v>
      </c>
      <c r="BH625" s="2185"/>
      <c r="BI625" s="2010">
        <f t="shared" si="2"/>
        <v>0</v>
      </c>
      <c r="BJ625" s="2011"/>
      <c r="BK625" s="2184">
        <f t="shared" si="3"/>
        <v>0</v>
      </c>
      <c r="BL625" s="2185"/>
      <c r="BM625" s="58"/>
      <c r="BN625" s="2176">
        <f t="shared" si="4"/>
        <v>0</v>
      </c>
      <c r="BO625" s="2177"/>
      <c r="BP625" s="2177"/>
      <c r="BQ625" s="2177"/>
      <c r="BR625" s="2178"/>
      <c r="BS625" s="2068">
        <f t="shared" si="5"/>
        <v>0</v>
      </c>
      <c r="BT625" s="2068"/>
      <c r="BU625" s="2068"/>
      <c r="BV625" s="2068"/>
      <c r="BW625" s="2068"/>
      <c r="BX625" s="2068">
        <f t="shared" si="6"/>
        <v>0</v>
      </c>
      <c r="BY625" s="2068"/>
      <c r="BZ625" s="2068"/>
      <c r="CA625" s="2068"/>
      <c r="CB625" s="2068"/>
      <c r="CC625" s="2068">
        <f t="shared" si="7"/>
        <v>0</v>
      </c>
      <c r="CD625" s="2068"/>
      <c r="CE625" s="2068"/>
      <c r="CF625" s="2068"/>
      <c r="CG625" s="2068"/>
      <c r="CH625" s="2068">
        <f t="shared" si="8"/>
        <v>0</v>
      </c>
      <c r="CI625" s="2068"/>
      <c r="CJ625" s="2068"/>
      <c r="CK625" s="2068"/>
      <c r="CL625" s="2068"/>
      <c r="CM625" s="2068">
        <f t="shared" si="9"/>
        <v>0</v>
      </c>
      <c r="CN625" s="2068"/>
      <c r="CO625" s="2068"/>
      <c r="CP625" s="2068"/>
      <c r="CQ625" s="2068"/>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10" t="str">
        <f t="shared" si="16"/>
        <v xml:space="preserve"> </v>
      </c>
      <c r="DY625" s="2190"/>
      <c r="DZ625" s="2190"/>
      <c r="EA625" s="2190"/>
      <c r="EB625" s="2011"/>
      <c r="EC625" s="2010" t="str">
        <f t="shared" si="17"/>
        <v xml:space="preserve"> </v>
      </c>
      <c r="ED625" s="2190"/>
      <c r="EE625" s="2190"/>
      <c r="EF625" s="2190"/>
      <c r="EG625" s="2011"/>
      <c r="EH625" s="2010" t="str">
        <f t="shared" si="18"/>
        <v xml:space="preserve"> </v>
      </c>
      <c r="EI625" s="2190"/>
      <c r="EJ625" s="2190"/>
      <c r="EK625" s="2190"/>
      <c r="EL625" s="2011"/>
      <c r="EM625" s="2010" t="str">
        <f t="shared" si="19"/>
        <v xml:space="preserve"> </v>
      </c>
      <c r="EN625" s="2190"/>
      <c r="EO625" s="2190"/>
      <c r="EP625" s="2190"/>
      <c r="EQ625" s="2011"/>
      <c r="ER625" s="2010" t="str">
        <f t="shared" si="20"/>
        <v xml:space="preserve"> </v>
      </c>
      <c r="ES625" s="2190"/>
      <c r="ET625" s="2190"/>
      <c r="EU625" s="2190"/>
      <c r="EV625" s="2011"/>
      <c r="EW625" s="2010" t="str">
        <f t="shared" si="21"/>
        <v xml:space="preserve"> </v>
      </c>
      <c r="EX625" s="2190"/>
      <c r="EY625" s="2190"/>
      <c r="EZ625" s="2190"/>
      <c r="FA625" s="2011"/>
    </row>
    <row r="626" spans="1:157" ht="12.75">
      <c r="AZ626" s="58"/>
      <c r="BA626" s="58"/>
      <c r="BB626" s="58"/>
      <c r="BC626" s="58"/>
      <c r="BD626" s="58"/>
      <c r="BE626" s="2010">
        <f t="shared" si="0"/>
        <v>0</v>
      </c>
      <c r="BF626" s="2011"/>
      <c r="BG626" s="2184">
        <f t="shared" si="1"/>
        <v>0</v>
      </c>
      <c r="BH626" s="2185"/>
      <c r="BI626" s="2010">
        <f t="shared" si="2"/>
        <v>0</v>
      </c>
      <c r="BJ626" s="2011"/>
      <c r="BK626" s="2184">
        <f t="shared" si="3"/>
        <v>0</v>
      </c>
      <c r="BL626" s="2185"/>
      <c r="BM626" s="58"/>
      <c r="BN626" s="2176">
        <f t="shared" si="4"/>
        <v>0</v>
      </c>
      <c r="BO626" s="2177"/>
      <c r="BP626" s="2177"/>
      <c r="BQ626" s="2177"/>
      <c r="BR626" s="2178"/>
      <c r="BS626" s="2068">
        <f t="shared" si="5"/>
        <v>0</v>
      </c>
      <c r="BT626" s="2068"/>
      <c r="BU626" s="2068"/>
      <c r="BV626" s="2068"/>
      <c r="BW626" s="2068"/>
      <c r="BX626" s="2068">
        <f t="shared" si="6"/>
        <v>0</v>
      </c>
      <c r="BY626" s="2068"/>
      <c r="BZ626" s="2068"/>
      <c r="CA626" s="2068"/>
      <c r="CB626" s="2068"/>
      <c r="CC626" s="2068">
        <f t="shared" si="7"/>
        <v>0</v>
      </c>
      <c r="CD626" s="2068"/>
      <c r="CE626" s="2068"/>
      <c r="CF626" s="2068"/>
      <c r="CG626" s="2068"/>
      <c r="CH626" s="2068">
        <f t="shared" si="8"/>
        <v>0</v>
      </c>
      <c r="CI626" s="2068"/>
      <c r="CJ626" s="2068"/>
      <c r="CK626" s="2068"/>
      <c r="CL626" s="2068"/>
      <c r="CM626" s="2068">
        <f t="shared" si="9"/>
        <v>0</v>
      </c>
      <c r="CN626" s="2068"/>
      <c r="CO626" s="2068"/>
      <c r="CP626" s="2068"/>
      <c r="CQ626" s="2068"/>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10" t="str">
        <f t="shared" si="16"/>
        <v xml:space="preserve"> </v>
      </c>
      <c r="DY626" s="2190"/>
      <c r="DZ626" s="2190"/>
      <c r="EA626" s="2190"/>
      <c r="EB626" s="2011"/>
      <c r="EC626" s="2010" t="str">
        <f t="shared" si="17"/>
        <v xml:space="preserve"> </v>
      </c>
      <c r="ED626" s="2190"/>
      <c r="EE626" s="2190"/>
      <c r="EF626" s="2190"/>
      <c r="EG626" s="2011"/>
      <c r="EH626" s="2010" t="str">
        <f t="shared" si="18"/>
        <v xml:space="preserve"> </v>
      </c>
      <c r="EI626" s="2190"/>
      <c r="EJ626" s="2190"/>
      <c r="EK626" s="2190"/>
      <c r="EL626" s="2011"/>
      <c r="EM626" s="2010" t="str">
        <f t="shared" si="19"/>
        <v xml:space="preserve"> </v>
      </c>
      <c r="EN626" s="2190"/>
      <c r="EO626" s="2190"/>
      <c r="EP626" s="2190"/>
      <c r="EQ626" s="2011"/>
      <c r="ER626" s="2010" t="str">
        <f t="shared" si="20"/>
        <v xml:space="preserve"> </v>
      </c>
      <c r="ES626" s="2190"/>
      <c r="ET626" s="2190"/>
      <c r="EU626" s="2190"/>
      <c r="EV626" s="2011"/>
      <c r="EW626" s="2010" t="str">
        <f t="shared" si="21"/>
        <v xml:space="preserve"> </v>
      </c>
      <c r="EX626" s="2190"/>
      <c r="EY626" s="2190"/>
      <c r="EZ626" s="2190"/>
      <c r="FA626" s="2011"/>
    </row>
    <row r="627" spans="1:157" ht="12.75" customHeight="1">
      <c r="A627" s="1873" t="s">
        <v>576</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10">
        <f t="shared" si="0"/>
        <v>0</v>
      </c>
      <c r="BF627" s="2011"/>
      <c r="BG627" s="2184">
        <f t="shared" si="1"/>
        <v>0</v>
      </c>
      <c r="BH627" s="2185"/>
      <c r="BI627" s="2010">
        <f t="shared" si="2"/>
        <v>0</v>
      </c>
      <c r="BJ627" s="2011"/>
      <c r="BK627" s="2184">
        <f t="shared" si="3"/>
        <v>0</v>
      </c>
      <c r="BL627" s="2185"/>
      <c r="BM627" s="58"/>
      <c r="BN627" s="2176">
        <f t="shared" si="4"/>
        <v>0</v>
      </c>
      <c r="BO627" s="2177"/>
      <c r="BP627" s="2177"/>
      <c r="BQ627" s="2177"/>
      <c r="BR627" s="2178"/>
      <c r="BS627" s="2068">
        <f t="shared" si="5"/>
        <v>0</v>
      </c>
      <c r="BT627" s="2068"/>
      <c r="BU627" s="2068"/>
      <c r="BV627" s="2068"/>
      <c r="BW627" s="2068"/>
      <c r="BX627" s="2068">
        <f t="shared" si="6"/>
        <v>0</v>
      </c>
      <c r="BY627" s="2068"/>
      <c r="BZ627" s="2068"/>
      <c r="CA627" s="2068"/>
      <c r="CB627" s="2068"/>
      <c r="CC627" s="2068">
        <f t="shared" si="7"/>
        <v>0</v>
      </c>
      <c r="CD627" s="2068"/>
      <c r="CE627" s="2068"/>
      <c r="CF627" s="2068"/>
      <c r="CG627" s="2068"/>
      <c r="CH627" s="2068">
        <f t="shared" si="8"/>
        <v>0</v>
      </c>
      <c r="CI627" s="2068"/>
      <c r="CJ627" s="2068"/>
      <c r="CK627" s="2068"/>
      <c r="CL627" s="2068"/>
      <c r="CM627" s="2068">
        <f t="shared" si="9"/>
        <v>0</v>
      </c>
      <c r="CN627" s="2068"/>
      <c r="CO627" s="2068"/>
      <c r="CP627" s="2068"/>
      <c r="CQ627" s="2068"/>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10" t="str">
        <f t="shared" si="16"/>
        <v xml:space="preserve"> </v>
      </c>
      <c r="DY627" s="2190"/>
      <c r="DZ627" s="2190"/>
      <c r="EA627" s="2190"/>
      <c r="EB627" s="2011"/>
      <c r="EC627" s="2010" t="str">
        <f t="shared" si="17"/>
        <v xml:space="preserve"> </v>
      </c>
      <c r="ED627" s="2190"/>
      <c r="EE627" s="2190"/>
      <c r="EF627" s="2190"/>
      <c r="EG627" s="2011"/>
      <c r="EH627" s="2010" t="str">
        <f t="shared" si="18"/>
        <v xml:space="preserve"> </v>
      </c>
      <c r="EI627" s="2190"/>
      <c r="EJ627" s="2190"/>
      <c r="EK627" s="2190"/>
      <c r="EL627" s="2011"/>
      <c r="EM627" s="2010" t="str">
        <f t="shared" si="19"/>
        <v xml:space="preserve"> </v>
      </c>
      <c r="EN627" s="2190"/>
      <c r="EO627" s="2190"/>
      <c r="EP627" s="2190"/>
      <c r="EQ627" s="2011"/>
      <c r="ER627" s="2010" t="str">
        <f t="shared" si="20"/>
        <v xml:space="preserve"> </v>
      </c>
      <c r="ES627" s="2190"/>
      <c r="ET627" s="2190"/>
      <c r="EU627" s="2190"/>
      <c r="EV627" s="2011"/>
      <c r="EW627" s="2010" t="str">
        <f t="shared" si="21"/>
        <v xml:space="preserve"> </v>
      </c>
      <c r="EX627" s="2190"/>
      <c r="EY627" s="2190"/>
      <c r="EZ627" s="2190"/>
      <c r="FA627" s="2011"/>
    </row>
    <row r="628" spans="1:157" ht="12.75">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10">
        <f t="shared" si="0"/>
        <v>0</v>
      </c>
      <c r="BF628" s="2011"/>
      <c r="BG628" s="2184">
        <f t="shared" si="1"/>
        <v>0</v>
      </c>
      <c r="BH628" s="2185"/>
      <c r="BI628" s="2010">
        <f t="shared" si="2"/>
        <v>0</v>
      </c>
      <c r="BJ628" s="2011"/>
      <c r="BK628" s="2184">
        <f t="shared" si="3"/>
        <v>0</v>
      </c>
      <c r="BL628" s="2185"/>
      <c r="BM628" s="58"/>
      <c r="BN628" s="2176">
        <f t="shared" si="4"/>
        <v>0</v>
      </c>
      <c r="BO628" s="2177"/>
      <c r="BP628" s="2177"/>
      <c r="BQ628" s="2177"/>
      <c r="BR628" s="2178"/>
      <c r="BS628" s="2068">
        <f t="shared" si="5"/>
        <v>0</v>
      </c>
      <c r="BT628" s="2068"/>
      <c r="BU628" s="2068"/>
      <c r="BV628" s="2068"/>
      <c r="BW628" s="2068"/>
      <c r="BX628" s="2068">
        <f t="shared" si="6"/>
        <v>0</v>
      </c>
      <c r="BY628" s="2068"/>
      <c r="BZ628" s="2068"/>
      <c r="CA628" s="2068"/>
      <c r="CB628" s="2068"/>
      <c r="CC628" s="2068">
        <f t="shared" si="7"/>
        <v>0</v>
      </c>
      <c r="CD628" s="2068"/>
      <c r="CE628" s="2068"/>
      <c r="CF628" s="2068"/>
      <c r="CG628" s="2068"/>
      <c r="CH628" s="2068">
        <f t="shared" si="8"/>
        <v>0</v>
      </c>
      <c r="CI628" s="2068"/>
      <c r="CJ628" s="2068"/>
      <c r="CK628" s="2068"/>
      <c r="CL628" s="2068"/>
      <c r="CM628" s="2068">
        <f t="shared" si="9"/>
        <v>0</v>
      </c>
      <c r="CN628" s="2068"/>
      <c r="CO628" s="2068"/>
      <c r="CP628" s="2068"/>
      <c r="CQ628" s="2068"/>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10" t="str">
        <f t="shared" si="16"/>
        <v xml:space="preserve"> </v>
      </c>
      <c r="DY628" s="2190"/>
      <c r="DZ628" s="2190"/>
      <c r="EA628" s="2190"/>
      <c r="EB628" s="2011"/>
      <c r="EC628" s="2010" t="str">
        <f t="shared" si="17"/>
        <v xml:space="preserve"> </v>
      </c>
      <c r="ED628" s="2190"/>
      <c r="EE628" s="2190"/>
      <c r="EF628" s="2190"/>
      <c r="EG628" s="2011"/>
      <c r="EH628" s="2010" t="str">
        <f t="shared" si="18"/>
        <v xml:space="preserve"> </v>
      </c>
      <c r="EI628" s="2190"/>
      <c r="EJ628" s="2190"/>
      <c r="EK628" s="2190"/>
      <c r="EL628" s="2011"/>
      <c r="EM628" s="2010" t="str">
        <f t="shared" si="19"/>
        <v xml:space="preserve"> </v>
      </c>
      <c r="EN628" s="2190"/>
      <c r="EO628" s="2190"/>
      <c r="EP628" s="2190"/>
      <c r="EQ628" s="2011"/>
      <c r="ER628" s="2010" t="str">
        <f t="shared" si="20"/>
        <v xml:space="preserve"> </v>
      </c>
      <c r="ES628" s="2190"/>
      <c r="ET628" s="2190"/>
      <c r="EU628" s="2190"/>
      <c r="EV628" s="2011"/>
      <c r="EW628" s="2010" t="str">
        <f t="shared" si="21"/>
        <v xml:space="preserve"> </v>
      </c>
      <c r="EX628" s="2190"/>
      <c r="EY628" s="2190"/>
      <c r="EZ628" s="2190"/>
      <c r="FA628" s="2011"/>
    </row>
    <row r="629" spans="1:157" ht="12.75">
      <c r="A629" s="25"/>
      <c r="B629" s="25"/>
      <c r="C629" s="25"/>
      <c r="D629" s="25"/>
      <c r="E629" s="25"/>
      <c r="F629" s="25"/>
      <c r="G629" s="3"/>
      <c r="H629" s="25"/>
      <c r="AZ629" s="58"/>
      <c r="BA629" s="58"/>
      <c r="BB629" s="58"/>
      <c r="BC629" s="58"/>
      <c r="BD629" s="58"/>
      <c r="BE629" s="2010">
        <f t="shared" si="0"/>
        <v>0</v>
      </c>
      <c r="BF629" s="2011"/>
      <c r="BG629" s="2184">
        <f t="shared" si="1"/>
        <v>0</v>
      </c>
      <c r="BH629" s="2185"/>
      <c r="BI629" s="2010">
        <f t="shared" si="2"/>
        <v>0</v>
      </c>
      <c r="BJ629" s="2011"/>
      <c r="BK629" s="2184">
        <f t="shared" si="3"/>
        <v>0</v>
      </c>
      <c r="BL629" s="2185"/>
      <c r="BM629" s="58"/>
      <c r="BN629" s="2176">
        <f t="shared" si="4"/>
        <v>0</v>
      </c>
      <c r="BO629" s="2177"/>
      <c r="BP629" s="2177"/>
      <c r="BQ629" s="2177"/>
      <c r="BR629" s="2178"/>
      <c r="BS629" s="2068">
        <f t="shared" si="5"/>
        <v>0</v>
      </c>
      <c r="BT629" s="2068"/>
      <c r="BU629" s="2068"/>
      <c r="BV629" s="2068"/>
      <c r="BW629" s="2068"/>
      <c r="BX629" s="2068">
        <f t="shared" si="6"/>
        <v>0</v>
      </c>
      <c r="BY629" s="2068"/>
      <c r="BZ629" s="2068"/>
      <c r="CA629" s="2068"/>
      <c r="CB629" s="2068"/>
      <c r="CC629" s="2068">
        <f t="shared" si="7"/>
        <v>0</v>
      </c>
      <c r="CD629" s="2068"/>
      <c r="CE629" s="2068"/>
      <c r="CF629" s="2068"/>
      <c r="CG629" s="2068"/>
      <c r="CH629" s="2068">
        <f t="shared" si="8"/>
        <v>0</v>
      </c>
      <c r="CI629" s="2068"/>
      <c r="CJ629" s="2068"/>
      <c r="CK629" s="2068"/>
      <c r="CL629" s="2068"/>
      <c r="CM629" s="2068">
        <f t="shared" si="9"/>
        <v>0</v>
      </c>
      <c r="CN629" s="2068"/>
      <c r="CO629" s="2068"/>
      <c r="CP629" s="2068"/>
      <c r="CQ629" s="2068"/>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10" t="str">
        <f t="shared" si="16"/>
        <v xml:space="preserve"> </v>
      </c>
      <c r="DY629" s="2190"/>
      <c r="DZ629" s="2190"/>
      <c r="EA629" s="2190"/>
      <c r="EB629" s="2011"/>
      <c r="EC629" s="2010" t="str">
        <f t="shared" si="17"/>
        <v xml:space="preserve"> </v>
      </c>
      <c r="ED629" s="2190"/>
      <c r="EE629" s="2190"/>
      <c r="EF629" s="2190"/>
      <c r="EG629" s="2011"/>
      <c r="EH629" s="2010" t="str">
        <f t="shared" si="18"/>
        <v xml:space="preserve"> </v>
      </c>
      <c r="EI629" s="2190"/>
      <c r="EJ629" s="2190"/>
      <c r="EK629" s="2190"/>
      <c r="EL629" s="2011"/>
      <c r="EM629" s="2010" t="str">
        <f t="shared" si="19"/>
        <v xml:space="preserve"> </v>
      </c>
      <c r="EN629" s="2190"/>
      <c r="EO629" s="2190"/>
      <c r="EP629" s="2190"/>
      <c r="EQ629" s="2011"/>
      <c r="ER629" s="2010" t="str">
        <f t="shared" si="20"/>
        <v xml:space="preserve"> </v>
      </c>
      <c r="ES629" s="2190"/>
      <c r="ET629" s="2190"/>
      <c r="EU629" s="2190"/>
      <c r="EV629" s="2011"/>
      <c r="EW629" s="2010" t="str">
        <f t="shared" si="21"/>
        <v xml:space="preserve"> </v>
      </c>
      <c r="EX629" s="2190"/>
      <c r="EY629" s="2190"/>
      <c r="EZ629" s="2190"/>
      <c r="FA629" s="2011"/>
    </row>
    <row r="630" spans="1:157" ht="12.75">
      <c r="A630" s="50" t="s">
        <v>328</v>
      </c>
      <c r="B630" s="50"/>
      <c r="C630" s="50" t="s">
        <v>21</v>
      </c>
      <c r="AZ630" s="58"/>
      <c r="BA630" s="58"/>
      <c r="BB630" s="58"/>
      <c r="BC630" s="58"/>
      <c r="BD630" s="58"/>
      <c r="BE630" s="2010">
        <f t="shared" si="0"/>
        <v>0</v>
      </c>
      <c r="BF630" s="2011"/>
      <c r="BG630" s="2184">
        <f t="shared" si="1"/>
        <v>0</v>
      </c>
      <c r="BH630" s="2185"/>
      <c r="BI630" s="2010">
        <f t="shared" si="2"/>
        <v>0</v>
      </c>
      <c r="BJ630" s="2011"/>
      <c r="BK630" s="2184">
        <f t="shared" si="3"/>
        <v>0</v>
      </c>
      <c r="BL630" s="2185"/>
      <c r="BM630" s="58"/>
      <c r="BN630" s="2176">
        <f t="shared" si="4"/>
        <v>0</v>
      </c>
      <c r="BO630" s="2177"/>
      <c r="BP630" s="2177"/>
      <c r="BQ630" s="2177"/>
      <c r="BR630" s="2178"/>
      <c r="BS630" s="2068">
        <f t="shared" si="5"/>
        <v>0</v>
      </c>
      <c r="BT630" s="2068"/>
      <c r="BU630" s="2068"/>
      <c r="BV630" s="2068"/>
      <c r="BW630" s="2068"/>
      <c r="BX630" s="2068">
        <f t="shared" si="6"/>
        <v>0</v>
      </c>
      <c r="BY630" s="2068"/>
      <c r="BZ630" s="2068"/>
      <c r="CA630" s="2068"/>
      <c r="CB630" s="2068"/>
      <c r="CC630" s="2068">
        <f t="shared" si="7"/>
        <v>0</v>
      </c>
      <c r="CD630" s="2068"/>
      <c r="CE630" s="2068"/>
      <c r="CF630" s="2068"/>
      <c r="CG630" s="2068"/>
      <c r="CH630" s="2068">
        <f t="shared" si="8"/>
        <v>0</v>
      </c>
      <c r="CI630" s="2068"/>
      <c r="CJ630" s="2068"/>
      <c r="CK630" s="2068"/>
      <c r="CL630" s="2068"/>
      <c r="CM630" s="2068">
        <f t="shared" si="9"/>
        <v>0</v>
      </c>
      <c r="CN630" s="2068"/>
      <c r="CO630" s="2068"/>
      <c r="CP630" s="2068"/>
      <c r="CQ630" s="2068"/>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10" t="str">
        <f t="shared" si="16"/>
        <v xml:space="preserve"> </v>
      </c>
      <c r="DY630" s="2190"/>
      <c r="DZ630" s="2190"/>
      <c r="EA630" s="2190"/>
      <c r="EB630" s="2011"/>
      <c r="EC630" s="2010" t="str">
        <f t="shared" si="17"/>
        <v xml:space="preserve"> </v>
      </c>
      <c r="ED630" s="2190"/>
      <c r="EE630" s="2190"/>
      <c r="EF630" s="2190"/>
      <c r="EG630" s="2011"/>
      <c r="EH630" s="2010" t="str">
        <f t="shared" si="18"/>
        <v xml:space="preserve"> </v>
      </c>
      <c r="EI630" s="2190"/>
      <c r="EJ630" s="2190"/>
      <c r="EK630" s="2190"/>
      <c r="EL630" s="2011"/>
      <c r="EM630" s="2010" t="str">
        <f t="shared" si="19"/>
        <v xml:space="preserve"> </v>
      </c>
      <c r="EN630" s="2190"/>
      <c r="EO630" s="2190"/>
      <c r="EP630" s="2190"/>
      <c r="EQ630" s="2011"/>
      <c r="ER630" s="2010" t="str">
        <f t="shared" si="20"/>
        <v xml:space="preserve"> </v>
      </c>
      <c r="ES630" s="2190"/>
      <c r="ET630" s="2190"/>
      <c r="EU630" s="2190"/>
      <c r="EV630" s="2011"/>
      <c r="EW630" s="2010" t="str">
        <f t="shared" si="21"/>
        <v xml:space="preserve"> </v>
      </c>
      <c r="EX630" s="2190"/>
      <c r="EY630" s="2190"/>
      <c r="EZ630" s="2190"/>
      <c r="FA630" s="2011"/>
    </row>
    <row r="631" spans="1:157" ht="12.75">
      <c r="A631" s="50"/>
      <c r="B631" s="50"/>
      <c r="C631" s="50"/>
      <c r="AZ631" s="58"/>
      <c r="BA631" s="58"/>
      <c r="BB631" s="58"/>
      <c r="BC631" s="58"/>
      <c r="BD631" s="58"/>
      <c r="BE631" s="2010">
        <f t="shared" si="0"/>
        <v>0</v>
      </c>
      <c r="BF631" s="2011"/>
      <c r="BG631" s="2184">
        <f t="shared" si="1"/>
        <v>0</v>
      </c>
      <c r="BH631" s="2185"/>
      <c r="BI631" s="2010">
        <f t="shared" si="2"/>
        <v>0</v>
      </c>
      <c r="BJ631" s="2011"/>
      <c r="BK631" s="2184">
        <f t="shared" si="3"/>
        <v>0</v>
      </c>
      <c r="BL631" s="2185"/>
      <c r="BM631" s="58"/>
      <c r="BN631" s="2176">
        <f t="shared" si="4"/>
        <v>0</v>
      </c>
      <c r="BO631" s="2177"/>
      <c r="BP631" s="2177"/>
      <c r="BQ631" s="2177"/>
      <c r="BR631" s="2178"/>
      <c r="BS631" s="2068">
        <f t="shared" si="5"/>
        <v>0</v>
      </c>
      <c r="BT631" s="2068"/>
      <c r="BU631" s="2068"/>
      <c r="BV631" s="2068"/>
      <c r="BW631" s="2068"/>
      <c r="BX631" s="2068">
        <f t="shared" si="6"/>
        <v>0</v>
      </c>
      <c r="BY631" s="2068"/>
      <c r="BZ631" s="2068"/>
      <c r="CA631" s="2068"/>
      <c r="CB631" s="2068"/>
      <c r="CC631" s="2068">
        <f t="shared" si="7"/>
        <v>0</v>
      </c>
      <c r="CD631" s="2068"/>
      <c r="CE631" s="2068"/>
      <c r="CF631" s="2068"/>
      <c r="CG631" s="2068"/>
      <c r="CH631" s="2068">
        <f t="shared" si="8"/>
        <v>0</v>
      </c>
      <c r="CI631" s="2068"/>
      <c r="CJ631" s="2068"/>
      <c r="CK631" s="2068"/>
      <c r="CL631" s="2068"/>
      <c r="CM631" s="2068">
        <f t="shared" si="9"/>
        <v>0</v>
      </c>
      <c r="CN631" s="2068"/>
      <c r="CO631" s="2068"/>
      <c r="CP631" s="2068"/>
      <c r="CQ631" s="2068"/>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10" t="str">
        <f t="shared" si="16"/>
        <v xml:space="preserve"> </v>
      </c>
      <c r="DY631" s="2190"/>
      <c r="DZ631" s="2190"/>
      <c r="EA631" s="2190"/>
      <c r="EB631" s="2011"/>
      <c r="EC631" s="2010" t="str">
        <f t="shared" si="17"/>
        <v xml:space="preserve"> </v>
      </c>
      <c r="ED631" s="2190"/>
      <c r="EE631" s="2190"/>
      <c r="EF631" s="2190"/>
      <c r="EG631" s="2011"/>
      <c r="EH631" s="2010" t="str">
        <f t="shared" si="18"/>
        <v xml:space="preserve"> </v>
      </c>
      <c r="EI631" s="2190"/>
      <c r="EJ631" s="2190"/>
      <c r="EK631" s="2190"/>
      <c r="EL631" s="2011"/>
      <c r="EM631" s="2010" t="str">
        <f t="shared" si="19"/>
        <v xml:space="preserve"> </v>
      </c>
      <c r="EN631" s="2190"/>
      <c r="EO631" s="2190"/>
      <c r="EP631" s="2190"/>
      <c r="EQ631" s="2011"/>
      <c r="ER631" s="2010" t="str">
        <f t="shared" si="20"/>
        <v xml:space="preserve"> </v>
      </c>
      <c r="ES631" s="2190"/>
      <c r="ET631" s="2190"/>
      <c r="EU631" s="2190"/>
      <c r="EV631" s="2011"/>
      <c r="EW631" s="2010" t="str">
        <f t="shared" si="21"/>
        <v xml:space="preserve"> </v>
      </c>
      <c r="EX631" s="2190"/>
      <c r="EY631" s="2190"/>
      <c r="EZ631" s="2190"/>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184">
        <f t="shared" si="1"/>
        <v>0</v>
      </c>
      <c r="BH632" s="2185"/>
      <c r="BI632" s="2010">
        <f t="shared" si="2"/>
        <v>0</v>
      </c>
      <c r="BJ632" s="2011"/>
      <c r="BK632" s="2184">
        <f t="shared" si="3"/>
        <v>0</v>
      </c>
      <c r="BL632" s="2185"/>
      <c r="BM632" s="58"/>
      <c r="BN632" s="2176">
        <f t="shared" si="4"/>
        <v>0</v>
      </c>
      <c r="BO632" s="2177"/>
      <c r="BP632" s="2177"/>
      <c r="BQ632" s="2177"/>
      <c r="BR632" s="2178"/>
      <c r="BS632" s="2068">
        <f t="shared" si="5"/>
        <v>0</v>
      </c>
      <c r="BT632" s="2068"/>
      <c r="BU632" s="2068"/>
      <c r="BV632" s="2068"/>
      <c r="BW632" s="2068"/>
      <c r="BX632" s="2068">
        <f t="shared" si="6"/>
        <v>0</v>
      </c>
      <c r="BY632" s="2068"/>
      <c r="BZ632" s="2068"/>
      <c r="CA632" s="2068"/>
      <c r="CB632" s="2068"/>
      <c r="CC632" s="2068">
        <f t="shared" si="7"/>
        <v>0</v>
      </c>
      <c r="CD632" s="2068"/>
      <c r="CE632" s="2068"/>
      <c r="CF632" s="2068"/>
      <c r="CG632" s="2068"/>
      <c r="CH632" s="2068">
        <f t="shared" si="8"/>
        <v>0</v>
      </c>
      <c r="CI632" s="2068"/>
      <c r="CJ632" s="2068"/>
      <c r="CK632" s="2068"/>
      <c r="CL632" s="2068"/>
      <c r="CM632" s="2068">
        <f t="shared" si="9"/>
        <v>0</v>
      </c>
      <c r="CN632" s="2068"/>
      <c r="CO632" s="2068"/>
      <c r="CP632" s="2068"/>
      <c r="CQ632" s="2068"/>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10" t="str">
        <f t="shared" si="16"/>
        <v xml:space="preserve"> </v>
      </c>
      <c r="DY632" s="2190"/>
      <c r="DZ632" s="2190"/>
      <c r="EA632" s="2190"/>
      <c r="EB632" s="2011"/>
      <c r="EC632" s="2010" t="str">
        <f t="shared" si="17"/>
        <v xml:space="preserve"> </v>
      </c>
      <c r="ED632" s="2190"/>
      <c r="EE632" s="2190"/>
      <c r="EF632" s="2190"/>
      <c r="EG632" s="2011"/>
      <c r="EH632" s="2010" t="str">
        <f t="shared" si="18"/>
        <v xml:space="preserve"> </v>
      </c>
      <c r="EI632" s="2190"/>
      <c r="EJ632" s="2190"/>
      <c r="EK632" s="2190"/>
      <c r="EL632" s="2011"/>
      <c r="EM632" s="2010" t="str">
        <f t="shared" si="19"/>
        <v xml:space="preserve"> </v>
      </c>
      <c r="EN632" s="2190"/>
      <c r="EO632" s="2190"/>
      <c r="EP632" s="2190"/>
      <c r="EQ632" s="2011"/>
      <c r="ER632" s="2010" t="str">
        <f t="shared" si="20"/>
        <v xml:space="preserve"> </v>
      </c>
      <c r="ES632" s="2190"/>
      <c r="ET632" s="2190"/>
      <c r="EU632" s="2190"/>
      <c r="EV632" s="2011"/>
      <c r="EW632" s="2010" t="str">
        <f t="shared" si="21"/>
        <v xml:space="preserve"> </v>
      </c>
      <c r="EX632" s="2190"/>
      <c r="EY632" s="2190"/>
      <c r="EZ632" s="2190"/>
      <c r="FA632" s="201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184">
        <f t="shared" si="1"/>
        <v>0</v>
      </c>
      <c r="BH633" s="2185"/>
      <c r="BI633" s="2010">
        <f t="shared" si="2"/>
        <v>0</v>
      </c>
      <c r="BJ633" s="2011"/>
      <c r="BK633" s="2184">
        <f t="shared" si="3"/>
        <v>0</v>
      </c>
      <c r="BL633" s="2185"/>
      <c r="BM633" s="58"/>
      <c r="BN633" s="2176">
        <f t="shared" si="4"/>
        <v>0</v>
      </c>
      <c r="BO633" s="2177"/>
      <c r="BP633" s="2177"/>
      <c r="BQ633" s="2177"/>
      <c r="BR633" s="2178"/>
      <c r="BS633" s="2068">
        <f t="shared" si="5"/>
        <v>0</v>
      </c>
      <c r="BT633" s="2068"/>
      <c r="BU633" s="2068"/>
      <c r="BV633" s="2068"/>
      <c r="BW633" s="2068"/>
      <c r="BX633" s="2068">
        <f t="shared" si="6"/>
        <v>0</v>
      </c>
      <c r="BY633" s="2068"/>
      <c r="BZ633" s="2068"/>
      <c r="CA633" s="2068"/>
      <c r="CB633" s="2068"/>
      <c r="CC633" s="2068">
        <f t="shared" si="7"/>
        <v>0</v>
      </c>
      <c r="CD633" s="2068"/>
      <c r="CE633" s="2068"/>
      <c r="CF633" s="2068"/>
      <c r="CG633" s="2068"/>
      <c r="CH633" s="2068">
        <f t="shared" si="8"/>
        <v>0</v>
      </c>
      <c r="CI633" s="2068"/>
      <c r="CJ633" s="2068"/>
      <c r="CK633" s="2068"/>
      <c r="CL633" s="2068"/>
      <c r="CM633" s="2068">
        <f t="shared" si="9"/>
        <v>0</v>
      </c>
      <c r="CN633" s="2068"/>
      <c r="CO633" s="2068"/>
      <c r="CP633" s="2068"/>
      <c r="CQ633" s="2068"/>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10" t="str">
        <f t="shared" si="16"/>
        <v xml:space="preserve"> </v>
      </c>
      <c r="DY633" s="2190"/>
      <c r="DZ633" s="2190"/>
      <c r="EA633" s="2190"/>
      <c r="EB633" s="2011"/>
      <c r="EC633" s="2010" t="str">
        <f t="shared" si="17"/>
        <v xml:space="preserve"> </v>
      </c>
      <c r="ED633" s="2190"/>
      <c r="EE633" s="2190"/>
      <c r="EF633" s="2190"/>
      <c r="EG633" s="2011"/>
      <c r="EH633" s="2010" t="str">
        <f t="shared" si="18"/>
        <v xml:space="preserve"> </v>
      </c>
      <c r="EI633" s="2190"/>
      <c r="EJ633" s="2190"/>
      <c r="EK633" s="2190"/>
      <c r="EL633" s="2011"/>
      <c r="EM633" s="2010" t="str">
        <f t="shared" si="19"/>
        <v xml:space="preserve"> </v>
      </c>
      <c r="EN633" s="2190"/>
      <c r="EO633" s="2190"/>
      <c r="EP633" s="2190"/>
      <c r="EQ633" s="2011"/>
      <c r="ER633" s="2010" t="str">
        <f t="shared" si="20"/>
        <v xml:space="preserve"> </v>
      </c>
      <c r="ES633" s="2190"/>
      <c r="ET633" s="2190"/>
      <c r="EU633" s="2190"/>
      <c r="EV633" s="2011"/>
      <c r="EW633" s="2010" t="str">
        <f t="shared" si="21"/>
        <v xml:space="preserve"> </v>
      </c>
      <c r="EX633" s="2190"/>
      <c r="EY633" s="2190"/>
      <c r="EZ633" s="2190"/>
      <c r="FA633" s="2011"/>
    </row>
    <row r="634" spans="1:157" s="1821" customFormat="1" ht="12.75" customHeight="1">
      <c r="B634" s="2348" t="s">
        <v>483</v>
      </c>
      <c r="C634" s="2349"/>
      <c r="D634" s="2349"/>
      <c r="E634" s="2349"/>
      <c r="F634" s="2349"/>
      <c r="G634" s="2349"/>
      <c r="H634" s="2349"/>
      <c r="I634" s="2349"/>
      <c r="J634" s="2349"/>
      <c r="K634" s="2349"/>
      <c r="L634" s="2349"/>
      <c r="M634" s="2349"/>
      <c r="N634" s="2350"/>
      <c r="O634" s="2256" t="s">
        <v>2378</v>
      </c>
      <c r="P634" s="2089"/>
      <c r="Q634" s="2090"/>
      <c r="R634" s="2256" t="s">
        <v>2376</v>
      </c>
      <c r="S634" s="2089"/>
      <c r="T634" s="2090"/>
      <c r="U634" s="2237" t="s">
        <v>484</v>
      </c>
      <c r="V634" s="2237"/>
      <c r="W634" s="2238"/>
      <c r="X634" s="2256" t="s">
        <v>2152</v>
      </c>
      <c r="Y634" s="2089"/>
      <c r="Z634" s="2089"/>
      <c r="AA634" s="2089"/>
      <c r="AB634" s="2090"/>
      <c r="AC634" s="2410" t="s">
        <v>2150</v>
      </c>
      <c r="AD634" s="2411"/>
      <c r="AE634" s="2412"/>
      <c r="AF634" s="2256" t="s">
        <v>2153</v>
      </c>
      <c r="AG634" s="2089"/>
      <c r="AH634" s="2089"/>
      <c r="AI634" s="2089"/>
      <c r="AJ634" s="2090"/>
      <c r="AK634" s="2397" t="s">
        <v>2154</v>
      </c>
      <c r="AL634" s="2398"/>
      <c r="AM634" s="2398"/>
      <c r="AN634" s="2399"/>
      <c r="AO634" s="2266" t="s">
        <v>485</v>
      </c>
      <c r="AP634" s="2266"/>
      <c r="AQ634" s="2266"/>
      <c r="AR634" s="2266"/>
      <c r="AS634" s="2266"/>
      <c r="AT634" s="1822"/>
      <c r="AU634" s="1822"/>
      <c r="AV634" s="1822"/>
      <c r="AW634" s="1822"/>
      <c r="AX634" s="1822"/>
      <c r="AY634" s="1822"/>
      <c r="AZ634" s="181"/>
      <c r="BA634" s="181"/>
      <c r="BB634" s="181"/>
      <c r="BC634" s="181"/>
      <c r="BD634" s="181"/>
      <c r="BE634" s="2010">
        <f t="shared" si="0"/>
        <v>0</v>
      </c>
      <c r="BF634" s="2011"/>
      <c r="BG634" s="2184">
        <f t="shared" si="1"/>
        <v>0</v>
      </c>
      <c r="BH634" s="2185"/>
      <c r="BI634" s="2010">
        <f t="shared" si="2"/>
        <v>0</v>
      </c>
      <c r="BJ634" s="2011"/>
      <c r="BK634" s="2184">
        <f t="shared" si="3"/>
        <v>0</v>
      </c>
      <c r="BL634" s="2185"/>
      <c r="BM634" s="181"/>
      <c r="BN634" s="2176">
        <f t="shared" si="4"/>
        <v>0</v>
      </c>
      <c r="BO634" s="2177"/>
      <c r="BP634" s="2177"/>
      <c r="BQ634" s="2177"/>
      <c r="BR634" s="2178"/>
      <c r="BS634" s="2068">
        <f t="shared" si="5"/>
        <v>0</v>
      </c>
      <c r="BT634" s="2068"/>
      <c r="BU634" s="2068"/>
      <c r="BV634" s="2068"/>
      <c r="BW634" s="2068"/>
      <c r="BX634" s="2068">
        <f t="shared" si="6"/>
        <v>0</v>
      </c>
      <c r="BY634" s="2068"/>
      <c r="BZ634" s="2068"/>
      <c r="CA634" s="2068"/>
      <c r="CB634" s="2068"/>
      <c r="CC634" s="2068">
        <f t="shared" si="7"/>
        <v>0</v>
      </c>
      <c r="CD634" s="2068"/>
      <c r="CE634" s="2068"/>
      <c r="CF634" s="2068"/>
      <c r="CG634" s="2068"/>
      <c r="CH634" s="2068">
        <f t="shared" si="8"/>
        <v>0</v>
      </c>
      <c r="CI634" s="2068"/>
      <c r="CJ634" s="2068"/>
      <c r="CK634" s="2068"/>
      <c r="CL634" s="2068"/>
      <c r="CM634" s="2068">
        <f t="shared" si="9"/>
        <v>0</v>
      </c>
      <c r="CN634" s="2068"/>
      <c r="CO634" s="2068"/>
      <c r="CP634" s="2068"/>
      <c r="CQ634" s="2068"/>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10" t="str">
        <f t="shared" si="16"/>
        <v xml:space="preserve"> </v>
      </c>
      <c r="DY634" s="2190"/>
      <c r="DZ634" s="2190"/>
      <c r="EA634" s="2190"/>
      <c r="EB634" s="2011"/>
      <c r="EC634" s="2010" t="str">
        <f t="shared" si="17"/>
        <v xml:space="preserve"> </v>
      </c>
      <c r="ED634" s="2190"/>
      <c r="EE634" s="2190"/>
      <c r="EF634" s="2190"/>
      <c r="EG634" s="2011"/>
      <c r="EH634" s="2010" t="str">
        <f t="shared" si="18"/>
        <v xml:space="preserve"> </v>
      </c>
      <c r="EI634" s="2190"/>
      <c r="EJ634" s="2190"/>
      <c r="EK634" s="2190"/>
      <c r="EL634" s="2011"/>
      <c r="EM634" s="2010" t="str">
        <f t="shared" si="19"/>
        <v xml:space="preserve"> </v>
      </c>
      <c r="EN634" s="2190"/>
      <c r="EO634" s="2190"/>
      <c r="EP634" s="2190"/>
      <c r="EQ634" s="2011"/>
      <c r="ER634" s="2010" t="str">
        <f t="shared" si="20"/>
        <v xml:space="preserve"> </v>
      </c>
      <c r="ES634" s="2190"/>
      <c r="ET634" s="2190"/>
      <c r="EU634" s="2190"/>
      <c r="EV634" s="2011"/>
      <c r="EW634" s="2010" t="str">
        <f t="shared" si="21"/>
        <v xml:space="preserve"> </v>
      </c>
      <c r="EX634" s="2190"/>
      <c r="EY634" s="2190"/>
      <c r="EZ634" s="2190"/>
      <c r="FA634" s="2011"/>
    </row>
    <row r="635" spans="1:157" s="1821" customFormat="1" ht="12.75">
      <c r="B635" s="2565"/>
      <c r="C635" s="2231"/>
      <c r="D635" s="2231"/>
      <c r="E635" s="2231"/>
      <c r="F635" s="2231"/>
      <c r="G635" s="2231"/>
      <c r="H635" s="2231"/>
      <c r="I635" s="2231"/>
      <c r="J635" s="2231"/>
      <c r="K635" s="2231"/>
      <c r="L635" s="2231"/>
      <c r="M635" s="2231"/>
      <c r="N635" s="2566"/>
      <c r="O635" s="2257"/>
      <c r="P635" s="2258"/>
      <c r="Q635" s="2259"/>
      <c r="R635" s="2257"/>
      <c r="S635" s="2258"/>
      <c r="T635" s="2259"/>
      <c r="U635" s="2239"/>
      <c r="V635" s="2239"/>
      <c r="W635" s="2240"/>
      <c r="X635" s="2257"/>
      <c r="Y635" s="2258"/>
      <c r="Z635" s="2258"/>
      <c r="AA635" s="2258"/>
      <c r="AB635" s="2259"/>
      <c r="AC635" s="2413"/>
      <c r="AD635" s="2414"/>
      <c r="AE635" s="2415"/>
      <c r="AF635" s="2257"/>
      <c r="AG635" s="2258"/>
      <c r="AH635" s="2258"/>
      <c r="AI635" s="2258"/>
      <c r="AJ635" s="2259"/>
      <c r="AK635" s="2400"/>
      <c r="AL635" s="2401"/>
      <c r="AM635" s="2401"/>
      <c r="AN635" s="2402"/>
      <c r="AO635" s="2266"/>
      <c r="AP635" s="2266"/>
      <c r="AQ635" s="2266"/>
      <c r="AR635" s="2266"/>
      <c r="AS635" s="2266"/>
      <c r="AT635" s="1822"/>
      <c r="AU635" s="1822"/>
      <c r="AV635" s="1822"/>
      <c r="AW635" s="1822"/>
      <c r="AX635" s="1822"/>
      <c r="AY635" s="1822"/>
      <c r="AZ635" s="181"/>
      <c r="BA635" s="181"/>
      <c r="BB635" s="181"/>
      <c r="BC635" s="181"/>
      <c r="BD635" s="181"/>
      <c r="BE635" s="181"/>
      <c r="BF635" s="181"/>
      <c r="BG635" s="2010">
        <f>SUM(BG610:BH634)</f>
        <v>60</v>
      </c>
      <c r="BH635" s="2011"/>
      <c r="BI635" s="181"/>
      <c r="BJ635" s="181"/>
      <c r="BK635" s="2010">
        <f>SUM(BK610:BL634)</f>
        <v>29</v>
      </c>
      <c r="BL635" s="2011"/>
      <c r="BM635" s="181"/>
      <c r="BN635" s="2010">
        <f>SUM(BN610:BR634)</f>
        <v>0</v>
      </c>
      <c r="BO635" s="2190"/>
      <c r="BP635" s="2190"/>
      <c r="BQ635" s="2190"/>
      <c r="BR635" s="2011"/>
      <c r="BS635" s="2191">
        <f>SUM(BS610:BW634)</f>
        <v>72</v>
      </c>
      <c r="BT635" s="2191"/>
      <c r="BU635" s="2191"/>
      <c r="BV635" s="2191"/>
      <c r="BW635" s="2191"/>
      <c r="BX635" s="2191">
        <f>SUM(BX610:CB634)</f>
        <v>141</v>
      </c>
      <c r="BY635" s="2191"/>
      <c r="BZ635" s="2191"/>
      <c r="CA635" s="2191"/>
      <c r="CB635" s="2191"/>
      <c r="CC635" s="2191">
        <f>SUM(CC610:CG634)</f>
        <v>72</v>
      </c>
      <c r="CD635" s="2191"/>
      <c r="CE635" s="2191"/>
      <c r="CF635" s="2191"/>
      <c r="CG635" s="2191"/>
      <c r="CH635" s="2191">
        <f>SUM(CH610:CL634)</f>
        <v>0</v>
      </c>
      <c r="CI635" s="2191"/>
      <c r="CJ635" s="2191"/>
      <c r="CK635" s="2191"/>
      <c r="CL635" s="2191"/>
      <c r="CM635" s="2191">
        <f>SUM(CM610:CQ634)</f>
        <v>0</v>
      </c>
      <c r="CN635" s="2191"/>
      <c r="CO635" s="2191"/>
      <c r="CP635" s="2191"/>
      <c r="CQ635" s="2191"/>
      <c r="CR635" s="697"/>
      <c r="CS635" s="2191">
        <f>SUM(CS610:CW634)</f>
        <v>0</v>
      </c>
      <c r="CT635" s="2191"/>
      <c r="CU635" s="2191"/>
      <c r="CV635" s="2191"/>
      <c r="CW635" s="2191"/>
      <c r="CX635" s="2191">
        <f>SUM(CX610:DB634)</f>
        <v>7</v>
      </c>
      <c r="CY635" s="2191"/>
      <c r="CZ635" s="2191"/>
      <c r="DA635" s="2191"/>
      <c r="DB635" s="2191"/>
      <c r="DC635" s="2191">
        <f>SUM(DC610:DG634)</f>
        <v>15</v>
      </c>
      <c r="DD635" s="2191"/>
      <c r="DE635" s="2191"/>
      <c r="DF635" s="2191"/>
      <c r="DG635" s="2191"/>
      <c r="DH635" s="2191">
        <f>SUM(DH610:DL634)</f>
        <v>7</v>
      </c>
      <c r="DI635" s="2191"/>
      <c r="DJ635" s="2191"/>
      <c r="DK635" s="2191"/>
      <c r="DL635" s="2191"/>
      <c r="DM635" s="2191">
        <f>SUM(DM610:DQ634)</f>
        <v>0</v>
      </c>
      <c r="DN635" s="2191"/>
      <c r="DO635" s="2191"/>
      <c r="DP635" s="2191"/>
      <c r="DQ635" s="2191"/>
      <c r="DR635" s="2191">
        <f>SUM(DR610:DV634)</f>
        <v>0</v>
      </c>
      <c r="DS635" s="2191"/>
      <c r="DT635" s="2191"/>
      <c r="DU635" s="2191"/>
      <c r="DV635" s="2191"/>
      <c r="DX635" s="2191">
        <f>SUM(DX610:EB634)</f>
        <v>0</v>
      </c>
      <c r="DY635" s="2191"/>
      <c r="DZ635" s="2191"/>
      <c r="EA635" s="2191"/>
      <c r="EB635" s="2191"/>
      <c r="EC635" s="2191">
        <f>SUM(EC610:EG634)</f>
        <v>3374</v>
      </c>
      <c r="ED635" s="2191"/>
      <c r="EE635" s="2191"/>
      <c r="EF635" s="2191"/>
      <c r="EG635" s="2191"/>
      <c r="EH635" s="2191">
        <f>SUM(EH610:EL634)</f>
        <v>4004</v>
      </c>
      <c r="EI635" s="2191"/>
      <c r="EJ635" s="2191"/>
      <c r="EK635" s="2191"/>
      <c r="EL635" s="2191"/>
      <c r="EM635" s="2191">
        <f>SUM(EM610:EQ634)</f>
        <v>4574</v>
      </c>
      <c r="EN635" s="2191"/>
      <c r="EO635" s="2191"/>
      <c r="EP635" s="2191"/>
      <c r="EQ635" s="2191"/>
      <c r="ER635" s="2191">
        <f>SUM(ER610:EV634)</f>
        <v>0</v>
      </c>
      <c r="ES635" s="2191"/>
      <c r="ET635" s="2191"/>
      <c r="EU635" s="2191"/>
      <c r="EV635" s="2191"/>
      <c r="EW635" s="2191">
        <f>SUM(EW610:FA634)</f>
        <v>0</v>
      </c>
      <c r="EX635" s="2191"/>
      <c r="EY635" s="2191"/>
      <c r="EZ635" s="2191"/>
      <c r="FA635" s="2191"/>
    </row>
    <row r="636" spans="1:157" s="1821" customFormat="1" ht="12.75">
      <c r="B636" s="2567"/>
      <c r="C636" s="2231"/>
      <c r="D636" s="2231"/>
      <c r="E636" s="2231"/>
      <c r="F636" s="2231"/>
      <c r="G636" s="2231"/>
      <c r="H636" s="2231"/>
      <c r="I636" s="2231"/>
      <c r="J636" s="2231"/>
      <c r="K636" s="2231"/>
      <c r="L636" s="2231"/>
      <c r="M636" s="2231"/>
      <c r="N636" s="2566"/>
      <c r="O636" s="2260"/>
      <c r="P636" s="2261"/>
      <c r="Q636" s="2262"/>
      <c r="R636" s="2260"/>
      <c r="S636" s="2261"/>
      <c r="T636" s="2262"/>
      <c r="U636" s="2241"/>
      <c r="V636" s="2241"/>
      <c r="W636" s="2242"/>
      <c r="X636" s="2260"/>
      <c r="Y636" s="2261"/>
      <c r="Z636" s="2261"/>
      <c r="AA636" s="2261"/>
      <c r="AB636" s="2262"/>
      <c r="AC636" s="2416"/>
      <c r="AD636" s="2417"/>
      <c r="AE636" s="2418"/>
      <c r="AF636" s="2260"/>
      <c r="AG636" s="2261"/>
      <c r="AH636" s="2261"/>
      <c r="AI636" s="2261"/>
      <c r="AJ636" s="2262"/>
      <c r="AK636" s="2403"/>
      <c r="AL636" s="2404"/>
      <c r="AM636" s="2404"/>
      <c r="AN636" s="2405"/>
      <c r="AO636" s="2266"/>
      <c r="AP636" s="2266"/>
      <c r="AQ636" s="2266"/>
      <c r="AR636" s="2266"/>
      <c r="AS636" s="226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0">
        <f>BN635+BS635+BX635+CC635+CH635+CM635</f>
        <v>285</v>
      </c>
      <c r="CN636" s="2190"/>
      <c r="CO636" s="2190"/>
      <c r="CP636" s="2190"/>
      <c r="CQ636" s="2011"/>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tr">
        <f>G578</f>
        <v>Citibank -Tranche A - Tax-Exempt</v>
      </c>
      <c r="D637" s="2062"/>
      <c r="E637" s="2062"/>
      <c r="F637" s="2062"/>
      <c r="G637" s="2062"/>
      <c r="H637" s="2062"/>
      <c r="I637" s="2062"/>
      <c r="J637" s="2062"/>
      <c r="K637" s="2062"/>
      <c r="L637" s="2062"/>
      <c r="M637" s="2062"/>
      <c r="N637" s="2236"/>
      <c r="O637" s="2268">
        <v>480</v>
      </c>
      <c r="P637" s="2269"/>
      <c r="Q637" s="2270"/>
      <c r="R637" s="2084">
        <v>40</v>
      </c>
      <c r="S637" s="2085"/>
      <c r="T637" s="2086"/>
      <c r="U637" s="2406">
        <v>4.1500000000000002E-2</v>
      </c>
      <c r="V637" s="2407"/>
      <c r="W637" s="2408"/>
      <c r="X637" s="2321" t="s">
        <v>2151</v>
      </c>
      <c r="Y637" s="2563"/>
      <c r="Z637" s="2563"/>
      <c r="AA637" s="2563"/>
      <c r="AB637" s="2564"/>
      <c r="AC637" s="2101">
        <v>1</v>
      </c>
      <c r="AD637" s="2102"/>
      <c r="AE637" s="2103"/>
      <c r="AF637" s="2263">
        <f>2014937+19793</f>
        <v>2034730</v>
      </c>
      <c r="AG637" s="2264"/>
      <c r="AH637" s="2264"/>
      <c r="AI637" s="2264"/>
      <c r="AJ637" s="2265"/>
      <c r="AK637" s="2365"/>
      <c r="AL637" s="2366"/>
      <c r="AM637" s="2366"/>
      <c r="AN637" s="2367"/>
      <c r="AO637" s="2150">
        <v>39585000</v>
      </c>
      <c r="AP637" s="2150"/>
      <c r="AQ637" s="2150"/>
      <c r="AR637" s="2150"/>
      <c r="AS637" s="215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72</v>
      </c>
      <c r="BX637" s="58"/>
      <c r="BY637" s="58"/>
      <c r="BZ637" s="58"/>
      <c r="CA637" s="58"/>
      <c r="CB637" s="1470">
        <f>BX635*2</f>
        <v>282</v>
      </c>
      <c r="CC637" s="58"/>
      <c r="CD637" s="58"/>
      <c r="CE637" s="58"/>
      <c r="CF637" s="58"/>
      <c r="CG637" s="1470">
        <f>CC635*3</f>
        <v>216</v>
      </c>
      <c r="CH637" s="58"/>
      <c r="CI637" s="58"/>
      <c r="CJ637" s="58"/>
      <c r="CK637" s="58"/>
      <c r="CL637" s="1470">
        <f>CH635*4</f>
        <v>0</v>
      </c>
      <c r="CM637" s="58"/>
      <c r="CN637" s="58"/>
      <c r="CO637" s="58"/>
      <c r="CP637" s="58"/>
      <c r="CQ637" s="1470">
        <f>CM635*5</f>
        <v>0</v>
      </c>
      <c r="CS637" s="1470">
        <f>BR637+BW637+CB637+CG637+CL637+CQ637</f>
        <v>570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2" t="str">
        <f>G587</f>
        <v>USA Properties Fund, Inc.- Tax Exempt B Bond</v>
      </c>
      <c r="D638" s="2062"/>
      <c r="E638" s="2062"/>
      <c r="F638" s="2062"/>
      <c r="G638" s="2062"/>
      <c r="H638" s="2062"/>
      <c r="I638" s="2062"/>
      <c r="J638" s="2062"/>
      <c r="K638" s="2062"/>
      <c r="L638" s="2062"/>
      <c r="M638" s="2062"/>
      <c r="N638" s="2236"/>
      <c r="O638" s="2268">
        <v>660</v>
      </c>
      <c r="P638" s="2269"/>
      <c r="Q638" s="2270"/>
      <c r="R638" s="2087" t="s">
        <v>625</v>
      </c>
      <c r="S638" s="2085"/>
      <c r="T638" s="2086"/>
      <c r="U638" s="2406">
        <v>0.08</v>
      </c>
      <c r="V638" s="2407"/>
      <c r="W638" s="2408"/>
      <c r="X638" s="2321" t="s">
        <v>489</v>
      </c>
      <c r="Y638" s="2563"/>
      <c r="Z638" s="2563"/>
      <c r="AA638" s="2563"/>
      <c r="AB638" s="2564"/>
      <c r="AC638" s="2101">
        <v>2</v>
      </c>
      <c r="AD638" s="2102"/>
      <c r="AE638" s="2103"/>
      <c r="AF638" s="2368" t="s">
        <v>2535</v>
      </c>
      <c r="AG638" s="2264"/>
      <c r="AH638" s="2264"/>
      <c r="AI638" s="2264"/>
      <c r="AJ638" s="2265"/>
      <c r="AK638" s="2365"/>
      <c r="AL638" s="2366"/>
      <c r="AM638" s="2366"/>
      <c r="AN638" s="2367"/>
      <c r="AO638" s="2150">
        <v>2000000</v>
      </c>
      <c r="AP638" s="2150"/>
      <c r="AQ638" s="2150"/>
      <c r="AR638" s="2150"/>
      <c r="AS638" s="215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2" t="e">
        <f t="shared" ref="DX638:DX662" si="22">DX610*(BN610/$BN$635)</f>
        <v>#VALUE!</v>
      </c>
      <c r="DY638" s="2562"/>
      <c r="DZ638" s="2562"/>
      <c r="EA638" s="2562"/>
      <c r="EB638" s="2562"/>
      <c r="EC638" s="2562">
        <f t="shared" ref="EC638:EC662" si="23">EC610*(BS610/$BS$635)</f>
        <v>44.819444444444443</v>
      </c>
      <c r="ED638" s="2562"/>
      <c r="EE638" s="2562"/>
      <c r="EF638" s="2562"/>
      <c r="EG638" s="2562"/>
      <c r="EH638" s="2562" t="e">
        <f t="shared" ref="EH638:EH662" si="24">EH610*(BX610/$BX$635)</f>
        <v>#VALUE!</v>
      </c>
      <c r="EI638" s="2562"/>
      <c r="EJ638" s="2562"/>
      <c r="EK638" s="2562"/>
      <c r="EL638" s="2562"/>
      <c r="EM638" s="2562" t="e">
        <f t="shared" ref="EM638:EM662" si="25">EM610*(CC610/$CC$635)</f>
        <v>#VALUE!</v>
      </c>
      <c r="EN638" s="2562"/>
      <c r="EO638" s="2562"/>
      <c r="EP638" s="2562"/>
      <c r="EQ638" s="2562"/>
      <c r="ER638" s="2562" t="e">
        <f t="shared" ref="ER638:ER662" si="26">ER610*(CH610/$CH$635)</f>
        <v>#VALUE!</v>
      </c>
      <c r="ES638" s="2562"/>
      <c r="ET638" s="2562"/>
      <c r="EU638" s="2562"/>
      <c r="EV638" s="2562"/>
      <c r="EW638" s="2562" t="e">
        <f t="shared" ref="EW638:EW662" si="27">EW610*(CM610/$CM$635)</f>
        <v>#VALUE!</v>
      </c>
      <c r="EX638" s="2562"/>
      <c r="EY638" s="2562"/>
      <c r="EZ638" s="2562"/>
      <c r="FA638" s="2562"/>
    </row>
    <row r="639" spans="1:157" ht="12.75" customHeight="1">
      <c r="B639" s="84" t="s">
        <v>124</v>
      </c>
      <c r="C639" s="2062">
        <f>C567</f>
        <v>0</v>
      </c>
      <c r="D639" s="2062"/>
      <c r="E639" s="2062"/>
      <c r="F639" s="2062"/>
      <c r="G639" s="2062"/>
      <c r="H639" s="2062"/>
      <c r="I639" s="2062"/>
      <c r="J639" s="2062"/>
      <c r="K639" s="2062"/>
      <c r="L639" s="2062"/>
      <c r="M639" s="2062"/>
      <c r="N639" s="2236"/>
      <c r="O639" s="2268"/>
      <c r="P639" s="2269"/>
      <c r="Q639" s="2270"/>
      <c r="R639" s="2084"/>
      <c r="S639" s="2085"/>
      <c r="T639" s="2086"/>
      <c r="U639" s="2406"/>
      <c r="V639" s="2407"/>
      <c r="W639" s="2408"/>
      <c r="X639" s="2321" t="s">
        <v>1383</v>
      </c>
      <c r="Y639" s="2563"/>
      <c r="Z639" s="2563"/>
      <c r="AA639" s="2563"/>
      <c r="AB639" s="2564"/>
      <c r="AC639" s="2101"/>
      <c r="AD639" s="2102"/>
      <c r="AE639" s="2103"/>
      <c r="AF639" s="2263"/>
      <c r="AG639" s="2264"/>
      <c r="AH639" s="2264"/>
      <c r="AI639" s="2264"/>
      <c r="AJ639" s="2265"/>
      <c r="AK639" s="2365"/>
      <c r="AL639" s="2366"/>
      <c r="AM639" s="2366"/>
      <c r="AN639" s="2367"/>
      <c r="AO639" s="2150">
        <v>0</v>
      </c>
      <c r="AP639" s="2150"/>
      <c r="AQ639" s="2150"/>
      <c r="AR639" s="2150"/>
      <c r="AS639" s="215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2" t="e">
        <f t="shared" si="22"/>
        <v>#VALUE!</v>
      </c>
      <c r="DY639" s="2562"/>
      <c r="DZ639" s="2562"/>
      <c r="EA639" s="2562"/>
      <c r="EB639" s="2562"/>
      <c r="EC639" s="2562">
        <f t="shared" si="23"/>
        <v>166.875</v>
      </c>
      <c r="ED639" s="2562"/>
      <c r="EE639" s="2562"/>
      <c r="EF639" s="2562"/>
      <c r="EG639" s="2562"/>
      <c r="EH639" s="2562" t="e">
        <f t="shared" si="24"/>
        <v>#VALUE!</v>
      </c>
      <c r="EI639" s="2562"/>
      <c r="EJ639" s="2562"/>
      <c r="EK639" s="2562"/>
      <c r="EL639" s="2562"/>
      <c r="EM639" s="2562" t="e">
        <f t="shared" si="25"/>
        <v>#VALUE!</v>
      </c>
      <c r="EN639" s="2562"/>
      <c r="EO639" s="2562"/>
      <c r="EP639" s="2562"/>
      <c r="EQ639" s="2562"/>
      <c r="ER639" s="2562" t="e">
        <f t="shared" si="26"/>
        <v>#VALUE!</v>
      </c>
      <c r="ES639" s="2562"/>
      <c r="ET639" s="2562"/>
      <c r="EU639" s="2562"/>
      <c r="EV639" s="2562"/>
      <c r="EW639" s="2562" t="e">
        <f t="shared" si="27"/>
        <v>#VALUE!</v>
      </c>
      <c r="EX639" s="2562"/>
      <c r="EY639" s="2562"/>
      <c r="EZ639" s="2562"/>
      <c r="FA639" s="2562"/>
    </row>
    <row r="640" spans="1:157" ht="12.75">
      <c r="B640" s="84" t="s">
        <v>615</v>
      </c>
      <c r="C640" s="2091" t="s">
        <v>2529</v>
      </c>
      <c r="D640" s="2062"/>
      <c r="E640" s="2062"/>
      <c r="F640" s="2062"/>
      <c r="G640" s="2062"/>
      <c r="H640" s="2062"/>
      <c r="I640" s="2062"/>
      <c r="J640" s="2062"/>
      <c r="K640" s="2062"/>
      <c r="L640" s="2062"/>
      <c r="M640" s="2062"/>
      <c r="N640" s="2236"/>
      <c r="O640" s="2268">
        <v>0</v>
      </c>
      <c r="P640" s="2269"/>
      <c r="Q640" s="2270"/>
      <c r="R640" s="2084"/>
      <c r="S640" s="2085"/>
      <c r="T640" s="2086"/>
      <c r="U640" s="2406"/>
      <c r="V640" s="2407"/>
      <c r="W640" s="2408"/>
      <c r="X640" s="2321" t="s">
        <v>308</v>
      </c>
      <c r="Y640" s="2563"/>
      <c r="Z640" s="2563"/>
      <c r="AA640" s="2563"/>
      <c r="AB640" s="2564"/>
      <c r="AC640" s="2101"/>
      <c r="AD640" s="2102"/>
      <c r="AE640" s="2103"/>
      <c r="AF640" s="2263"/>
      <c r="AG640" s="2264"/>
      <c r="AH640" s="2264"/>
      <c r="AI640" s="2264"/>
      <c r="AJ640" s="2265"/>
      <c r="AK640" s="2365"/>
      <c r="AL640" s="2366"/>
      <c r="AM640" s="2366"/>
      <c r="AN640" s="2367"/>
      <c r="AO640" s="2150">
        <v>3815000</v>
      </c>
      <c r="AP640" s="2150"/>
      <c r="AQ640" s="2150"/>
      <c r="AR640" s="2150"/>
      <c r="AS640" s="215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176">
        <f>IF(J772="SRO/Studio",O772,0)</f>
        <v>0</v>
      </c>
      <c r="BO640" s="2177"/>
      <c r="BP640" s="2177"/>
      <c r="BQ640" s="2177"/>
      <c r="BR640" s="2178"/>
      <c r="BS640" s="2068">
        <f>IF(J772="1 Bedroom",O772,0)</f>
        <v>0</v>
      </c>
      <c r="BT640" s="2068"/>
      <c r="BU640" s="2068"/>
      <c r="BV640" s="2068"/>
      <c r="BW640" s="2068"/>
      <c r="BX640" s="2068">
        <f>IF(J772="2 Bedrooms",O772,0)</f>
        <v>3</v>
      </c>
      <c r="BY640" s="2068"/>
      <c r="BZ640" s="2068"/>
      <c r="CA640" s="2068"/>
      <c r="CB640" s="2068"/>
      <c r="CC640" s="2068">
        <f>IF(J772="3 Bedrooms",O772,0)</f>
        <v>0</v>
      </c>
      <c r="CD640" s="2068"/>
      <c r="CE640" s="2068"/>
      <c r="CF640" s="2068"/>
      <c r="CG640" s="2068"/>
      <c r="CH640" s="2068">
        <f>IF(J772="4 Bedrooms",O772,0)</f>
        <v>0</v>
      </c>
      <c r="CI640" s="2068"/>
      <c r="CJ640" s="2068"/>
      <c r="CK640" s="2068"/>
      <c r="CL640" s="2068"/>
      <c r="CM640" s="2068">
        <f>IF(J772="5 Bedrooms",O772,0)</f>
        <v>0</v>
      </c>
      <c r="CN640" s="2068"/>
      <c r="CO640" s="2068"/>
      <c r="CP640" s="2068"/>
      <c r="CQ640" s="2068"/>
      <c r="CR640" s="265"/>
      <c r="CS640" s="58"/>
      <c r="CT640" s="58"/>
      <c r="CU640" s="58"/>
      <c r="CV640" s="58"/>
      <c r="CW640" s="58"/>
      <c r="CX640" s="58"/>
      <c r="CY640" s="58"/>
      <c r="CZ640" s="58"/>
      <c r="DA640" s="58"/>
      <c r="DB640" s="58"/>
      <c r="DC640" s="58"/>
      <c r="DD640" s="58"/>
      <c r="DE640" s="58"/>
      <c r="DF640" s="58"/>
      <c r="DX640" s="2562" t="e">
        <f t="shared" si="22"/>
        <v>#VALUE!</v>
      </c>
      <c r="DY640" s="2562"/>
      <c r="DZ640" s="2562"/>
      <c r="EA640" s="2562"/>
      <c r="EB640" s="2562"/>
      <c r="EC640" s="2562">
        <f t="shared" si="23"/>
        <v>175.31944444444443</v>
      </c>
      <c r="ED640" s="2562"/>
      <c r="EE640" s="2562"/>
      <c r="EF640" s="2562"/>
      <c r="EG640" s="2562"/>
      <c r="EH640" s="2562" t="e">
        <f t="shared" si="24"/>
        <v>#VALUE!</v>
      </c>
      <c r="EI640" s="2562"/>
      <c r="EJ640" s="2562"/>
      <c r="EK640" s="2562"/>
      <c r="EL640" s="2562"/>
      <c r="EM640" s="2562" t="e">
        <f t="shared" si="25"/>
        <v>#VALUE!</v>
      </c>
      <c r="EN640" s="2562"/>
      <c r="EO640" s="2562"/>
      <c r="EP640" s="2562"/>
      <c r="EQ640" s="2562"/>
      <c r="ER640" s="2562" t="e">
        <f t="shared" si="26"/>
        <v>#VALUE!</v>
      </c>
      <c r="ES640" s="2562"/>
      <c r="ET640" s="2562"/>
      <c r="EU640" s="2562"/>
      <c r="EV640" s="2562"/>
      <c r="EW640" s="2562" t="e">
        <f t="shared" si="27"/>
        <v>#VALUE!</v>
      </c>
      <c r="EX640" s="2562"/>
      <c r="EY640" s="2562"/>
      <c r="EZ640" s="2562"/>
      <c r="FA640" s="2562"/>
    </row>
    <row r="641" spans="1:157" ht="12.75">
      <c r="B641" s="84" t="s">
        <v>820</v>
      </c>
      <c r="C641" s="2091" t="s">
        <v>2530</v>
      </c>
      <c r="D641" s="2062"/>
      <c r="E641" s="2062"/>
      <c r="F641" s="2062"/>
      <c r="G641" s="2062"/>
      <c r="H641" s="2062"/>
      <c r="I641" s="2062"/>
      <c r="J641" s="2062"/>
      <c r="K641" s="2062"/>
      <c r="L641" s="2062"/>
      <c r="M641" s="2062"/>
      <c r="N641" s="2236"/>
      <c r="O641" s="2268"/>
      <c r="P641" s="2269"/>
      <c r="Q641" s="2270"/>
      <c r="R641" s="2084"/>
      <c r="S641" s="2085"/>
      <c r="T641" s="2086"/>
      <c r="U641" s="2406"/>
      <c r="V641" s="2407"/>
      <c r="W641" s="2408"/>
      <c r="X641" s="2321" t="s">
        <v>1383</v>
      </c>
      <c r="Y641" s="2563"/>
      <c r="Z641" s="2563"/>
      <c r="AA641" s="2563"/>
      <c r="AB641" s="2564"/>
      <c r="AC641" s="2101"/>
      <c r="AD641" s="2102"/>
      <c r="AE641" s="2103"/>
      <c r="AF641" s="2263"/>
      <c r="AG641" s="2264"/>
      <c r="AH641" s="2264"/>
      <c r="AI641" s="2264"/>
      <c r="AJ641" s="2265"/>
      <c r="AK641" s="2365"/>
      <c r="AL641" s="2366"/>
      <c r="AM641" s="2366"/>
      <c r="AN641" s="2367"/>
      <c r="AO641" s="2150">
        <v>1150076</v>
      </c>
      <c r="AP641" s="2150"/>
      <c r="AQ641" s="2150"/>
      <c r="AR641" s="2150"/>
      <c r="AS641" s="215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176">
        <f>IF(J773="SRO/Studio",O773,0)</f>
        <v>0</v>
      </c>
      <c r="BO641" s="2177"/>
      <c r="BP641" s="2177"/>
      <c r="BQ641" s="2177"/>
      <c r="BR641" s="2178"/>
      <c r="BS641" s="2068">
        <f>IF(J773="1 Bedroom",O773,0)</f>
        <v>0</v>
      </c>
      <c r="BT641" s="2068"/>
      <c r="BU641" s="2068"/>
      <c r="BV641" s="2068"/>
      <c r="BW641" s="2068"/>
      <c r="BX641" s="2068">
        <f>IF(J773="2 Bedrooms",O773,0)</f>
        <v>0</v>
      </c>
      <c r="BY641" s="2068"/>
      <c r="BZ641" s="2068"/>
      <c r="CA641" s="2068"/>
      <c r="CB641" s="2068"/>
      <c r="CC641" s="2068">
        <f>IF(J773="3 Bedrooms",O773,0)</f>
        <v>0</v>
      </c>
      <c r="CD641" s="2068"/>
      <c r="CE641" s="2068"/>
      <c r="CF641" s="2068"/>
      <c r="CG641" s="2068"/>
      <c r="CH641" s="2068">
        <f>IF(J773="4 Bedrooms",O773,0)</f>
        <v>0</v>
      </c>
      <c r="CI641" s="2068"/>
      <c r="CJ641" s="2068"/>
      <c r="CK641" s="2068"/>
      <c r="CL641" s="2068"/>
      <c r="CM641" s="2068">
        <f>IF(J773="5 Bedrooms",O773,0)</f>
        <v>0</v>
      </c>
      <c r="CN641" s="2068"/>
      <c r="CO641" s="2068"/>
      <c r="CP641" s="2068"/>
      <c r="CQ641" s="2068"/>
      <c r="CR641" s="265"/>
      <c r="CS641" s="58"/>
      <c r="CT641" s="58"/>
      <c r="CU641" s="58"/>
      <c r="CV641" s="58"/>
      <c r="CW641" s="58"/>
      <c r="CX641" s="58"/>
      <c r="CY641" s="58"/>
      <c r="CZ641" s="58"/>
      <c r="DA641" s="58"/>
      <c r="DB641" s="58"/>
      <c r="DC641" s="58"/>
      <c r="DD641" s="58"/>
      <c r="DE641" s="58"/>
      <c r="DF641" s="58"/>
      <c r="DX641" s="2562" t="e">
        <f t="shared" si="22"/>
        <v>#VALUE!</v>
      </c>
      <c r="DY641" s="2562"/>
      <c r="DZ641" s="2562"/>
      <c r="EA641" s="2562"/>
      <c r="EB641" s="2562"/>
      <c r="EC641" s="2562">
        <f t="shared" si="23"/>
        <v>586.34722222222217</v>
      </c>
      <c r="ED641" s="2562"/>
      <c r="EE641" s="2562"/>
      <c r="EF641" s="2562"/>
      <c r="EG641" s="2562"/>
      <c r="EH641" s="2562" t="e">
        <f t="shared" si="24"/>
        <v>#VALUE!</v>
      </c>
      <c r="EI641" s="2562"/>
      <c r="EJ641" s="2562"/>
      <c r="EK641" s="2562"/>
      <c r="EL641" s="2562"/>
      <c r="EM641" s="2562" t="e">
        <f t="shared" si="25"/>
        <v>#VALUE!</v>
      </c>
      <c r="EN641" s="2562"/>
      <c r="EO641" s="2562"/>
      <c r="EP641" s="2562"/>
      <c r="EQ641" s="2562"/>
      <c r="ER641" s="2562" t="e">
        <f t="shared" si="26"/>
        <v>#VALUE!</v>
      </c>
      <c r="ES641" s="2562"/>
      <c r="ET641" s="2562"/>
      <c r="EU641" s="2562"/>
      <c r="EV641" s="2562"/>
      <c r="EW641" s="2562" t="e">
        <f t="shared" si="27"/>
        <v>#VALUE!</v>
      </c>
      <c r="EX641" s="2562"/>
      <c r="EY641" s="2562"/>
      <c r="EZ641" s="2562"/>
      <c r="FA641" s="2562"/>
    </row>
    <row r="642" spans="1:157" ht="12.75">
      <c r="B642" s="84" t="s">
        <v>618</v>
      </c>
      <c r="C642" s="2091" t="s">
        <v>2560</v>
      </c>
      <c r="D642" s="2062"/>
      <c r="E642" s="2062"/>
      <c r="F642" s="2062"/>
      <c r="G642" s="2062"/>
      <c r="H642" s="2062"/>
      <c r="I642" s="2062"/>
      <c r="J642" s="2062"/>
      <c r="K642" s="2062"/>
      <c r="L642" s="2062"/>
      <c r="M642" s="2062"/>
      <c r="N642" s="2236"/>
      <c r="O642" s="2268">
        <v>660</v>
      </c>
      <c r="P642" s="2269"/>
      <c r="Q642" s="2270"/>
      <c r="R642" s="2087" t="s">
        <v>625</v>
      </c>
      <c r="S642" s="2085"/>
      <c r="T642" s="2086"/>
      <c r="U642" s="2406">
        <v>0.01</v>
      </c>
      <c r="V642" s="2407"/>
      <c r="W642" s="2408"/>
      <c r="X642" s="2321" t="s">
        <v>489</v>
      </c>
      <c r="Y642" s="2563"/>
      <c r="Z642" s="2563"/>
      <c r="AA642" s="2563"/>
      <c r="AB642" s="2564"/>
      <c r="AC642" s="2101"/>
      <c r="AD642" s="2102"/>
      <c r="AE642" s="2103"/>
      <c r="AF642" s="2368" t="s">
        <v>2535</v>
      </c>
      <c r="AG642" s="2264"/>
      <c r="AH642" s="2264"/>
      <c r="AI642" s="2264"/>
      <c r="AJ642" s="2265"/>
      <c r="AK642" s="2365"/>
      <c r="AL642" s="2366"/>
      <c r="AM642" s="2366"/>
      <c r="AN642" s="2367"/>
      <c r="AO642" s="2150">
        <v>3800000</v>
      </c>
      <c r="AP642" s="2150"/>
      <c r="AQ642" s="2150"/>
      <c r="AR642" s="2150"/>
      <c r="AS642" s="2150"/>
      <c r="AT642" s="239"/>
      <c r="AU642" s="239"/>
      <c r="AV642" s="239"/>
      <c r="AW642" s="239"/>
      <c r="AX642" s="239"/>
      <c r="AY642" s="239"/>
      <c r="AZ642" s="61"/>
      <c r="BA642" s="61"/>
      <c r="BB642" s="61"/>
      <c r="BC642" s="61"/>
      <c r="BD642" s="61"/>
      <c r="BE642" s="61"/>
      <c r="BF642" s="61"/>
      <c r="BG642" s="61"/>
      <c r="BH642" s="61"/>
      <c r="BI642" s="61"/>
      <c r="BJ642" s="61"/>
      <c r="BK642" s="61"/>
      <c r="BL642" s="61"/>
      <c r="BM642" s="61"/>
      <c r="BN642" s="2176">
        <f>IF(J774="SRO/Studio",O774,0)</f>
        <v>0</v>
      </c>
      <c r="BO642" s="2177"/>
      <c r="BP642" s="2177"/>
      <c r="BQ642" s="2177"/>
      <c r="BR642" s="2178"/>
      <c r="BS642" s="2068">
        <f>IF(J774="1 Bedroom",O774,0)</f>
        <v>0</v>
      </c>
      <c r="BT642" s="2068"/>
      <c r="BU642" s="2068"/>
      <c r="BV642" s="2068"/>
      <c r="BW642" s="2068"/>
      <c r="BX642" s="2068">
        <f>IF(J774="2 Bedrooms",O774,0)</f>
        <v>0</v>
      </c>
      <c r="BY642" s="2068"/>
      <c r="BZ642" s="2068"/>
      <c r="CA642" s="2068"/>
      <c r="CB642" s="2068"/>
      <c r="CC642" s="2068">
        <f>IF(J774="3 Bedrooms",O774,0)</f>
        <v>0</v>
      </c>
      <c r="CD642" s="2068"/>
      <c r="CE642" s="2068"/>
      <c r="CF642" s="2068"/>
      <c r="CG642" s="2068"/>
      <c r="CH642" s="2068">
        <f>IF(J774="4 Bedrooms",O774,0)</f>
        <v>0</v>
      </c>
      <c r="CI642" s="2068"/>
      <c r="CJ642" s="2068"/>
      <c r="CK642" s="2068"/>
      <c r="CL642" s="2068"/>
      <c r="CM642" s="2068">
        <f>IF(J774="5 Bedrooms",O774,0)</f>
        <v>0</v>
      </c>
      <c r="CN642" s="2068"/>
      <c r="CO642" s="2068"/>
      <c r="CP642" s="2068"/>
      <c r="CQ642" s="2068"/>
      <c r="CR642" s="1805"/>
      <c r="CV642" s="58"/>
      <c r="CW642" s="58"/>
      <c r="CX642" s="58"/>
      <c r="CY642" s="58"/>
      <c r="CZ642" s="58"/>
      <c r="DA642" s="58"/>
      <c r="DB642" s="58"/>
      <c r="DC642" s="58"/>
      <c r="DD642" s="58"/>
      <c r="DE642" s="58"/>
      <c r="DF642" s="58"/>
      <c r="DX642" s="2562" t="e">
        <f t="shared" si="22"/>
        <v>#VALUE!</v>
      </c>
      <c r="DY642" s="2562"/>
      <c r="DZ642" s="2562"/>
      <c r="EA642" s="2562"/>
      <c r="EB642" s="2562"/>
      <c r="EC642" s="2562" t="e">
        <f t="shared" si="23"/>
        <v>#VALUE!</v>
      </c>
      <c r="ED642" s="2562"/>
      <c r="EE642" s="2562"/>
      <c r="EF642" s="2562"/>
      <c r="EG642" s="2562"/>
      <c r="EH642" s="2562">
        <f t="shared" si="24"/>
        <v>57.659574468085104</v>
      </c>
      <c r="EI642" s="2562"/>
      <c r="EJ642" s="2562"/>
      <c r="EK642" s="2562"/>
      <c r="EL642" s="2562"/>
      <c r="EM642" s="2562" t="e">
        <f t="shared" si="25"/>
        <v>#VALUE!</v>
      </c>
      <c r="EN642" s="2562"/>
      <c r="EO642" s="2562"/>
      <c r="EP642" s="2562"/>
      <c r="EQ642" s="2562"/>
      <c r="ER642" s="2562" t="e">
        <f t="shared" si="26"/>
        <v>#VALUE!</v>
      </c>
      <c r="ES642" s="2562"/>
      <c r="ET642" s="2562"/>
      <c r="EU642" s="2562"/>
      <c r="EV642" s="2562"/>
      <c r="EW642" s="2562" t="e">
        <f t="shared" si="27"/>
        <v>#VALUE!</v>
      </c>
      <c r="EX642" s="2562"/>
      <c r="EY642" s="2562"/>
      <c r="EZ642" s="2562"/>
      <c r="FA642" s="2562"/>
    </row>
    <row r="643" spans="1:157" ht="12.75">
      <c r="B643" s="84" t="s">
        <v>486</v>
      </c>
      <c r="C643" s="2062"/>
      <c r="D643" s="2062"/>
      <c r="E643" s="2062"/>
      <c r="F643" s="2062"/>
      <c r="G643" s="2062"/>
      <c r="H643" s="2062"/>
      <c r="I643" s="2062"/>
      <c r="J643" s="2062"/>
      <c r="K643" s="2062"/>
      <c r="L643" s="2062"/>
      <c r="M643" s="2062"/>
      <c r="N643" s="2236"/>
      <c r="O643" s="2268"/>
      <c r="P643" s="2269"/>
      <c r="Q643" s="2270"/>
      <c r="R643" s="2084"/>
      <c r="S643" s="2085"/>
      <c r="T643" s="2086"/>
      <c r="U643" s="2406"/>
      <c r="V643" s="2407"/>
      <c r="W643" s="2408"/>
      <c r="X643" s="2321" t="s">
        <v>1383</v>
      </c>
      <c r="Y643" s="2563"/>
      <c r="Z643" s="2563"/>
      <c r="AA643" s="2563"/>
      <c r="AB643" s="2564"/>
      <c r="AC643" s="2101"/>
      <c r="AD643" s="2102"/>
      <c r="AE643" s="2103"/>
      <c r="AF643" s="2263"/>
      <c r="AG643" s="2264"/>
      <c r="AH643" s="2264"/>
      <c r="AI643" s="2264"/>
      <c r="AJ643" s="2265"/>
      <c r="AK643" s="2365"/>
      <c r="AL643" s="2366"/>
      <c r="AM643" s="2366"/>
      <c r="AN643" s="2367"/>
      <c r="AO643" s="2150"/>
      <c r="AP643" s="2150"/>
      <c r="AQ643" s="2150"/>
      <c r="AR643" s="2150"/>
      <c r="AS643" s="2150"/>
      <c r="AT643" s="239"/>
      <c r="AU643" s="239"/>
      <c r="AV643" s="239"/>
      <c r="AW643" s="239"/>
      <c r="AX643" s="239"/>
      <c r="AY643" s="239"/>
      <c r="AZ643" s="61"/>
      <c r="BA643" s="61"/>
      <c r="BB643" s="61"/>
      <c r="BC643" s="61"/>
      <c r="BD643" s="61"/>
      <c r="BE643" s="61"/>
      <c r="BF643" s="61"/>
      <c r="BG643" s="61"/>
      <c r="BH643" s="61"/>
      <c r="BI643" s="61"/>
      <c r="BJ643" s="61"/>
      <c r="BK643" s="61"/>
      <c r="BL643" s="61"/>
      <c r="BM643" s="61"/>
      <c r="BN643" s="2176">
        <f>IF(J775="SRO/Studio",O775,0)</f>
        <v>0</v>
      </c>
      <c r="BO643" s="2177"/>
      <c r="BP643" s="2177"/>
      <c r="BQ643" s="2177"/>
      <c r="BR643" s="2178"/>
      <c r="BS643" s="2068">
        <f>IF(J775="1 Bedroom",O775,0)</f>
        <v>0</v>
      </c>
      <c r="BT643" s="2068"/>
      <c r="BU643" s="2068"/>
      <c r="BV643" s="2068"/>
      <c r="BW643" s="2068"/>
      <c r="BX643" s="2068">
        <f>IF(J775="2 Bedrooms",O775,0)</f>
        <v>0</v>
      </c>
      <c r="BY643" s="2068"/>
      <c r="BZ643" s="2068"/>
      <c r="CA643" s="2068"/>
      <c r="CB643" s="2068"/>
      <c r="CC643" s="2068">
        <f>IF(J775="3 Bedrooms",O775,0)</f>
        <v>0</v>
      </c>
      <c r="CD643" s="2068"/>
      <c r="CE643" s="2068"/>
      <c r="CF643" s="2068"/>
      <c r="CG643" s="2068"/>
      <c r="CH643" s="2068">
        <f>IF(J775="4 Bedrooms",O775,0)</f>
        <v>0</v>
      </c>
      <c r="CI643" s="2068"/>
      <c r="CJ643" s="2068"/>
      <c r="CK643" s="2068"/>
      <c r="CL643" s="2068"/>
      <c r="CM643" s="2068">
        <f>IF(J775="5 Bedrooms",O775,0)</f>
        <v>0</v>
      </c>
      <c r="CN643" s="2068"/>
      <c r="CO643" s="2068"/>
      <c r="CP643" s="2068"/>
      <c r="CQ643" s="2068"/>
      <c r="CV643" s="58"/>
      <c r="CW643" s="58"/>
      <c r="CX643" s="58"/>
      <c r="CY643" s="58"/>
      <c r="CZ643" s="58"/>
      <c r="DA643" s="58"/>
      <c r="DB643" s="58"/>
      <c r="DC643" s="58"/>
      <c r="DD643" s="58"/>
      <c r="DE643" s="58"/>
      <c r="DF643" s="58"/>
      <c r="DX643" s="2562" t="e">
        <f t="shared" si="22"/>
        <v>#VALUE!</v>
      </c>
      <c r="DY643" s="2562"/>
      <c r="DZ643" s="2562"/>
      <c r="EA643" s="2562"/>
      <c r="EB643" s="2562"/>
      <c r="EC643" s="2562" t="e">
        <f t="shared" si="23"/>
        <v>#VALUE!</v>
      </c>
      <c r="ED643" s="2562"/>
      <c r="EE643" s="2562"/>
      <c r="EF643" s="2562"/>
      <c r="EG643" s="2562"/>
      <c r="EH643" s="2562">
        <f t="shared" si="24"/>
        <v>202.12765957446808</v>
      </c>
      <c r="EI643" s="2562"/>
      <c r="EJ643" s="2562"/>
      <c r="EK643" s="2562"/>
      <c r="EL643" s="2562"/>
      <c r="EM643" s="2562" t="e">
        <f t="shared" si="25"/>
        <v>#VALUE!</v>
      </c>
      <c r="EN643" s="2562"/>
      <c r="EO643" s="2562"/>
      <c r="EP643" s="2562"/>
      <c r="EQ643" s="2562"/>
      <c r="ER643" s="2562" t="e">
        <f t="shared" si="26"/>
        <v>#VALUE!</v>
      </c>
      <c r="ES643" s="2562"/>
      <c r="ET643" s="2562"/>
      <c r="EU643" s="2562"/>
      <c r="EV643" s="2562"/>
      <c r="EW643" s="2562" t="e">
        <f t="shared" si="27"/>
        <v>#VALUE!</v>
      </c>
      <c r="EX643" s="2562"/>
      <c r="EY643" s="2562"/>
      <c r="EZ643" s="2562"/>
      <c r="FA643" s="2562"/>
    </row>
    <row r="644" spans="1:157" ht="12.75">
      <c r="B644" s="84" t="s">
        <v>487</v>
      </c>
      <c r="C644" s="2062"/>
      <c r="D644" s="2062"/>
      <c r="E644" s="2062"/>
      <c r="F644" s="2062"/>
      <c r="G644" s="2062"/>
      <c r="H644" s="2062"/>
      <c r="I644" s="2062"/>
      <c r="J644" s="2062"/>
      <c r="K644" s="2062"/>
      <c r="L644" s="2062"/>
      <c r="M644" s="2062"/>
      <c r="N644" s="2236"/>
      <c r="O644" s="2268"/>
      <c r="P644" s="2269"/>
      <c r="Q644" s="2270"/>
      <c r="R644" s="2084"/>
      <c r="S644" s="2085"/>
      <c r="T644" s="2086"/>
      <c r="U644" s="2406"/>
      <c r="V644" s="2407"/>
      <c r="W644" s="2408"/>
      <c r="X644" s="2321" t="s">
        <v>1383</v>
      </c>
      <c r="Y644" s="2563"/>
      <c r="Z644" s="2563"/>
      <c r="AA644" s="2563"/>
      <c r="AB644" s="2564"/>
      <c r="AC644" s="2101"/>
      <c r="AD644" s="2102"/>
      <c r="AE644" s="2103"/>
      <c r="AF644" s="2263"/>
      <c r="AG644" s="2264"/>
      <c r="AH644" s="2264"/>
      <c r="AI644" s="2264"/>
      <c r="AJ644" s="2265"/>
      <c r="AK644" s="2365"/>
      <c r="AL644" s="2366"/>
      <c r="AM644" s="2366"/>
      <c r="AN644" s="2367"/>
      <c r="AO644" s="2150"/>
      <c r="AP644" s="2150"/>
      <c r="AQ644" s="2150"/>
      <c r="AR644" s="2150"/>
      <c r="AS644" s="2150"/>
      <c r="AT644" s="239"/>
      <c r="AU644" s="239"/>
      <c r="AV644" s="239"/>
      <c r="AW644" s="239"/>
      <c r="AX644" s="239"/>
      <c r="AY644" s="239"/>
      <c r="AZ644" s="61"/>
      <c r="BA644" s="61"/>
      <c r="BB644" s="61"/>
      <c r="BC644" s="61"/>
      <c r="BD644" s="61"/>
      <c r="BE644" s="61"/>
      <c r="BF644" s="61"/>
      <c r="BG644" s="61"/>
      <c r="BH644" s="61"/>
      <c r="BI644" s="61"/>
      <c r="BJ644" s="61"/>
      <c r="BK644" s="61"/>
      <c r="BL644" s="61"/>
      <c r="BM644" s="61"/>
      <c r="BN644" s="2184">
        <f>SUM(BN640:BR643)</f>
        <v>0</v>
      </c>
      <c r="BO644" s="2189"/>
      <c r="BP644" s="2189"/>
      <c r="BQ644" s="2189"/>
      <c r="BR644" s="2185"/>
      <c r="BS644" s="2186">
        <f>SUM(BS640:BW643)</f>
        <v>0</v>
      </c>
      <c r="BT644" s="2187"/>
      <c r="BU644" s="2187"/>
      <c r="BV644" s="2187"/>
      <c r="BW644" s="2188"/>
      <c r="BX644" s="2186">
        <f>SUM(BX640:CB643)</f>
        <v>3</v>
      </c>
      <c r="BY644" s="2187"/>
      <c r="BZ644" s="2187"/>
      <c r="CA644" s="2187"/>
      <c r="CB644" s="2188"/>
      <c r="CC644" s="2186">
        <f>SUM(CC640:CG643)</f>
        <v>0</v>
      </c>
      <c r="CD644" s="2187"/>
      <c r="CE644" s="2187"/>
      <c r="CF644" s="2187"/>
      <c r="CG644" s="2188"/>
      <c r="CH644" s="2186">
        <f>SUM(CH640:CL643)</f>
        <v>0</v>
      </c>
      <c r="CI644" s="2187"/>
      <c r="CJ644" s="2187"/>
      <c r="CK644" s="2187"/>
      <c r="CL644" s="2188"/>
      <c r="CM644" s="2186">
        <f>SUM(CM640:CQ643)</f>
        <v>0</v>
      </c>
      <c r="CN644" s="2187"/>
      <c r="CO644" s="2187"/>
      <c r="CP644" s="2187"/>
      <c r="CQ644" s="2188"/>
      <c r="CS644" s="1470">
        <f>BN644+BS644+BX644+CC644+CH644+CM644</f>
        <v>3</v>
      </c>
      <c r="CT644" s="134" t="s">
        <v>2387</v>
      </c>
      <c r="CU644" s="58"/>
      <c r="CV644" s="58"/>
      <c r="CW644" s="58"/>
      <c r="CX644" s="58"/>
      <c r="CY644" s="58"/>
      <c r="CZ644" s="58"/>
      <c r="DA644" s="58"/>
      <c r="DB644" s="58"/>
      <c r="DC644" s="58"/>
      <c r="DD644" s="58"/>
      <c r="DE644" s="58"/>
      <c r="DF644" s="58"/>
      <c r="DX644" s="2562" t="e">
        <f t="shared" si="22"/>
        <v>#VALUE!</v>
      </c>
      <c r="DY644" s="2562"/>
      <c r="DZ644" s="2562"/>
      <c r="EA644" s="2562"/>
      <c r="EB644" s="2562"/>
      <c r="EC644" s="2562" t="e">
        <f t="shared" si="23"/>
        <v>#VALUE!</v>
      </c>
      <c r="ED644" s="2562"/>
      <c r="EE644" s="2562"/>
      <c r="EF644" s="2562"/>
      <c r="EG644" s="2562"/>
      <c r="EH644" s="2562">
        <f t="shared" si="24"/>
        <v>212.79432624113474</v>
      </c>
      <c r="EI644" s="2562"/>
      <c r="EJ644" s="2562"/>
      <c r="EK644" s="2562"/>
      <c r="EL644" s="2562"/>
      <c r="EM644" s="2562" t="e">
        <f t="shared" si="25"/>
        <v>#VALUE!</v>
      </c>
      <c r="EN644" s="2562"/>
      <c r="EO644" s="2562"/>
      <c r="EP644" s="2562"/>
      <c r="EQ644" s="2562"/>
      <c r="ER644" s="2562" t="e">
        <f t="shared" si="26"/>
        <v>#VALUE!</v>
      </c>
      <c r="ES644" s="2562"/>
      <c r="ET644" s="2562"/>
      <c r="EU644" s="2562"/>
      <c r="EV644" s="2562"/>
      <c r="EW644" s="2562" t="e">
        <f t="shared" si="27"/>
        <v>#VALUE!</v>
      </c>
      <c r="EX644" s="2562"/>
      <c r="EY644" s="2562"/>
      <c r="EZ644" s="2562"/>
      <c r="FA644" s="2562"/>
    </row>
    <row r="645" spans="1:157" ht="12.75">
      <c r="B645" s="84" t="s">
        <v>493</v>
      </c>
      <c r="C645" s="2062"/>
      <c r="D645" s="2062"/>
      <c r="E645" s="2062"/>
      <c r="F645" s="2062"/>
      <c r="G645" s="2062"/>
      <c r="H645" s="2062"/>
      <c r="I645" s="2062"/>
      <c r="J645" s="2062"/>
      <c r="K645" s="2062"/>
      <c r="L645" s="2062"/>
      <c r="M645" s="2062"/>
      <c r="N645" s="2236"/>
      <c r="O645" s="2268"/>
      <c r="P645" s="2269"/>
      <c r="Q645" s="2270"/>
      <c r="R645" s="2084"/>
      <c r="S645" s="2085"/>
      <c r="T645" s="2086"/>
      <c r="U645" s="2406"/>
      <c r="V645" s="2407"/>
      <c r="W645" s="2408"/>
      <c r="X645" s="2321" t="s">
        <v>1383</v>
      </c>
      <c r="Y645" s="2563"/>
      <c r="Z645" s="2563"/>
      <c r="AA645" s="2563"/>
      <c r="AB645" s="2564"/>
      <c r="AC645" s="2101"/>
      <c r="AD645" s="2102"/>
      <c r="AE645" s="2103"/>
      <c r="AF645" s="2263"/>
      <c r="AG645" s="2264"/>
      <c r="AH645" s="2264"/>
      <c r="AI645" s="2264"/>
      <c r="AJ645" s="2265"/>
      <c r="AK645" s="2365"/>
      <c r="AL645" s="2366"/>
      <c r="AM645" s="2366"/>
      <c r="AN645" s="2367"/>
      <c r="AO645" s="2150"/>
      <c r="AP645" s="2150"/>
      <c r="AQ645" s="2150"/>
      <c r="AR645" s="2150"/>
      <c r="AS645" s="215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2389</v>
      </c>
      <c r="CU645" s="58"/>
      <c r="CV645" s="58"/>
      <c r="CW645" s="58"/>
      <c r="CX645" s="58"/>
      <c r="CY645" s="58"/>
      <c r="CZ645" s="58"/>
      <c r="DA645" s="58"/>
      <c r="DB645" s="58"/>
      <c r="DC645" s="58"/>
      <c r="DD645" s="58"/>
      <c r="DE645" s="58"/>
      <c r="DF645" s="58"/>
      <c r="DX645" s="2562" t="e">
        <f t="shared" si="22"/>
        <v>#VALUE!</v>
      </c>
      <c r="DY645" s="2562"/>
      <c r="DZ645" s="2562"/>
      <c r="EA645" s="2562"/>
      <c r="EB645" s="2562"/>
      <c r="EC645" s="2562" t="e">
        <f t="shared" si="23"/>
        <v>#VALUE!</v>
      </c>
      <c r="ED645" s="2562"/>
      <c r="EE645" s="2562"/>
      <c r="EF645" s="2562"/>
      <c r="EG645" s="2562"/>
      <c r="EH645" s="2562">
        <f t="shared" si="24"/>
        <v>674.18439716312059</v>
      </c>
      <c r="EI645" s="2562"/>
      <c r="EJ645" s="2562"/>
      <c r="EK645" s="2562"/>
      <c r="EL645" s="2562"/>
      <c r="EM645" s="2562" t="e">
        <f t="shared" si="25"/>
        <v>#VALUE!</v>
      </c>
      <c r="EN645" s="2562"/>
      <c r="EO645" s="2562"/>
      <c r="EP645" s="2562"/>
      <c r="EQ645" s="2562"/>
      <c r="ER645" s="2562" t="e">
        <f t="shared" si="26"/>
        <v>#VALUE!</v>
      </c>
      <c r="ES645" s="2562"/>
      <c r="ET645" s="2562"/>
      <c r="EU645" s="2562"/>
      <c r="EV645" s="2562"/>
      <c r="EW645" s="2562" t="e">
        <f t="shared" si="27"/>
        <v>#VALUE!</v>
      </c>
      <c r="EX645" s="2562"/>
      <c r="EY645" s="2562"/>
      <c r="EZ645" s="2562"/>
      <c r="FA645" s="2562"/>
    </row>
    <row r="646" spans="1:157" ht="12.75">
      <c r="B646" s="84" t="s">
        <v>680</v>
      </c>
      <c r="C646" s="2062"/>
      <c r="D646" s="2062"/>
      <c r="E646" s="2062"/>
      <c r="F646" s="2062"/>
      <c r="G646" s="2062"/>
      <c r="H646" s="2062"/>
      <c r="I646" s="2062"/>
      <c r="J646" s="2062"/>
      <c r="K646" s="2062"/>
      <c r="L646" s="2062"/>
      <c r="M646" s="2062"/>
      <c r="N646" s="2236"/>
      <c r="O646" s="2268"/>
      <c r="P646" s="2269"/>
      <c r="Q646" s="2270"/>
      <c r="R646" s="2084"/>
      <c r="S646" s="2085"/>
      <c r="T646" s="2086"/>
      <c r="U646" s="2406"/>
      <c r="V646" s="2407"/>
      <c r="W646" s="2408"/>
      <c r="X646" s="2321" t="s">
        <v>1383</v>
      </c>
      <c r="Y646" s="2563"/>
      <c r="Z646" s="2563"/>
      <c r="AA646" s="2563"/>
      <c r="AB646" s="2564"/>
      <c r="AC646" s="2101"/>
      <c r="AD646" s="2102"/>
      <c r="AE646" s="2103"/>
      <c r="AF646" s="2263"/>
      <c r="AG646" s="2264"/>
      <c r="AH646" s="2264"/>
      <c r="AI646" s="2264"/>
      <c r="AJ646" s="2265"/>
      <c r="AK646" s="2365"/>
      <c r="AL646" s="2366"/>
      <c r="AM646" s="2366"/>
      <c r="AN646" s="2367"/>
      <c r="AO646" s="2150"/>
      <c r="AP646" s="2150"/>
      <c r="AQ646" s="2150"/>
      <c r="AR646" s="2150"/>
      <c r="AS646" s="215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2" t="e">
        <f t="shared" si="22"/>
        <v>#VALUE!</v>
      </c>
      <c r="DY646" s="2562"/>
      <c r="DZ646" s="2562"/>
      <c r="EA646" s="2562"/>
      <c r="EB646" s="2562"/>
      <c r="EC646" s="2562" t="e">
        <f t="shared" si="23"/>
        <v>#VALUE!</v>
      </c>
      <c r="ED646" s="2562"/>
      <c r="EE646" s="2562"/>
      <c r="EF646" s="2562"/>
      <c r="EG646" s="2562"/>
      <c r="EH646" s="2562" t="e">
        <f t="shared" si="24"/>
        <v>#VALUE!</v>
      </c>
      <c r="EI646" s="2562"/>
      <c r="EJ646" s="2562"/>
      <c r="EK646" s="2562"/>
      <c r="EL646" s="2562"/>
      <c r="EM646" s="2562">
        <f t="shared" si="25"/>
        <v>59.597222222222221</v>
      </c>
      <c r="EN646" s="2562"/>
      <c r="EO646" s="2562"/>
      <c r="EP646" s="2562"/>
      <c r="EQ646" s="2562"/>
      <c r="ER646" s="2562" t="e">
        <f t="shared" si="26"/>
        <v>#VALUE!</v>
      </c>
      <c r="ES646" s="2562"/>
      <c r="ET646" s="2562"/>
      <c r="EU646" s="2562"/>
      <c r="EV646" s="2562"/>
      <c r="EW646" s="2562" t="e">
        <f t="shared" si="27"/>
        <v>#VALUE!</v>
      </c>
      <c r="EX646" s="2562"/>
      <c r="EY646" s="2562"/>
      <c r="EZ646" s="2562"/>
      <c r="FA646" s="2562"/>
    </row>
    <row r="647" spans="1:157" ht="12.75">
      <c r="B647" s="84" t="s">
        <v>372</v>
      </c>
      <c r="C647" s="2062"/>
      <c r="D647" s="2062"/>
      <c r="E647" s="2062"/>
      <c r="F647" s="2062"/>
      <c r="G647" s="2062"/>
      <c r="H647" s="2062"/>
      <c r="I647" s="2062"/>
      <c r="J647" s="2062"/>
      <c r="K647" s="2062"/>
      <c r="L647" s="2062"/>
      <c r="M647" s="2062"/>
      <c r="N647" s="2236"/>
      <c r="O647" s="2268"/>
      <c r="P647" s="2269"/>
      <c r="Q647" s="2270"/>
      <c r="R647" s="2084"/>
      <c r="S647" s="2085"/>
      <c r="T647" s="2086"/>
      <c r="U647" s="2406"/>
      <c r="V647" s="2407"/>
      <c r="W647" s="2408"/>
      <c r="X647" s="2321" t="s">
        <v>1383</v>
      </c>
      <c r="Y647" s="2563"/>
      <c r="Z647" s="2563"/>
      <c r="AA647" s="2563"/>
      <c r="AB647" s="2564"/>
      <c r="AC647" s="2101"/>
      <c r="AD647" s="2102"/>
      <c r="AE647" s="2103"/>
      <c r="AF647" s="2263"/>
      <c r="AG647" s="2264"/>
      <c r="AH647" s="2264"/>
      <c r="AI647" s="2264"/>
      <c r="AJ647" s="2265"/>
      <c r="AK647" s="2365"/>
      <c r="AL647" s="2366"/>
      <c r="AM647" s="2366"/>
      <c r="AN647" s="2367"/>
      <c r="AO647" s="2150"/>
      <c r="AP647" s="2150"/>
      <c r="AQ647" s="2150"/>
      <c r="AR647" s="2150"/>
      <c r="AS647" s="215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2" t="e">
        <f t="shared" si="22"/>
        <v>#VALUE!</v>
      </c>
      <c r="DY647" s="2562"/>
      <c r="DZ647" s="2562"/>
      <c r="EA647" s="2562"/>
      <c r="EB647" s="2562"/>
      <c r="EC647" s="2562" t="e">
        <f t="shared" si="23"/>
        <v>#VALUE!</v>
      </c>
      <c r="ED647" s="2562"/>
      <c r="EE647" s="2562"/>
      <c r="EF647" s="2562"/>
      <c r="EG647" s="2562"/>
      <c r="EH647" s="2562" t="e">
        <f t="shared" si="24"/>
        <v>#VALUE!</v>
      </c>
      <c r="EI647" s="2562"/>
      <c r="EJ647" s="2562"/>
      <c r="EK647" s="2562"/>
      <c r="EL647" s="2562"/>
      <c r="EM647" s="2562">
        <f t="shared" si="25"/>
        <v>226.04166666666669</v>
      </c>
      <c r="EN647" s="2562"/>
      <c r="EO647" s="2562"/>
      <c r="EP647" s="2562"/>
      <c r="EQ647" s="2562"/>
      <c r="ER647" s="2562" t="e">
        <f t="shared" si="26"/>
        <v>#VALUE!</v>
      </c>
      <c r="ES647" s="2562"/>
      <c r="ET647" s="2562"/>
      <c r="EU647" s="2562"/>
      <c r="EV647" s="2562"/>
      <c r="EW647" s="2562" t="e">
        <f t="shared" si="27"/>
        <v>#VALUE!</v>
      </c>
      <c r="EX647" s="2562"/>
      <c r="EY647" s="2562"/>
      <c r="EZ647" s="2562"/>
      <c r="FA647" s="2562"/>
    </row>
    <row r="648" spans="1:157" ht="12.75">
      <c r="B648" s="84" t="s">
        <v>373</v>
      </c>
      <c r="C648" s="2062"/>
      <c r="D648" s="2062"/>
      <c r="E648" s="2062"/>
      <c r="F648" s="2062"/>
      <c r="G648" s="2062"/>
      <c r="H648" s="2062"/>
      <c r="I648" s="2062"/>
      <c r="J648" s="2062"/>
      <c r="K648" s="2062"/>
      <c r="L648" s="2062"/>
      <c r="M648" s="2062"/>
      <c r="N648" s="2236"/>
      <c r="O648" s="2268"/>
      <c r="P648" s="2269"/>
      <c r="Q648" s="2270"/>
      <c r="R648" s="2084"/>
      <c r="S648" s="2085"/>
      <c r="T648" s="2086"/>
      <c r="U648" s="2406"/>
      <c r="V648" s="2407"/>
      <c r="W648" s="2408"/>
      <c r="X648" s="2321" t="s">
        <v>1383</v>
      </c>
      <c r="Y648" s="2563"/>
      <c r="Z648" s="2563"/>
      <c r="AA648" s="2563"/>
      <c r="AB648" s="2564"/>
      <c r="AC648" s="2101"/>
      <c r="AD648" s="2102"/>
      <c r="AE648" s="2103"/>
      <c r="AF648" s="2263"/>
      <c r="AG648" s="2264"/>
      <c r="AH648" s="2264"/>
      <c r="AI648" s="2264"/>
      <c r="AJ648" s="2265"/>
      <c r="AK648" s="2365"/>
      <c r="AL648" s="2366"/>
      <c r="AM648" s="2366"/>
      <c r="AN648" s="2367"/>
      <c r="AO648" s="2150"/>
      <c r="AP648" s="2150"/>
      <c r="AQ648" s="2150"/>
      <c r="AR648" s="2150"/>
      <c r="AS648" s="2150"/>
      <c r="AT648" s="239"/>
      <c r="AU648" s="239"/>
      <c r="AV648" s="239"/>
      <c r="AW648" s="239"/>
      <c r="AX648" s="239"/>
      <c r="AY648" s="239"/>
      <c r="AZ648" s="58"/>
      <c r="BA648" s="58"/>
      <c r="BB648" s="58"/>
      <c r="BC648" s="58"/>
      <c r="BD648" s="58"/>
      <c r="BE648" s="58"/>
      <c r="BF648" s="58"/>
      <c r="BG648" s="58"/>
      <c r="BH648" s="58"/>
      <c r="BI648" s="58"/>
      <c r="BJ648" s="58"/>
      <c r="BK648" s="58"/>
      <c r="BL648" s="58"/>
      <c r="BM648" s="58"/>
      <c r="BN648" s="2176">
        <f t="shared" ref="BN648:BN657" si="28">IF(J786="SRO/Studio",O786,0)</f>
        <v>0</v>
      </c>
      <c r="BO648" s="2177"/>
      <c r="BP648" s="2177"/>
      <c r="BQ648" s="2177"/>
      <c r="BR648" s="2178"/>
      <c r="BS648" s="2068">
        <f t="shared" ref="BS648:BS657" si="29">IF(J786="1 Bedroom",O786,0)</f>
        <v>0</v>
      </c>
      <c r="BT648" s="2068"/>
      <c r="BU648" s="2068"/>
      <c r="BV648" s="2068"/>
      <c r="BW648" s="2068"/>
      <c r="BX648" s="2068">
        <f t="shared" ref="BX648:BX657" si="30">IF(J786="2 Bedrooms",O786,0)</f>
        <v>0</v>
      </c>
      <c r="BY648" s="2068"/>
      <c r="BZ648" s="2068"/>
      <c r="CA648" s="2068"/>
      <c r="CB648" s="2068"/>
      <c r="CC648" s="2068">
        <f t="shared" ref="CC648:CC657" si="31">IF(J786="3 Bedrooms",O786,0)</f>
        <v>0</v>
      </c>
      <c r="CD648" s="2068"/>
      <c r="CE648" s="2068"/>
      <c r="CF648" s="2068"/>
      <c r="CG648" s="2068"/>
      <c r="CH648" s="2068">
        <f t="shared" ref="CH648:CH657" si="32">IF(J786="4 Bedrooms",O786,0)</f>
        <v>0</v>
      </c>
      <c r="CI648" s="2068"/>
      <c r="CJ648" s="2068"/>
      <c r="CK648" s="2068"/>
      <c r="CL648" s="2068"/>
      <c r="CM648" s="2068">
        <f t="shared" ref="CM648:CM657" si="33">IF(J786="5 Bedrooms",O786,0)</f>
        <v>0</v>
      </c>
      <c r="CN648" s="2068"/>
      <c r="CO648" s="2068"/>
      <c r="CP648" s="2068"/>
      <c r="CQ648" s="2068"/>
      <c r="CR648" s="265"/>
      <c r="CS648" s="2176">
        <f>IF(AND(BN648&gt;=1,AH786&gt;=0.1,AH786&lt;=1),O786,0)</f>
        <v>0</v>
      </c>
      <c r="CT648" s="2177"/>
      <c r="CU648" s="2177"/>
      <c r="CV648" s="2177"/>
      <c r="CW648" s="2178"/>
      <c r="CX648" s="2176">
        <f>IF(AND(BS648&gt;=1,AH786&gt;=0.1,AH786&lt;=1),O786,0)</f>
        <v>0</v>
      </c>
      <c r="CY648" s="2177"/>
      <c r="CZ648" s="2177"/>
      <c r="DA648" s="2177"/>
      <c r="DB648" s="2178"/>
      <c r="DC648" s="2176">
        <f>IF(AND(BX648&gt;=1,AH786&gt;=0.1,AH786&lt;=1),O786,0)</f>
        <v>0</v>
      </c>
      <c r="DD648" s="2177"/>
      <c r="DE648" s="2177"/>
      <c r="DF648" s="2177"/>
      <c r="DG648" s="2178"/>
      <c r="DH648" s="2176">
        <f>IF(AND(CC648&gt;=1,AH786&gt;=0.1,AH786&lt;=1),O786,0)</f>
        <v>0</v>
      </c>
      <c r="DI648" s="2177"/>
      <c r="DJ648" s="2177"/>
      <c r="DK648" s="2177"/>
      <c r="DL648" s="2178"/>
      <c r="DM648" s="2176">
        <f>IF(AND(CH648&gt;=1,AH786&gt;=0.1,AH786&lt;=1),O786,0)</f>
        <v>0</v>
      </c>
      <c r="DN648" s="2177"/>
      <c r="DO648" s="2177"/>
      <c r="DP648" s="2177"/>
      <c r="DQ648" s="2178"/>
      <c r="DR648" s="2176">
        <f>IF(AND(CM648&gt;=1,AH786&gt;=0.1,AH786&lt;=1),O786,0)</f>
        <v>0</v>
      </c>
      <c r="DS648" s="2177"/>
      <c r="DT648" s="2177"/>
      <c r="DU648" s="2177"/>
      <c r="DV648" s="2178"/>
      <c r="DX648" s="2562" t="e">
        <f t="shared" si="22"/>
        <v>#VALUE!</v>
      </c>
      <c r="DY648" s="2562"/>
      <c r="DZ648" s="2562"/>
      <c r="EA648" s="2562"/>
      <c r="EB648" s="2562"/>
      <c r="EC648" s="2562" t="e">
        <f t="shared" si="23"/>
        <v>#VALUE!</v>
      </c>
      <c r="ED648" s="2562"/>
      <c r="EE648" s="2562"/>
      <c r="EF648" s="2562"/>
      <c r="EG648" s="2562"/>
      <c r="EH648" s="2562" t="e">
        <f t="shared" si="24"/>
        <v>#VALUE!</v>
      </c>
      <c r="EI648" s="2562"/>
      <c r="EJ648" s="2562"/>
      <c r="EK648" s="2562"/>
      <c r="EL648" s="2562"/>
      <c r="EM648" s="2562">
        <f t="shared" si="25"/>
        <v>275</v>
      </c>
      <c r="EN648" s="2562"/>
      <c r="EO648" s="2562"/>
      <c r="EP648" s="2562"/>
      <c r="EQ648" s="2562"/>
      <c r="ER648" s="2562" t="e">
        <f t="shared" si="26"/>
        <v>#VALUE!</v>
      </c>
      <c r="ES648" s="2562"/>
      <c r="ET648" s="2562"/>
      <c r="EU648" s="2562"/>
      <c r="EV648" s="2562"/>
      <c r="EW648" s="2562" t="e">
        <f t="shared" si="27"/>
        <v>#VALUE!</v>
      </c>
      <c r="EX648" s="2562"/>
      <c r="EY648" s="2562"/>
      <c r="EZ648" s="2562"/>
      <c r="FA648" s="2562"/>
    </row>
    <row r="649" spans="1:157" ht="12.75">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152">
        <f>SUM(AO637:AR648)</f>
        <v>50350076</v>
      </c>
      <c r="AP649" s="2153"/>
      <c r="AQ649" s="2153"/>
      <c r="AR649" s="2153"/>
      <c r="AS649" s="2154"/>
      <c r="AZ649" s="58"/>
      <c r="BA649" s="58"/>
      <c r="BB649" s="58"/>
      <c r="BC649" s="58"/>
      <c r="BD649" s="58"/>
      <c r="BE649" s="58"/>
      <c r="BF649" s="58"/>
      <c r="BG649" s="58"/>
      <c r="BH649" s="58"/>
      <c r="BI649" s="58"/>
      <c r="BJ649" s="58"/>
      <c r="BK649" s="58"/>
      <c r="BL649" s="58"/>
      <c r="BM649" s="58"/>
      <c r="BN649" s="2176">
        <f t="shared" si="28"/>
        <v>0</v>
      </c>
      <c r="BO649" s="2177"/>
      <c r="BP649" s="2177"/>
      <c r="BQ649" s="2177"/>
      <c r="BR649" s="2178"/>
      <c r="BS649" s="2068">
        <f t="shared" si="29"/>
        <v>0</v>
      </c>
      <c r="BT649" s="2068"/>
      <c r="BU649" s="2068"/>
      <c r="BV649" s="2068"/>
      <c r="BW649" s="2068"/>
      <c r="BX649" s="2068">
        <f t="shared" si="30"/>
        <v>0</v>
      </c>
      <c r="BY649" s="2068"/>
      <c r="BZ649" s="2068"/>
      <c r="CA649" s="2068"/>
      <c r="CB649" s="2068"/>
      <c r="CC649" s="2068">
        <f t="shared" si="31"/>
        <v>0</v>
      </c>
      <c r="CD649" s="2068"/>
      <c r="CE649" s="2068"/>
      <c r="CF649" s="2068"/>
      <c r="CG649" s="2068"/>
      <c r="CH649" s="2068">
        <f t="shared" si="32"/>
        <v>0</v>
      </c>
      <c r="CI649" s="2068"/>
      <c r="CJ649" s="2068"/>
      <c r="CK649" s="2068"/>
      <c r="CL649" s="2068"/>
      <c r="CM649" s="2068">
        <f t="shared" si="33"/>
        <v>0</v>
      </c>
      <c r="CN649" s="2068"/>
      <c r="CO649" s="2068"/>
      <c r="CP649" s="2068"/>
      <c r="CQ649" s="2068"/>
      <c r="CR649" s="265"/>
      <c r="CS649" s="2176">
        <f t="shared" ref="CS649:CS657" si="34">IF(AND(BN649&gt;=1,AH787&gt;=0.1,AH787&lt;=1),O787,0)</f>
        <v>0</v>
      </c>
      <c r="CT649" s="2177"/>
      <c r="CU649" s="2177"/>
      <c r="CV649" s="2177"/>
      <c r="CW649" s="2178"/>
      <c r="CX649" s="2176">
        <f t="shared" ref="CX649:CX657" si="35">IF(AND(BS649&gt;=1,AH787&gt;=0.1,AH787&lt;=1),O787,0)</f>
        <v>0</v>
      </c>
      <c r="CY649" s="2177"/>
      <c r="CZ649" s="2177"/>
      <c r="DA649" s="2177"/>
      <c r="DB649" s="2178"/>
      <c r="DC649" s="2176">
        <f t="shared" ref="DC649:DC657" si="36">IF(AND(BX649&gt;=1,AH787&gt;=0.1,AH787&lt;=1),O787,0)</f>
        <v>0</v>
      </c>
      <c r="DD649" s="2177"/>
      <c r="DE649" s="2177"/>
      <c r="DF649" s="2177"/>
      <c r="DG649" s="2178"/>
      <c r="DH649" s="2176">
        <f t="shared" ref="DH649:DH657" si="37">IF(AND(CC649&gt;=1,AH787&gt;=0.1,AH787&lt;=1),O787,0)</f>
        <v>0</v>
      </c>
      <c r="DI649" s="2177"/>
      <c r="DJ649" s="2177"/>
      <c r="DK649" s="2177"/>
      <c r="DL649" s="2178"/>
      <c r="DM649" s="2176">
        <f t="shared" ref="DM649:DM657" si="38">IF(AND(CH649&gt;=1,AH787&gt;=0.1,AH787&lt;=1),O787,0)</f>
        <v>0</v>
      </c>
      <c r="DN649" s="2177"/>
      <c r="DO649" s="2177"/>
      <c r="DP649" s="2177"/>
      <c r="DQ649" s="2178"/>
      <c r="DR649" s="2176">
        <f t="shared" ref="DR649:DR657" si="39">IF(AND(CM649&gt;=1,AH787&gt;=0.1,AH787&lt;=1),O787,0)</f>
        <v>0</v>
      </c>
      <c r="DS649" s="2177"/>
      <c r="DT649" s="2177"/>
      <c r="DU649" s="2177"/>
      <c r="DV649" s="2178"/>
      <c r="DX649" s="2562" t="e">
        <f t="shared" si="22"/>
        <v>#VALUE!</v>
      </c>
      <c r="DY649" s="2562"/>
      <c r="DZ649" s="2562"/>
      <c r="EA649" s="2562"/>
      <c r="EB649" s="2562"/>
      <c r="EC649" s="2562" t="e">
        <f t="shared" si="23"/>
        <v>#VALUE!</v>
      </c>
      <c r="ED649" s="2562"/>
      <c r="EE649" s="2562"/>
      <c r="EF649" s="2562"/>
      <c r="EG649" s="2562"/>
      <c r="EH649" s="2562" t="e">
        <f t="shared" si="24"/>
        <v>#VALUE!</v>
      </c>
      <c r="EI649" s="2562"/>
      <c r="EJ649" s="2562"/>
      <c r="EK649" s="2562"/>
      <c r="EL649" s="2562"/>
      <c r="EM649" s="2562">
        <f t="shared" si="25"/>
        <v>756.38888888888891</v>
      </c>
      <c r="EN649" s="2562"/>
      <c r="EO649" s="2562"/>
      <c r="EP649" s="2562"/>
      <c r="EQ649" s="2562"/>
      <c r="ER649" s="2562" t="e">
        <f t="shared" si="26"/>
        <v>#VALUE!</v>
      </c>
      <c r="ES649" s="2562"/>
      <c r="ET649" s="2562"/>
      <c r="EU649" s="2562"/>
      <c r="EV649" s="2562"/>
      <c r="EW649" s="2562" t="e">
        <f t="shared" si="27"/>
        <v>#VALUE!</v>
      </c>
      <c r="EX649" s="2562"/>
      <c r="EY649" s="2562"/>
      <c r="EZ649" s="2562"/>
      <c r="FA649" s="2562"/>
    </row>
    <row r="650" spans="1:157" ht="12.75" customHeight="1">
      <c r="B650" s="2146" t="s">
        <v>273</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2081">
        <v>43992628</v>
      </c>
      <c r="AP650" s="2082"/>
      <c r="AQ650" s="2082"/>
      <c r="AR650" s="2082"/>
      <c r="AS650" s="2083"/>
      <c r="AZ650" s="61"/>
      <c r="BA650" s="61"/>
      <c r="BB650" s="61"/>
      <c r="BC650" s="61"/>
      <c r="BD650" s="61"/>
      <c r="BE650" s="61"/>
      <c r="BF650" s="61"/>
      <c r="BG650" s="61"/>
      <c r="BH650" s="61"/>
      <c r="BI650" s="61"/>
      <c r="BJ650" s="61"/>
      <c r="BK650" s="61"/>
      <c r="BL650" s="61"/>
      <c r="BM650" s="61"/>
      <c r="BN650" s="2176">
        <f t="shared" si="28"/>
        <v>0</v>
      </c>
      <c r="BO650" s="2177"/>
      <c r="BP650" s="2177"/>
      <c r="BQ650" s="2177"/>
      <c r="BR650" s="2178"/>
      <c r="BS650" s="2068">
        <f t="shared" si="29"/>
        <v>0</v>
      </c>
      <c r="BT650" s="2068"/>
      <c r="BU650" s="2068"/>
      <c r="BV650" s="2068"/>
      <c r="BW650" s="2068"/>
      <c r="BX650" s="2068">
        <f t="shared" si="30"/>
        <v>0</v>
      </c>
      <c r="BY650" s="2068"/>
      <c r="BZ650" s="2068"/>
      <c r="CA650" s="2068"/>
      <c r="CB650" s="2068"/>
      <c r="CC650" s="2068">
        <f t="shared" si="31"/>
        <v>0</v>
      </c>
      <c r="CD650" s="2068"/>
      <c r="CE650" s="2068"/>
      <c r="CF650" s="2068"/>
      <c r="CG650" s="2068"/>
      <c r="CH650" s="2068">
        <f t="shared" si="32"/>
        <v>0</v>
      </c>
      <c r="CI650" s="2068"/>
      <c r="CJ650" s="2068"/>
      <c r="CK650" s="2068"/>
      <c r="CL650" s="2068"/>
      <c r="CM650" s="2068">
        <f t="shared" si="33"/>
        <v>0</v>
      </c>
      <c r="CN650" s="2068"/>
      <c r="CO650" s="2068"/>
      <c r="CP650" s="2068"/>
      <c r="CQ650" s="2068"/>
      <c r="CR650" s="265"/>
      <c r="CS650" s="2176">
        <f t="shared" si="34"/>
        <v>0</v>
      </c>
      <c r="CT650" s="2177"/>
      <c r="CU650" s="2177"/>
      <c r="CV650" s="2177"/>
      <c r="CW650" s="2178"/>
      <c r="CX650" s="2176">
        <f t="shared" si="35"/>
        <v>0</v>
      </c>
      <c r="CY650" s="2177"/>
      <c r="CZ650" s="2177"/>
      <c r="DA650" s="2177"/>
      <c r="DB650" s="2178"/>
      <c r="DC650" s="2176">
        <f t="shared" si="36"/>
        <v>0</v>
      </c>
      <c r="DD650" s="2177"/>
      <c r="DE650" s="2177"/>
      <c r="DF650" s="2177"/>
      <c r="DG650" s="2178"/>
      <c r="DH650" s="2176">
        <f t="shared" si="37"/>
        <v>0</v>
      </c>
      <c r="DI650" s="2177"/>
      <c r="DJ650" s="2177"/>
      <c r="DK650" s="2177"/>
      <c r="DL650" s="2178"/>
      <c r="DM650" s="2176">
        <f t="shared" si="38"/>
        <v>0</v>
      </c>
      <c r="DN650" s="2177"/>
      <c r="DO650" s="2177"/>
      <c r="DP650" s="2177"/>
      <c r="DQ650" s="2178"/>
      <c r="DR650" s="2176">
        <f t="shared" si="39"/>
        <v>0</v>
      </c>
      <c r="DS650" s="2177"/>
      <c r="DT650" s="2177"/>
      <c r="DU650" s="2177"/>
      <c r="DV650" s="2178"/>
      <c r="DX650" s="2562" t="e">
        <f t="shared" si="22"/>
        <v>#VALUE!</v>
      </c>
      <c r="DY650" s="2562"/>
      <c r="DZ650" s="2562"/>
      <c r="EA650" s="2562"/>
      <c r="EB650" s="2562"/>
      <c r="EC650" s="2562" t="e">
        <f t="shared" si="23"/>
        <v>#VALUE!</v>
      </c>
      <c r="ED650" s="2562"/>
      <c r="EE650" s="2562"/>
      <c r="EF650" s="2562"/>
      <c r="EG650" s="2562"/>
      <c r="EH650" s="2562" t="e">
        <f t="shared" si="24"/>
        <v>#VALUE!</v>
      </c>
      <c r="EI650" s="2562"/>
      <c r="EJ650" s="2562"/>
      <c r="EK650" s="2562"/>
      <c r="EL650" s="2562"/>
      <c r="EM650" s="2562" t="e">
        <f t="shared" si="25"/>
        <v>#VALUE!</v>
      </c>
      <c r="EN650" s="2562"/>
      <c r="EO650" s="2562"/>
      <c r="EP650" s="2562"/>
      <c r="EQ650" s="2562"/>
      <c r="ER650" s="2562" t="e">
        <f t="shared" si="26"/>
        <v>#VALUE!</v>
      </c>
      <c r="ES650" s="2562"/>
      <c r="ET650" s="2562"/>
      <c r="EU650" s="2562"/>
      <c r="EV650" s="2562"/>
      <c r="EW650" s="2562" t="e">
        <f t="shared" si="27"/>
        <v>#VALUE!</v>
      </c>
      <c r="EX650" s="2562"/>
      <c r="EY650" s="2562"/>
      <c r="EZ650" s="2562"/>
      <c r="FA650" s="2562"/>
    </row>
    <row r="651" spans="1:157" ht="12.75" customHeight="1">
      <c r="B651" s="2568" t="s">
        <v>274</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569"/>
      <c r="AO651" s="2152">
        <f>AO649+AO650</f>
        <v>94342704</v>
      </c>
      <c r="AP651" s="2153"/>
      <c r="AQ651" s="2153"/>
      <c r="AR651" s="2153"/>
      <c r="AS651" s="2154"/>
      <c r="AZ651" s="61"/>
      <c r="BA651" s="61"/>
      <c r="BB651" s="61"/>
      <c r="BC651" s="61"/>
      <c r="BD651" s="61"/>
      <c r="BE651" s="61"/>
      <c r="BF651" s="61"/>
      <c r="BG651" s="61"/>
      <c r="BH651" s="61"/>
      <c r="BI651" s="61"/>
      <c r="BJ651" s="61"/>
      <c r="BK651" s="61"/>
      <c r="BL651" s="61"/>
      <c r="BM651" s="61"/>
      <c r="BN651" s="2176">
        <f t="shared" si="28"/>
        <v>0</v>
      </c>
      <c r="BO651" s="2177"/>
      <c r="BP651" s="2177"/>
      <c r="BQ651" s="2177"/>
      <c r="BR651" s="2178"/>
      <c r="BS651" s="2068">
        <f t="shared" si="29"/>
        <v>0</v>
      </c>
      <c r="BT651" s="2068"/>
      <c r="BU651" s="2068"/>
      <c r="BV651" s="2068"/>
      <c r="BW651" s="2068"/>
      <c r="BX651" s="2068">
        <f t="shared" si="30"/>
        <v>0</v>
      </c>
      <c r="BY651" s="2068"/>
      <c r="BZ651" s="2068"/>
      <c r="CA651" s="2068"/>
      <c r="CB651" s="2068"/>
      <c r="CC651" s="2068">
        <f t="shared" si="31"/>
        <v>0</v>
      </c>
      <c r="CD651" s="2068"/>
      <c r="CE651" s="2068"/>
      <c r="CF651" s="2068"/>
      <c r="CG651" s="2068"/>
      <c r="CH651" s="2068">
        <f t="shared" si="32"/>
        <v>0</v>
      </c>
      <c r="CI651" s="2068"/>
      <c r="CJ651" s="2068"/>
      <c r="CK651" s="2068"/>
      <c r="CL651" s="2068"/>
      <c r="CM651" s="2068">
        <f t="shared" si="33"/>
        <v>0</v>
      </c>
      <c r="CN651" s="2068"/>
      <c r="CO651" s="2068"/>
      <c r="CP651" s="2068"/>
      <c r="CQ651" s="2068"/>
      <c r="CR651" s="265"/>
      <c r="CS651" s="2176">
        <f t="shared" si="34"/>
        <v>0</v>
      </c>
      <c r="CT651" s="2177"/>
      <c r="CU651" s="2177"/>
      <c r="CV651" s="2177"/>
      <c r="CW651" s="2178"/>
      <c r="CX651" s="2176">
        <f t="shared" si="35"/>
        <v>0</v>
      </c>
      <c r="CY651" s="2177"/>
      <c r="CZ651" s="2177"/>
      <c r="DA651" s="2177"/>
      <c r="DB651" s="2178"/>
      <c r="DC651" s="2176">
        <f t="shared" si="36"/>
        <v>0</v>
      </c>
      <c r="DD651" s="2177"/>
      <c r="DE651" s="2177"/>
      <c r="DF651" s="2177"/>
      <c r="DG651" s="2178"/>
      <c r="DH651" s="2176">
        <f t="shared" si="37"/>
        <v>0</v>
      </c>
      <c r="DI651" s="2177"/>
      <c r="DJ651" s="2177"/>
      <c r="DK651" s="2177"/>
      <c r="DL651" s="2178"/>
      <c r="DM651" s="2176">
        <f t="shared" si="38"/>
        <v>0</v>
      </c>
      <c r="DN651" s="2177"/>
      <c r="DO651" s="2177"/>
      <c r="DP651" s="2177"/>
      <c r="DQ651" s="2178"/>
      <c r="DR651" s="2176">
        <f t="shared" si="39"/>
        <v>0</v>
      </c>
      <c r="DS651" s="2177"/>
      <c r="DT651" s="2177"/>
      <c r="DU651" s="2177"/>
      <c r="DV651" s="2178"/>
      <c r="DX651" s="2562" t="e">
        <f t="shared" si="22"/>
        <v>#VALUE!</v>
      </c>
      <c r="DY651" s="2562"/>
      <c r="DZ651" s="2562"/>
      <c r="EA651" s="2562"/>
      <c r="EB651" s="2562"/>
      <c r="EC651" s="2562" t="e">
        <f t="shared" si="23"/>
        <v>#VALUE!</v>
      </c>
      <c r="ED651" s="2562"/>
      <c r="EE651" s="2562"/>
      <c r="EF651" s="2562"/>
      <c r="EG651" s="2562"/>
      <c r="EH651" s="2562" t="e">
        <f t="shared" si="24"/>
        <v>#VALUE!</v>
      </c>
      <c r="EI651" s="2562"/>
      <c r="EJ651" s="2562"/>
      <c r="EK651" s="2562"/>
      <c r="EL651" s="2562"/>
      <c r="EM651" s="2562" t="e">
        <f t="shared" si="25"/>
        <v>#VALUE!</v>
      </c>
      <c r="EN651" s="2562"/>
      <c r="EO651" s="2562"/>
      <c r="EP651" s="2562"/>
      <c r="EQ651" s="2562"/>
      <c r="ER651" s="2562" t="e">
        <f t="shared" si="26"/>
        <v>#VALUE!</v>
      </c>
      <c r="ES651" s="2562"/>
      <c r="ET651" s="2562"/>
      <c r="EU651" s="2562"/>
      <c r="EV651" s="2562"/>
      <c r="EW651" s="2562" t="e">
        <f t="shared" si="27"/>
        <v>#VALUE!</v>
      </c>
      <c r="EX651" s="2562"/>
      <c r="EY651" s="2562"/>
      <c r="EZ651" s="2562"/>
      <c r="FA651" s="256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76">
        <f t="shared" si="28"/>
        <v>0</v>
      </c>
      <c r="BO652" s="2177"/>
      <c r="BP652" s="2177"/>
      <c r="BQ652" s="2177"/>
      <c r="BR652" s="2178"/>
      <c r="BS652" s="2068">
        <f t="shared" si="29"/>
        <v>0</v>
      </c>
      <c r="BT652" s="2068"/>
      <c r="BU652" s="2068"/>
      <c r="BV652" s="2068"/>
      <c r="BW652" s="2068"/>
      <c r="BX652" s="2068">
        <f t="shared" si="30"/>
        <v>0</v>
      </c>
      <c r="BY652" s="2068"/>
      <c r="BZ652" s="2068"/>
      <c r="CA652" s="2068"/>
      <c r="CB652" s="2068"/>
      <c r="CC652" s="2068">
        <f t="shared" si="31"/>
        <v>0</v>
      </c>
      <c r="CD652" s="2068"/>
      <c r="CE652" s="2068"/>
      <c r="CF652" s="2068"/>
      <c r="CG652" s="2068"/>
      <c r="CH652" s="2068">
        <f t="shared" si="32"/>
        <v>0</v>
      </c>
      <c r="CI652" s="2068"/>
      <c r="CJ652" s="2068"/>
      <c r="CK652" s="2068"/>
      <c r="CL652" s="2068"/>
      <c r="CM652" s="2068">
        <f t="shared" si="33"/>
        <v>0</v>
      </c>
      <c r="CN652" s="2068"/>
      <c r="CO652" s="2068"/>
      <c r="CP652" s="2068"/>
      <c r="CQ652" s="2068"/>
      <c r="CR652" s="265"/>
      <c r="CS652" s="2176">
        <f t="shared" si="34"/>
        <v>0</v>
      </c>
      <c r="CT652" s="2177"/>
      <c r="CU652" s="2177"/>
      <c r="CV652" s="2177"/>
      <c r="CW652" s="2178"/>
      <c r="CX652" s="2176">
        <f t="shared" si="35"/>
        <v>0</v>
      </c>
      <c r="CY652" s="2177"/>
      <c r="CZ652" s="2177"/>
      <c r="DA652" s="2177"/>
      <c r="DB652" s="2178"/>
      <c r="DC652" s="2176">
        <f t="shared" si="36"/>
        <v>0</v>
      </c>
      <c r="DD652" s="2177"/>
      <c r="DE652" s="2177"/>
      <c r="DF652" s="2177"/>
      <c r="DG652" s="2178"/>
      <c r="DH652" s="2176">
        <f t="shared" si="37"/>
        <v>0</v>
      </c>
      <c r="DI652" s="2177"/>
      <c r="DJ652" s="2177"/>
      <c r="DK652" s="2177"/>
      <c r="DL652" s="2178"/>
      <c r="DM652" s="2176">
        <f t="shared" si="38"/>
        <v>0</v>
      </c>
      <c r="DN652" s="2177"/>
      <c r="DO652" s="2177"/>
      <c r="DP652" s="2177"/>
      <c r="DQ652" s="2178"/>
      <c r="DR652" s="2176">
        <f t="shared" si="39"/>
        <v>0</v>
      </c>
      <c r="DS652" s="2177"/>
      <c r="DT652" s="2177"/>
      <c r="DU652" s="2177"/>
      <c r="DV652" s="2178"/>
      <c r="DX652" s="2562" t="e">
        <f t="shared" si="22"/>
        <v>#VALUE!</v>
      </c>
      <c r="DY652" s="2562"/>
      <c r="DZ652" s="2562"/>
      <c r="EA652" s="2562"/>
      <c r="EB652" s="2562"/>
      <c r="EC652" s="2562" t="e">
        <f t="shared" si="23"/>
        <v>#VALUE!</v>
      </c>
      <c r="ED652" s="2562"/>
      <c r="EE652" s="2562"/>
      <c r="EF652" s="2562"/>
      <c r="EG652" s="2562"/>
      <c r="EH652" s="2562" t="e">
        <f t="shared" si="24"/>
        <v>#VALUE!</v>
      </c>
      <c r="EI652" s="2562"/>
      <c r="EJ652" s="2562"/>
      <c r="EK652" s="2562"/>
      <c r="EL652" s="2562"/>
      <c r="EM652" s="2562" t="e">
        <f t="shared" si="25"/>
        <v>#VALUE!</v>
      </c>
      <c r="EN652" s="2562"/>
      <c r="EO652" s="2562"/>
      <c r="EP652" s="2562"/>
      <c r="EQ652" s="2562"/>
      <c r="ER652" s="2562" t="e">
        <f t="shared" si="26"/>
        <v>#VALUE!</v>
      </c>
      <c r="ES652" s="2562"/>
      <c r="ET652" s="2562"/>
      <c r="EU652" s="2562"/>
      <c r="EV652" s="2562"/>
      <c r="EW652" s="2562" t="e">
        <f t="shared" si="27"/>
        <v>#VALUE!</v>
      </c>
      <c r="EX652" s="2562"/>
      <c r="EY652" s="2562"/>
      <c r="EZ652" s="2562"/>
      <c r="FA652" s="2562"/>
    </row>
    <row r="653" spans="1:157" ht="12.75">
      <c r="A653" s="87" t="s">
        <v>117</v>
      </c>
      <c r="B653" s="12" t="s">
        <v>495</v>
      </c>
      <c r="G653" s="2127" t="str">
        <f>C637</f>
        <v>Citibank -Tranche A - Tax-Exempt</v>
      </c>
      <c r="H653" s="2127"/>
      <c r="I653" s="2127"/>
      <c r="J653" s="2127"/>
      <c r="K653" s="2127"/>
      <c r="L653" s="2127"/>
      <c r="M653" s="2127"/>
      <c r="N653" s="2127"/>
      <c r="O653" s="2127"/>
      <c r="P653" s="2127"/>
      <c r="Q653" s="2127"/>
      <c r="R653" s="2127"/>
      <c r="S653" s="14"/>
      <c r="T653" s="87" t="s">
        <v>118</v>
      </c>
      <c r="U653" s="12" t="s">
        <v>495</v>
      </c>
      <c r="Z653" s="2127" t="str">
        <f>C638</f>
        <v>USA Properties Fund, Inc.- Tax Exempt B Bond</v>
      </c>
      <c r="AA653" s="2127"/>
      <c r="AB653" s="2127"/>
      <c r="AC653" s="2127"/>
      <c r="AD653" s="2127"/>
      <c r="AE653" s="2127"/>
      <c r="AF653" s="2127"/>
      <c r="AG653" s="2127"/>
      <c r="AH653" s="2127"/>
      <c r="AI653" s="2127"/>
      <c r="AJ653" s="2127"/>
      <c r="AK653" s="2127"/>
      <c r="AZ653" s="61"/>
      <c r="BA653" s="61"/>
      <c r="BB653" s="61"/>
      <c r="BC653" s="61"/>
      <c r="BD653" s="61"/>
      <c r="BE653" s="61"/>
      <c r="BF653" s="61"/>
      <c r="BG653" s="61"/>
      <c r="BH653" s="61"/>
      <c r="BI653" s="61"/>
      <c r="BJ653" s="61"/>
      <c r="BK653" s="61"/>
      <c r="BL653" s="61"/>
      <c r="BM653" s="61"/>
      <c r="BN653" s="2176">
        <f t="shared" si="28"/>
        <v>0</v>
      </c>
      <c r="BO653" s="2177"/>
      <c r="BP653" s="2177"/>
      <c r="BQ653" s="2177"/>
      <c r="BR653" s="2178"/>
      <c r="BS653" s="2068">
        <f t="shared" si="29"/>
        <v>0</v>
      </c>
      <c r="BT653" s="2068"/>
      <c r="BU653" s="2068"/>
      <c r="BV653" s="2068"/>
      <c r="BW653" s="2068"/>
      <c r="BX653" s="2068">
        <f t="shared" si="30"/>
        <v>0</v>
      </c>
      <c r="BY653" s="2068"/>
      <c r="BZ653" s="2068"/>
      <c r="CA653" s="2068"/>
      <c r="CB653" s="2068"/>
      <c r="CC653" s="2068">
        <f t="shared" si="31"/>
        <v>0</v>
      </c>
      <c r="CD653" s="2068"/>
      <c r="CE653" s="2068"/>
      <c r="CF653" s="2068"/>
      <c r="CG653" s="2068"/>
      <c r="CH653" s="2068">
        <f t="shared" si="32"/>
        <v>0</v>
      </c>
      <c r="CI653" s="2068"/>
      <c r="CJ653" s="2068"/>
      <c r="CK653" s="2068"/>
      <c r="CL653" s="2068"/>
      <c r="CM653" s="2068">
        <f t="shared" si="33"/>
        <v>0</v>
      </c>
      <c r="CN653" s="2068"/>
      <c r="CO653" s="2068"/>
      <c r="CP653" s="2068"/>
      <c r="CQ653" s="2068"/>
      <c r="CR653" s="265"/>
      <c r="CS653" s="2176">
        <f t="shared" si="34"/>
        <v>0</v>
      </c>
      <c r="CT653" s="2177"/>
      <c r="CU653" s="2177"/>
      <c r="CV653" s="2177"/>
      <c r="CW653" s="2178"/>
      <c r="CX653" s="2176">
        <f t="shared" si="35"/>
        <v>0</v>
      </c>
      <c r="CY653" s="2177"/>
      <c r="CZ653" s="2177"/>
      <c r="DA653" s="2177"/>
      <c r="DB653" s="2178"/>
      <c r="DC653" s="2176">
        <f t="shared" si="36"/>
        <v>0</v>
      </c>
      <c r="DD653" s="2177"/>
      <c r="DE653" s="2177"/>
      <c r="DF653" s="2177"/>
      <c r="DG653" s="2178"/>
      <c r="DH653" s="2176">
        <f t="shared" si="37"/>
        <v>0</v>
      </c>
      <c r="DI653" s="2177"/>
      <c r="DJ653" s="2177"/>
      <c r="DK653" s="2177"/>
      <c r="DL653" s="2178"/>
      <c r="DM653" s="2176">
        <f t="shared" si="38"/>
        <v>0</v>
      </c>
      <c r="DN653" s="2177"/>
      <c r="DO653" s="2177"/>
      <c r="DP653" s="2177"/>
      <c r="DQ653" s="2178"/>
      <c r="DR653" s="2176">
        <f t="shared" si="39"/>
        <v>0</v>
      </c>
      <c r="DS653" s="2177"/>
      <c r="DT653" s="2177"/>
      <c r="DU653" s="2177"/>
      <c r="DV653" s="2178"/>
      <c r="DX653" s="2562" t="e">
        <f t="shared" si="22"/>
        <v>#VALUE!</v>
      </c>
      <c r="DY653" s="2562"/>
      <c r="DZ653" s="2562"/>
      <c r="EA653" s="2562"/>
      <c r="EB653" s="2562"/>
      <c r="EC653" s="2562" t="e">
        <f t="shared" si="23"/>
        <v>#VALUE!</v>
      </c>
      <c r="ED653" s="2562"/>
      <c r="EE653" s="2562"/>
      <c r="EF653" s="2562"/>
      <c r="EG653" s="2562"/>
      <c r="EH653" s="2562" t="e">
        <f t="shared" si="24"/>
        <v>#VALUE!</v>
      </c>
      <c r="EI653" s="2562"/>
      <c r="EJ653" s="2562"/>
      <c r="EK653" s="2562"/>
      <c r="EL653" s="2562"/>
      <c r="EM653" s="2562" t="e">
        <f t="shared" si="25"/>
        <v>#VALUE!</v>
      </c>
      <c r="EN653" s="2562"/>
      <c r="EO653" s="2562"/>
      <c r="EP653" s="2562"/>
      <c r="EQ653" s="2562"/>
      <c r="ER653" s="2562" t="e">
        <f t="shared" si="26"/>
        <v>#VALUE!</v>
      </c>
      <c r="ES653" s="2562"/>
      <c r="ET653" s="2562"/>
      <c r="EU653" s="2562"/>
      <c r="EV653" s="2562"/>
      <c r="EW653" s="2562" t="e">
        <f t="shared" si="27"/>
        <v>#VALUE!</v>
      </c>
      <c r="EX653" s="2562"/>
      <c r="EY653" s="2562"/>
      <c r="EZ653" s="2562"/>
      <c r="FA653" s="2562"/>
    </row>
    <row r="654" spans="1:157" ht="12.75">
      <c r="A654" s="35"/>
      <c r="B654" s="12" t="s">
        <v>90</v>
      </c>
      <c r="G654" s="2039" t="s">
        <v>2583</v>
      </c>
      <c r="H654" s="2039"/>
      <c r="I654" s="2039"/>
      <c r="J654" s="2039"/>
      <c r="K654" s="2039"/>
      <c r="L654" s="2039"/>
      <c r="M654" s="2039"/>
      <c r="N654" s="2039"/>
      <c r="O654" s="2039"/>
      <c r="P654" s="2039"/>
      <c r="Q654" s="2039"/>
      <c r="R654" s="2039"/>
      <c r="S654" s="14"/>
      <c r="T654" s="35"/>
      <c r="U654" s="12" t="s">
        <v>90</v>
      </c>
      <c r="Z654" s="2039" t="s">
        <v>2545</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176">
        <f t="shared" si="28"/>
        <v>0</v>
      </c>
      <c r="BO654" s="2177"/>
      <c r="BP654" s="2177"/>
      <c r="BQ654" s="2177"/>
      <c r="BR654" s="2178"/>
      <c r="BS654" s="2068">
        <f t="shared" si="29"/>
        <v>0</v>
      </c>
      <c r="BT654" s="2068"/>
      <c r="BU654" s="2068"/>
      <c r="BV654" s="2068"/>
      <c r="BW654" s="2068"/>
      <c r="BX654" s="2068">
        <f t="shared" si="30"/>
        <v>0</v>
      </c>
      <c r="BY654" s="2068"/>
      <c r="BZ654" s="2068"/>
      <c r="CA654" s="2068"/>
      <c r="CB654" s="2068"/>
      <c r="CC654" s="2068">
        <f t="shared" si="31"/>
        <v>0</v>
      </c>
      <c r="CD654" s="2068"/>
      <c r="CE654" s="2068"/>
      <c r="CF654" s="2068"/>
      <c r="CG654" s="2068"/>
      <c r="CH654" s="2068">
        <f t="shared" si="32"/>
        <v>0</v>
      </c>
      <c r="CI654" s="2068"/>
      <c r="CJ654" s="2068"/>
      <c r="CK654" s="2068"/>
      <c r="CL654" s="2068"/>
      <c r="CM654" s="2068">
        <f t="shared" si="33"/>
        <v>0</v>
      </c>
      <c r="CN654" s="2068"/>
      <c r="CO654" s="2068"/>
      <c r="CP654" s="2068"/>
      <c r="CQ654" s="2068"/>
      <c r="CR654" s="265"/>
      <c r="CS654" s="2176">
        <f t="shared" si="34"/>
        <v>0</v>
      </c>
      <c r="CT654" s="2177"/>
      <c r="CU654" s="2177"/>
      <c r="CV654" s="2177"/>
      <c r="CW654" s="2178"/>
      <c r="CX654" s="2176">
        <f t="shared" si="35"/>
        <v>0</v>
      </c>
      <c r="CY654" s="2177"/>
      <c r="CZ654" s="2177"/>
      <c r="DA654" s="2177"/>
      <c r="DB654" s="2178"/>
      <c r="DC654" s="2176">
        <f t="shared" si="36"/>
        <v>0</v>
      </c>
      <c r="DD654" s="2177"/>
      <c r="DE654" s="2177"/>
      <c r="DF654" s="2177"/>
      <c r="DG654" s="2178"/>
      <c r="DH654" s="2176">
        <f t="shared" si="37"/>
        <v>0</v>
      </c>
      <c r="DI654" s="2177"/>
      <c r="DJ654" s="2177"/>
      <c r="DK654" s="2177"/>
      <c r="DL654" s="2178"/>
      <c r="DM654" s="2176">
        <f t="shared" si="38"/>
        <v>0</v>
      </c>
      <c r="DN654" s="2177"/>
      <c r="DO654" s="2177"/>
      <c r="DP654" s="2177"/>
      <c r="DQ654" s="2178"/>
      <c r="DR654" s="2176">
        <f t="shared" si="39"/>
        <v>0</v>
      </c>
      <c r="DS654" s="2177"/>
      <c r="DT654" s="2177"/>
      <c r="DU654" s="2177"/>
      <c r="DV654" s="2178"/>
      <c r="DX654" s="2562" t="e">
        <f t="shared" si="22"/>
        <v>#VALUE!</v>
      </c>
      <c r="DY654" s="2562"/>
      <c r="DZ654" s="2562"/>
      <c r="EA654" s="2562"/>
      <c r="EB654" s="2562"/>
      <c r="EC654" s="2562" t="e">
        <f t="shared" si="23"/>
        <v>#VALUE!</v>
      </c>
      <c r="ED654" s="2562"/>
      <c r="EE654" s="2562"/>
      <c r="EF654" s="2562"/>
      <c r="EG654" s="2562"/>
      <c r="EH654" s="2562" t="e">
        <f t="shared" si="24"/>
        <v>#VALUE!</v>
      </c>
      <c r="EI654" s="2562"/>
      <c r="EJ654" s="2562"/>
      <c r="EK654" s="2562"/>
      <c r="EL654" s="2562"/>
      <c r="EM654" s="2562" t="e">
        <f t="shared" si="25"/>
        <v>#VALUE!</v>
      </c>
      <c r="EN654" s="2562"/>
      <c r="EO654" s="2562"/>
      <c r="EP654" s="2562"/>
      <c r="EQ654" s="2562"/>
      <c r="ER654" s="2562" t="e">
        <f t="shared" si="26"/>
        <v>#VALUE!</v>
      </c>
      <c r="ES654" s="2562"/>
      <c r="ET654" s="2562"/>
      <c r="EU654" s="2562"/>
      <c r="EV654" s="2562"/>
      <c r="EW654" s="2562" t="e">
        <f t="shared" si="27"/>
        <v>#VALUE!</v>
      </c>
      <c r="EX654" s="2562"/>
      <c r="EY654" s="2562"/>
      <c r="EZ654" s="2562"/>
      <c r="FA654" s="2562"/>
    </row>
    <row r="655" spans="1:157" ht="12.75">
      <c r="A655" s="35"/>
      <c r="B655" s="12" t="s">
        <v>614</v>
      </c>
      <c r="G655" s="2039" t="s">
        <v>2584</v>
      </c>
      <c r="H655" s="2039"/>
      <c r="I655" s="2039"/>
      <c r="J655" s="2039"/>
      <c r="K655" s="2039"/>
      <c r="L655" s="2039"/>
      <c r="M655" s="2039"/>
      <c r="N655" s="2039"/>
      <c r="O655" s="2039"/>
      <c r="P655" s="2039"/>
      <c r="Q655" s="2039"/>
      <c r="R655" s="2039"/>
      <c r="S655" s="88"/>
      <c r="T655" s="35"/>
      <c r="U655" s="12" t="s">
        <v>614</v>
      </c>
      <c r="Z655" s="2063" t="s">
        <v>2562</v>
      </c>
      <c r="AA655" s="2063"/>
      <c r="AB655" s="2063"/>
      <c r="AC655" s="2063"/>
      <c r="AD655" s="2063"/>
      <c r="AE655" s="2063"/>
      <c r="AF655" s="2063"/>
      <c r="AG655" s="2063"/>
      <c r="AH655" s="2063"/>
      <c r="AI655" s="2063"/>
      <c r="AJ655" s="2063"/>
      <c r="AK655" s="2063"/>
      <c r="AZ655" s="61"/>
      <c r="BA655" s="61"/>
      <c r="BB655" s="61"/>
      <c r="BC655" s="61"/>
      <c r="BD655" s="61"/>
      <c r="BE655" s="61"/>
      <c r="BF655" s="61"/>
      <c r="BG655" s="61"/>
      <c r="BH655" s="61"/>
      <c r="BI655" s="61"/>
      <c r="BJ655" s="61"/>
      <c r="BK655" s="61"/>
      <c r="BL655" s="61"/>
      <c r="BM655" s="61"/>
      <c r="BN655" s="2176">
        <f t="shared" si="28"/>
        <v>0</v>
      </c>
      <c r="BO655" s="2177"/>
      <c r="BP655" s="2177"/>
      <c r="BQ655" s="2177"/>
      <c r="BR655" s="2178"/>
      <c r="BS655" s="2068">
        <f t="shared" si="29"/>
        <v>0</v>
      </c>
      <c r="BT655" s="2068"/>
      <c r="BU655" s="2068"/>
      <c r="BV655" s="2068"/>
      <c r="BW655" s="2068"/>
      <c r="BX655" s="2068">
        <f t="shared" si="30"/>
        <v>0</v>
      </c>
      <c r="BY655" s="2068"/>
      <c r="BZ655" s="2068"/>
      <c r="CA655" s="2068"/>
      <c r="CB655" s="2068"/>
      <c r="CC655" s="2068">
        <f t="shared" si="31"/>
        <v>0</v>
      </c>
      <c r="CD655" s="2068"/>
      <c r="CE655" s="2068"/>
      <c r="CF655" s="2068"/>
      <c r="CG655" s="2068"/>
      <c r="CH655" s="2068">
        <f t="shared" si="32"/>
        <v>0</v>
      </c>
      <c r="CI655" s="2068"/>
      <c r="CJ655" s="2068"/>
      <c r="CK655" s="2068"/>
      <c r="CL655" s="2068"/>
      <c r="CM655" s="2068">
        <f t="shared" si="33"/>
        <v>0</v>
      </c>
      <c r="CN655" s="2068"/>
      <c r="CO655" s="2068"/>
      <c r="CP655" s="2068"/>
      <c r="CQ655" s="2068"/>
      <c r="CR655" s="265"/>
      <c r="CS655" s="2176">
        <f t="shared" si="34"/>
        <v>0</v>
      </c>
      <c r="CT655" s="2177"/>
      <c r="CU655" s="2177"/>
      <c r="CV655" s="2177"/>
      <c r="CW655" s="2178"/>
      <c r="CX655" s="2176">
        <f t="shared" si="35"/>
        <v>0</v>
      </c>
      <c r="CY655" s="2177"/>
      <c r="CZ655" s="2177"/>
      <c r="DA655" s="2177"/>
      <c r="DB655" s="2178"/>
      <c r="DC655" s="2176">
        <f t="shared" si="36"/>
        <v>0</v>
      </c>
      <c r="DD655" s="2177"/>
      <c r="DE655" s="2177"/>
      <c r="DF655" s="2177"/>
      <c r="DG655" s="2178"/>
      <c r="DH655" s="2176">
        <f t="shared" si="37"/>
        <v>0</v>
      </c>
      <c r="DI655" s="2177"/>
      <c r="DJ655" s="2177"/>
      <c r="DK655" s="2177"/>
      <c r="DL655" s="2178"/>
      <c r="DM655" s="2176">
        <f t="shared" si="38"/>
        <v>0</v>
      </c>
      <c r="DN655" s="2177"/>
      <c r="DO655" s="2177"/>
      <c r="DP655" s="2177"/>
      <c r="DQ655" s="2178"/>
      <c r="DR655" s="2176">
        <f t="shared" si="39"/>
        <v>0</v>
      </c>
      <c r="DS655" s="2177"/>
      <c r="DT655" s="2177"/>
      <c r="DU655" s="2177"/>
      <c r="DV655" s="2178"/>
      <c r="DX655" s="2562" t="e">
        <f t="shared" si="22"/>
        <v>#VALUE!</v>
      </c>
      <c r="DY655" s="2562"/>
      <c r="DZ655" s="2562"/>
      <c r="EA655" s="2562"/>
      <c r="EB655" s="2562"/>
      <c r="EC655" s="2562" t="e">
        <f t="shared" si="23"/>
        <v>#VALUE!</v>
      </c>
      <c r="ED655" s="2562"/>
      <c r="EE655" s="2562"/>
      <c r="EF655" s="2562"/>
      <c r="EG655" s="2562"/>
      <c r="EH655" s="2562" t="e">
        <f t="shared" si="24"/>
        <v>#VALUE!</v>
      </c>
      <c r="EI655" s="2562"/>
      <c r="EJ655" s="2562"/>
      <c r="EK655" s="2562"/>
      <c r="EL655" s="2562"/>
      <c r="EM655" s="2562" t="e">
        <f t="shared" si="25"/>
        <v>#VALUE!</v>
      </c>
      <c r="EN655" s="2562"/>
      <c r="EO655" s="2562"/>
      <c r="EP655" s="2562"/>
      <c r="EQ655" s="2562"/>
      <c r="ER655" s="2562" t="e">
        <f t="shared" si="26"/>
        <v>#VALUE!</v>
      </c>
      <c r="ES655" s="2562"/>
      <c r="ET655" s="2562"/>
      <c r="EU655" s="2562"/>
      <c r="EV655" s="2562"/>
      <c r="EW655" s="2562" t="e">
        <f t="shared" si="27"/>
        <v>#VALUE!</v>
      </c>
      <c r="EX655" s="2562"/>
      <c r="EY655" s="2562"/>
      <c r="EZ655" s="2562"/>
      <c r="FA655" s="2562"/>
    </row>
    <row r="656" spans="1:157" ht="12.75">
      <c r="A656" s="35"/>
      <c r="B656" s="12" t="s">
        <v>17</v>
      </c>
      <c r="G656" s="2039" t="s">
        <v>2585</v>
      </c>
      <c r="H656" s="2039"/>
      <c r="I656" s="2039"/>
      <c r="J656" s="2039"/>
      <c r="K656" s="2039"/>
      <c r="L656" s="2039"/>
      <c r="M656" s="2039"/>
      <c r="N656" s="2039"/>
      <c r="O656" s="2039"/>
      <c r="P656" s="2039"/>
      <c r="Q656" s="2039"/>
      <c r="R656" s="2039"/>
      <c r="S656" s="14"/>
      <c r="T656" s="35"/>
      <c r="U656" s="12" t="s">
        <v>17</v>
      </c>
      <c r="Z656" s="2063" t="s">
        <v>2563</v>
      </c>
      <c r="AA656" s="2063"/>
      <c r="AB656" s="2063"/>
      <c r="AC656" s="2063"/>
      <c r="AD656" s="2063"/>
      <c r="AE656" s="2063"/>
      <c r="AF656" s="2063"/>
      <c r="AG656" s="2063"/>
      <c r="AH656" s="2063"/>
      <c r="AI656" s="2063"/>
      <c r="AJ656" s="2063"/>
      <c r="AK656" s="2063"/>
      <c r="AZ656" s="61"/>
      <c r="BA656" s="61"/>
      <c r="BB656" s="61"/>
      <c r="BC656" s="61"/>
      <c r="BD656" s="61"/>
      <c r="BE656" s="61"/>
      <c r="BF656" s="61"/>
      <c r="BG656" s="61"/>
      <c r="BH656" s="61"/>
      <c r="BI656" s="61"/>
      <c r="BJ656" s="61"/>
      <c r="BK656" s="61"/>
      <c r="BL656" s="61"/>
      <c r="BM656" s="61"/>
      <c r="BN656" s="2176">
        <f t="shared" si="28"/>
        <v>0</v>
      </c>
      <c r="BO656" s="2177"/>
      <c r="BP656" s="2177"/>
      <c r="BQ656" s="2177"/>
      <c r="BR656" s="2178"/>
      <c r="BS656" s="2068">
        <f t="shared" si="29"/>
        <v>0</v>
      </c>
      <c r="BT656" s="2068"/>
      <c r="BU656" s="2068"/>
      <c r="BV656" s="2068"/>
      <c r="BW656" s="2068"/>
      <c r="BX656" s="2068">
        <f t="shared" si="30"/>
        <v>0</v>
      </c>
      <c r="BY656" s="2068"/>
      <c r="BZ656" s="2068"/>
      <c r="CA656" s="2068"/>
      <c r="CB656" s="2068"/>
      <c r="CC656" s="2068">
        <f t="shared" si="31"/>
        <v>0</v>
      </c>
      <c r="CD656" s="2068"/>
      <c r="CE656" s="2068"/>
      <c r="CF656" s="2068"/>
      <c r="CG656" s="2068"/>
      <c r="CH656" s="2068">
        <f t="shared" si="32"/>
        <v>0</v>
      </c>
      <c r="CI656" s="2068"/>
      <c r="CJ656" s="2068"/>
      <c r="CK656" s="2068"/>
      <c r="CL656" s="2068"/>
      <c r="CM656" s="2068">
        <f t="shared" si="33"/>
        <v>0</v>
      </c>
      <c r="CN656" s="2068"/>
      <c r="CO656" s="2068"/>
      <c r="CP656" s="2068"/>
      <c r="CQ656" s="2068"/>
      <c r="CR656" s="265"/>
      <c r="CS656" s="2176">
        <f t="shared" si="34"/>
        <v>0</v>
      </c>
      <c r="CT656" s="2177"/>
      <c r="CU656" s="2177"/>
      <c r="CV656" s="2177"/>
      <c r="CW656" s="2178"/>
      <c r="CX656" s="2176">
        <f t="shared" si="35"/>
        <v>0</v>
      </c>
      <c r="CY656" s="2177"/>
      <c r="CZ656" s="2177"/>
      <c r="DA656" s="2177"/>
      <c r="DB656" s="2178"/>
      <c r="DC656" s="2176">
        <f t="shared" si="36"/>
        <v>0</v>
      </c>
      <c r="DD656" s="2177"/>
      <c r="DE656" s="2177"/>
      <c r="DF656" s="2177"/>
      <c r="DG656" s="2178"/>
      <c r="DH656" s="2176">
        <f t="shared" si="37"/>
        <v>0</v>
      </c>
      <c r="DI656" s="2177"/>
      <c r="DJ656" s="2177"/>
      <c r="DK656" s="2177"/>
      <c r="DL656" s="2178"/>
      <c r="DM656" s="2176">
        <f t="shared" si="38"/>
        <v>0</v>
      </c>
      <c r="DN656" s="2177"/>
      <c r="DO656" s="2177"/>
      <c r="DP656" s="2177"/>
      <c r="DQ656" s="2178"/>
      <c r="DR656" s="2176">
        <f t="shared" si="39"/>
        <v>0</v>
      </c>
      <c r="DS656" s="2177"/>
      <c r="DT656" s="2177"/>
      <c r="DU656" s="2177"/>
      <c r="DV656" s="2178"/>
      <c r="DX656" s="2562" t="e">
        <f t="shared" si="22"/>
        <v>#VALUE!</v>
      </c>
      <c r="DY656" s="2562"/>
      <c r="DZ656" s="2562"/>
      <c r="EA656" s="2562"/>
      <c r="EB656" s="2562"/>
      <c r="EC656" s="2562" t="e">
        <f t="shared" si="23"/>
        <v>#VALUE!</v>
      </c>
      <c r="ED656" s="2562"/>
      <c r="EE656" s="2562"/>
      <c r="EF656" s="2562"/>
      <c r="EG656" s="2562"/>
      <c r="EH656" s="2562" t="e">
        <f t="shared" si="24"/>
        <v>#VALUE!</v>
      </c>
      <c r="EI656" s="2562"/>
      <c r="EJ656" s="2562"/>
      <c r="EK656" s="2562"/>
      <c r="EL656" s="2562"/>
      <c r="EM656" s="2562" t="e">
        <f t="shared" si="25"/>
        <v>#VALUE!</v>
      </c>
      <c r="EN656" s="2562"/>
      <c r="EO656" s="2562"/>
      <c r="EP656" s="2562"/>
      <c r="EQ656" s="2562"/>
      <c r="ER656" s="2562" t="e">
        <f t="shared" si="26"/>
        <v>#VALUE!</v>
      </c>
      <c r="ES656" s="2562"/>
      <c r="ET656" s="2562"/>
      <c r="EU656" s="2562"/>
      <c r="EV656" s="2562"/>
      <c r="EW656" s="2562" t="e">
        <f t="shared" si="27"/>
        <v>#VALUE!</v>
      </c>
      <c r="EX656" s="2562"/>
      <c r="EY656" s="2562"/>
      <c r="EZ656" s="2562"/>
      <c r="FA656" s="2562"/>
    </row>
    <row r="657" spans="1:157" ht="12.75">
      <c r="A657" s="35"/>
      <c r="B657" s="12" t="s">
        <v>325</v>
      </c>
      <c r="G657" s="2131">
        <v>8055570933</v>
      </c>
      <c r="H657" s="2131"/>
      <c r="I657" s="2131"/>
      <c r="J657" s="2131"/>
      <c r="K657" s="2131"/>
      <c r="L657" s="2131"/>
      <c r="O657" s="137" t="s">
        <v>212</v>
      </c>
      <c r="P657" s="2062"/>
      <c r="Q657" s="2062"/>
      <c r="R657" s="2062"/>
      <c r="S657" s="16"/>
      <c r="T657" s="35"/>
      <c r="U657" s="12" t="s">
        <v>325</v>
      </c>
      <c r="Z657" s="2131">
        <v>9167736060</v>
      </c>
      <c r="AA657" s="2131"/>
      <c r="AB657" s="2131"/>
      <c r="AC657" s="2131"/>
      <c r="AD657" s="2131"/>
      <c r="AE657" s="2131"/>
      <c r="AH657" s="137" t="s">
        <v>212</v>
      </c>
      <c r="AI657" s="2062"/>
      <c r="AJ657" s="2062"/>
      <c r="AK657" s="2062"/>
      <c r="AZ657" s="61"/>
      <c r="BA657" s="61"/>
      <c r="BB657" s="61"/>
      <c r="BC657" s="61"/>
      <c r="BD657" s="61"/>
      <c r="BE657" s="61"/>
      <c r="BF657" s="61"/>
      <c r="BG657" s="61"/>
      <c r="BH657" s="61"/>
      <c r="BI657" s="61"/>
      <c r="BJ657" s="61"/>
      <c r="BK657" s="61"/>
      <c r="BL657" s="61"/>
      <c r="BM657" s="61"/>
      <c r="BN657" s="2176">
        <f t="shared" si="28"/>
        <v>0</v>
      </c>
      <c r="BO657" s="2177"/>
      <c r="BP657" s="2177"/>
      <c r="BQ657" s="2177"/>
      <c r="BR657" s="2178"/>
      <c r="BS657" s="2068">
        <f t="shared" si="29"/>
        <v>0</v>
      </c>
      <c r="BT657" s="2068"/>
      <c r="BU657" s="2068"/>
      <c r="BV657" s="2068"/>
      <c r="BW657" s="2068"/>
      <c r="BX657" s="2068">
        <f t="shared" si="30"/>
        <v>0</v>
      </c>
      <c r="BY657" s="2068"/>
      <c r="BZ657" s="2068"/>
      <c r="CA657" s="2068"/>
      <c r="CB657" s="2068"/>
      <c r="CC657" s="2068">
        <f t="shared" si="31"/>
        <v>0</v>
      </c>
      <c r="CD657" s="2068"/>
      <c r="CE657" s="2068"/>
      <c r="CF657" s="2068"/>
      <c r="CG657" s="2068"/>
      <c r="CH657" s="2068">
        <f t="shared" si="32"/>
        <v>0</v>
      </c>
      <c r="CI657" s="2068"/>
      <c r="CJ657" s="2068"/>
      <c r="CK657" s="2068"/>
      <c r="CL657" s="2068"/>
      <c r="CM657" s="2068">
        <f t="shared" si="33"/>
        <v>0</v>
      </c>
      <c r="CN657" s="2068"/>
      <c r="CO657" s="2068"/>
      <c r="CP657" s="2068"/>
      <c r="CQ657" s="2068"/>
      <c r="CR657" s="265"/>
      <c r="CS657" s="2176">
        <f t="shared" si="34"/>
        <v>0</v>
      </c>
      <c r="CT657" s="2177"/>
      <c r="CU657" s="2177"/>
      <c r="CV657" s="2177"/>
      <c r="CW657" s="2178"/>
      <c r="CX657" s="2176">
        <f t="shared" si="35"/>
        <v>0</v>
      </c>
      <c r="CY657" s="2177"/>
      <c r="CZ657" s="2177"/>
      <c r="DA657" s="2177"/>
      <c r="DB657" s="2178"/>
      <c r="DC657" s="2176">
        <f t="shared" si="36"/>
        <v>0</v>
      </c>
      <c r="DD657" s="2177"/>
      <c r="DE657" s="2177"/>
      <c r="DF657" s="2177"/>
      <c r="DG657" s="2178"/>
      <c r="DH657" s="2176">
        <f t="shared" si="37"/>
        <v>0</v>
      </c>
      <c r="DI657" s="2177"/>
      <c r="DJ657" s="2177"/>
      <c r="DK657" s="2177"/>
      <c r="DL657" s="2178"/>
      <c r="DM657" s="2176">
        <f t="shared" si="38"/>
        <v>0</v>
      </c>
      <c r="DN657" s="2177"/>
      <c r="DO657" s="2177"/>
      <c r="DP657" s="2177"/>
      <c r="DQ657" s="2178"/>
      <c r="DR657" s="2176">
        <f t="shared" si="39"/>
        <v>0</v>
      </c>
      <c r="DS657" s="2177"/>
      <c r="DT657" s="2177"/>
      <c r="DU657" s="2177"/>
      <c r="DV657" s="2178"/>
      <c r="DX657" s="2562" t="e">
        <f t="shared" si="22"/>
        <v>#VALUE!</v>
      </c>
      <c r="DY657" s="2562"/>
      <c r="DZ657" s="2562"/>
      <c r="EA657" s="2562"/>
      <c r="EB657" s="2562"/>
      <c r="EC657" s="2562" t="e">
        <f t="shared" si="23"/>
        <v>#VALUE!</v>
      </c>
      <c r="ED657" s="2562"/>
      <c r="EE657" s="2562"/>
      <c r="EF657" s="2562"/>
      <c r="EG657" s="2562"/>
      <c r="EH657" s="2562" t="e">
        <f t="shared" si="24"/>
        <v>#VALUE!</v>
      </c>
      <c r="EI657" s="2562"/>
      <c r="EJ657" s="2562"/>
      <c r="EK657" s="2562"/>
      <c r="EL657" s="2562"/>
      <c r="EM657" s="2562" t="e">
        <f t="shared" si="25"/>
        <v>#VALUE!</v>
      </c>
      <c r="EN657" s="2562"/>
      <c r="EO657" s="2562"/>
      <c r="EP657" s="2562"/>
      <c r="EQ657" s="2562"/>
      <c r="ER657" s="2562" t="e">
        <f t="shared" si="26"/>
        <v>#VALUE!</v>
      </c>
      <c r="ES657" s="2562"/>
      <c r="ET657" s="2562"/>
      <c r="EU657" s="2562"/>
      <c r="EV657" s="2562"/>
      <c r="EW657" s="2562" t="e">
        <f t="shared" si="27"/>
        <v>#VALUE!</v>
      </c>
      <c r="EX657" s="2562"/>
      <c r="EY657" s="2562"/>
      <c r="EZ657" s="2562"/>
      <c r="FA657" s="2562"/>
    </row>
    <row r="658" spans="1:157" ht="12.75">
      <c r="A658" s="35"/>
      <c r="B658" s="12" t="s">
        <v>18</v>
      </c>
      <c r="H658" s="2039" t="s">
        <v>2637</v>
      </c>
      <c r="I658" s="2039"/>
      <c r="J658" s="2039"/>
      <c r="K658" s="2039"/>
      <c r="L658" s="2039"/>
      <c r="M658" s="2039"/>
      <c r="N658" s="2039"/>
      <c r="O658" s="2039"/>
      <c r="P658" s="2039"/>
      <c r="Q658" s="2039"/>
      <c r="R658" s="2039"/>
      <c r="S658" s="14"/>
      <c r="T658" s="35"/>
      <c r="U658" s="12" t="s">
        <v>18</v>
      </c>
      <c r="AA658" s="2039" t="s">
        <v>2636</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184">
        <f>SUM(BN648:BR657)</f>
        <v>0</v>
      </c>
      <c r="BO658" s="2189"/>
      <c r="BP658" s="2189"/>
      <c r="BQ658" s="2189"/>
      <c r="BR658" s="2185"/>
      <c r="BS658" s="2186">
        <f>SUM(BS648:BW657)</f>
        <v>0</v>
      </c>
      <c r="BT658" s="2187"/>
      <c r="BU658" s="2187"/>
      <c r="BV658" s="2187"/>
      <c r="BW658" s="2188"/>
      <c r="BX658" s="2186">
        <f>SUM(BX648:CB657)</f>
        <v>0</v>
      </c>
      <c r="BY658" s="2187"/>
      <c r="BZ658" s="2187"/>
      <c r="CA658" s="2187"/>
      <c r="CB658" s="2188"/>
      <c r="CC658" s="2186">
        <f>SUM(CC648:CG657)</f>
        <v>0</v>
      </c>
      <c r="CD658" s="2187"/>
      <c r="CE658" s="2187"/>
      <c r="CF658" s="2187"/>
      <c r="CG658" s="2188"/>
      <c r="CH658" s="2186">
        <f>SUM(CH648:CL657)</f>
        <v>0</v>
      </c>
      <c r="CI658" s="2187"/>
      <c r="CJ658" s="2187"/>
      <c r="CK658" s="2187"/>
      <c r="CL658" s="2188"/>
      <c r="CM658" s="2186">
        <f>SUM(CM648:CQ657)</f>
        <v>0</v>
      </c>
      <c r="CN658" s="2187"/>
      <c r="CO658" s="2187"/>
      <c r="CP658" s="2187"/>
      <c r="CQ658" s="2188"/>
      <c r="CR658" s="1805"/>
      <c r="CS658" s="2570">
        <f>SUM(CS648:CW657)</f>
        <v>0</v>
      </c>
      <c r="CT658" s="2570"/>
      <c r="CU658" s="2570"/>
      <c r="CV658" s="2570"/>
      <c r="CW658" s="2570"/>
      <c r="CX658" s="2570">
        <f>SUM(CX648:DB657)</f>
        <v>0</v>
      </c>
      <c r="CY658" s="2570"/>
      <c r="CZ658" s="2570"/>
      <c r="DA658" s="2570"/>
      <c r="DB658" s="2570"/>
      <c r="DC658" s="2570">
        <f>SUM(DC648:DG657)</f>
        <v>0</v>
      </c>
      <c r="DD658" s="2570"/>
      <c r="DE658" s="2570"/>
      <c r="DF658" s="2570"/>
      <c r="DG658" s="2570"/>
      <c r="DH658" s="2570">
        <f>SUM(DH648:DL657)</f>
        <v>0</v>
      </c>
      <c r="DI658" s="2570"/>
      <c r="DJ658" s="2570"/>
      <c r="DK658" s="2570"/>
      <c r="DL658" s="2570"/>
      <c r="DM658" s="2570">
        <f>SUM(DM648:DQ657)</f>
        <v>0</v>
      </c>
      <c r="DN658" s="2570"/>
      <c r="DO658" s="2570"/>
      <c r="DP658" s="2570"/>
      <c r="DQ658" s="2570"/>
      <c r="DR658" s="2570">
        <f>SUM(DR648:DV657)</f>
        <v>0</v>
      </c>
      <c r="DS658" s="2570"/>
      <c r="DT658" s="2570"/>
      <c r="DU658" s="2570"/>
      <c r="DV658" s="2570"/>
      <c r="DX658" s="2562" t="e">
        <f t="shared" si="22"/>
        <v>#VALUE!</v>
      </c>
      <c r="DY658" s="2562"/>
      <c r="DZ658" s="2562"/>
      <c r="EA658" s="2562"/>
      <c r="EB658" s="2562"/>
      <c r="EC658" s="2562" t="e">
        <f t="shared" si="23"/>
        <v>#VALUE!</v>
      </c>
      <c r="ED658" s="2562"/>
      <c r="EE658" s="2562"/>
      <c r="EF658" s="2562"/>
      <c r="EG658" s="2562"/>
      <c r="EH658" s="2562" t="e">
        <f t="shared" si="24"/>
        <v>#VALUE!</v>
      </c>
      <c r="EI658" s="2562"/>
      <c r="EJ658" s="2562"/>
      <c r="EK658" s="2562"/>
      <c r="EL658" s="2562"/>
      <c r="EM658" s="2562" t="e">
        <f t="shared" si="25"/>
        <v>#VALUE!</v>
      </c>
      <c r="EN658" s="2562"/>
      <c r="EO658" s="2562"/>
      <c r="EP658" s="2562"/>
      <c r="EQ658" s="2562"/>
      <c r="ER658" s="2562" t="e">
        <f t="shared" si="26"/>
        <v>#VALUE!</v>
      </c>
      <c r="ES658" s="2562"/>
      <c r="ET658" s="2562"/>
      <c r="EU658" s="2562"/>
      <c r="EV658" s="2562"/>
      <c r="EW658" s="2562" t="e">
        <f t="shared" si="27"/>
        <v>#VALUE!</v>
      </c>
      <c r="EX658" s="2562"/>
      <c r="EY658" s="2562"/>
      <c r="EZ658" s="2562"/>
      <c r="FA658" s="2562"/>
    </row>
    <row r="659" spans="1:157" ht="12.75">
      <c r="A659" s="35"/>
      <c r="B659" s="12" t="s">
        <v>20</v>
      </c>
      <c r="N659" s="2029" t="s">
        <v>577</v>
      </c>
      <c r="O659" s="2029"/>
      <c r="T659" s="35"/>
      <c r="U659" s="12" t="s">
        <v>20</v>
      </c>
      <c r="AG659" s="2029" t="s">
        <v>577</v>
      </c>
      <c r="AH659" s="202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2" t="e">
        <f t="shared" si="22"/>
        <v>#VALUE!</v>
      </c>
      <c r="DY659" s="2562"/>
      <c r="DZ659" s="2562"/>
      <c r="EA659" s="2562"/>
      <c r="EB659" s="2562"/>
      <c r="EC659" s="2562" t="e">
        <f t="shared" si="23"/>
        <v>#VALUE!</v>
      </c>
      <c r="ED659" s="2562"/>
      <c r="EE659" s="2562"/>
      <c r="EF659" s="2562"/>
      <c r="EG659" s="2562"/>
      <c r="EH659" s="2562" t="e">
        <f t="shared" si="24"/>
        <v>#VALUE!</v>
      </c>
      <c r="EI659" s="2562"/>
      <c r="EJ659" s="2562"/>
      <c r="EK659" s="2562"/>
      <c r="EL659" s="2562"/>
      <c r="EM659" s="2562" t="e">
        <f t="shared" si="25"/>
        <v>#VALUE!</v>
      </c>
      <c r="EN659" s="2562"/>
      <c r="EO659" s="2562"/>
      <c r="EP659" s="2562"/>
      <c r="EQ659" s="2562"/>
      <c r="ER659" s="2562" t="e">
        <f t="shared" si="26"/>
        <v>#VALUE!</v>
      </c>
      <c r="ES659" s="2562"/>
      <c r="ET659" s="2562"/>
      <c r="EU659" s="2562"/>
      <c r="EV659" s="2562"/>
      <c r="EW659" s="2562" t="e">
        <f t="shared" si="27"/>
        <v>#VALUE!</v>
      </c>
      <c r="EX659" s="2562"/>
      <c r="EY659" s="2562"/>
      <c r="EZ659" s="2562"/>
      <c r="FA659" s="256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62">
        <f>SUM(CS658:DV658)</f>
        <v>0</v>
      </c>
      <c r="DS660" s="2562"/>
      <c r="DT660" s="2562"/>
      <c r="DU660" s="2562"/>
      <c r="DV660" s="2562"/>
      <c r="DX660" s="2562" t="e">
        <f t="shared" si="22"/>
        <v>#VALUE!</v>
      </c>
      <c r="DY660" s="2562"/>
      <c r="DZ660" s="2562"/>
      <c r="EA660" s="2562"/>
      <c r="EB660" s="2562"/>
      <c r="EC660" s="2562" t="e">
        <f t="shared" si="23"/>
        <v>#VALUE!</v>
      </c>
      <c r="ED660" s="2562"/>
      <c r="EE660" s="2562"/>
      <c r="EF660" s="2562"/>
      <c r="EG660" s="2562"/>
      <c r="EH660" s="2562" t="e">
        <f t="shared" si="24"/>
        <v>#VALUE!</v>
      </c>
      <c r="EI660" s="2562"/>
      <c r="EJ660" s="2562"/>
      <c r="EK660" s="2562"/>
      <c r="EL660" s="2562"/>
      <c r="EM660" s="2562" t="e">
        <f t="shared" si="25"/>
        <v>#VALUE!</v>
      </c>
      <c r="EN660" s="2562"/>
      <c r="EO660" s="2562"/>
      <c r="EP660" s="2562"/>
      <c r="EQ660" s="2562"/>
      <c r="ER660" s="2562" t="e">
        <f t="shared" si="26"/>
        <v>#VALUE!</v>
      </c>
      <c r="ES660" s="2562"/>
      <c r="ET660" s="2562"/>
      <c r="EU660" s="2562"/>
      <c r="EV660" s="2562"/>
      <c r="EW660" s="2562" t="e">
        <f t="shared" si="27"/>
        <v>#VALUE!</v>
      </c>
      <c r="EX660" s="2562"/>
      <c r="EY660" s="2562"/>
      <c r="EZ660" s="2562"/>
      <c r="FA660" s="2562"/>
    </row>
    <row r="661" spans="1:157" ht="12.75">
      <c r="A661" s="87" t="s">
        <v>124</v>
      </c>
      <c r="B661" s="12" t="s">
        <v>495</v>
      </c>
      <c r="G661" s="2127">
        <f>C639</f>
        <v>0</v>
      </c>
      <c r="H661" s="2127"/>
      <c r="I661" s="2127"/>
      <c r="J661" s="2127"/>
      <c r="K661" s="2127"/>
      <c r="L661" s="2127"/>
      <c r="M661" s="2127"/>
      <c r="N661" s="2127"/>
      <c r="O661" s="2127"/>
      <c r="P661" s="2127"/>
      <c r="Q661" s="2127"/>
      <c r="R661" s="2127"/>
      <c r="T661" s="87" t="s">
        <v>615</v>
      </c>
      <c r="U661" s="12" t="s">
        <v>495</v>
      </c>
      <c r="Z661" s="2127" t="str">
        <f>C640</f>
        <v>Riverside Charitable Corp-Equity Investment</v>
      </c>
      <c r="AA661" s="2127"/>
      <c r="AB661" s="2127"/>
      <c r="AC661" s="2127"/>
      <c r="AD661" s="2127"/>
      <c r="AE661" s="2127"/>
      <c r="AF661" s="2127"/>
      <c r="AG661" s="2127"/>
      <c r="AH661" s="2127"/>
      <c r="AI661" s="2127"/>
      <c r="AJ661" s="2127"/>
      <c r="AK661" s="2127"/>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2" t="e">
        <f t="shared" si="22"/>
        <v>#VALUE!</v>
      </c>
      <c r="DY661" s="2562"/>
      <c r="DZ661" s="2562"/>
      <c r="EA661" s="2562"/>
      <c r="EB661" s="2562"/>
      <c r="EC661" s="2562" t="e">
        <f t="shared" si="23"/>
        <v>#VALUE!</v>
      </c>
      <c r="ED661" s="2562"/>
      <c r="EE661" s="2562"/>
      <c r="EF661" s="2562"/>
      <c r="EG661" s="2562"/>
      <c r="EH661" s="2562" t="e">
        <f t="shared" si="24"/>
        <v>#VALUE!</v>
      </c>
      <c r="EI661" s="2562"/>
      <c r="EJ661" s="2562"/>
      <c r="EK661" s="2562"/>
      <c r="EL661" s="2562"/>
      <c r="EM661" s="2562" t="e">
        <f t="shared" si="25"/>
        <v>#VALUE!</v>
      </c>
      <c r="EN661" s="2562"/>
      <c r="EO661" s="2562"/>
      <c r="EP661" s="2562"/>
      <c r="EQ661" s="2562"/>
      <c r="ER661" s="2562" t="e">
        <f t="shared" si="26"/>
        <v>#VALUE!</v>
      </c>
      <c r="ES661" s="2562"/>
      <c r="ET661" s="2562"/>
      <c r="EU661" s="2562"/>
      <c r="EV661" s="2562"/>
      <c r="EW661" s="2562" t="e">
        <f t="shared" si="27"/>
        <v>#VALUE!</v>
      </c>
      <c r="EX661" s="2562"/>
      <c r="EY661" s="2562"/>
      <c r="EZ661" s="2562"/>
      <c r="FA661" s="2562"/>
    </row>
    <row r="662" spans="1:157" ht="12.75">
      <c r="A662" s="35"/>
      <c r="B662" s="12" t="s">
        <v>90</v>
      </c>
      <c r="G662" s="2039"/>
      <c r="H662" s="2039"/>
      <c r="I662" s="2039"/>
      <c r="J662" s="2039"/>
      <c r="K662" s="2039"/>
      <c r="L662" s="2039"/>
      <c r="M662" s="2039"/>
      <c r="N662" s="2039"/>
      <c r="O662" s="2039"/>
      <c r="P662" s="2039"/>
      <c r="Q662" s="2039"/>
      <c r="R662" s="2039"/>
      <c r="T662" s="35"/>
      <c r="U662" s="12" t="s">
        <v>90</v>
      </c>
      <c r="Z662" s="2039" t="s">
        <v>2554</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2" t="e">
        <f t="shared" si="22"/>
        <v>#VALUE!</v>
      </c>
      <c r="DY662" s="2562"/>
      <c r="DZ662" s="2562"/>
      <c r="EA662" s="2562"/>
      <c r="EB662" s="2562"/>
      <c r="EC662" s="2562" t="e">
        <f t="shared" si="23"/>
        <v>#VALUE!</v>
      </c>
      <c r="ED662" s="2562"/>
      <c r="EE662" s="2562"/>
      <c r="EF662" s="2562"/>
      <c r="EG662" s="2562"/>
      <c r="EH662" s="2562" t="e">
        <f t="shared" si="24"/>
        <v>#VALUE!</v>
      </c>
      <c r="EI662" s="2562"/>
      <c r="EJ662" s="2562"/>
      <c r="EK662" s="2562"/>
      <c r="EL662" s="2562"/>
      <c r="EM662" s="2562" t="e">
        <f t="shared" si="25"/>
        <v>#VALUE!</v>
      </c>
      <c r="EN662" s="2562"/>
      <c r="EO662" s="2562"/>
      <c r="EP662" s="2562"/>
      <c r="EQ662" s="2562"/>
      <c r="ER662" s="2562" t="e">
        <f t="shared" si="26"/>
        <v>#VALUE!</v>
      </c>
      <c r="ES662" s="2562"/>
      <c r="ET662" s="2562"/>
      <c r="EU662" s="2562"/>
      <c r="EV662" s="2562"/>
      <c r="EW662" s="2562" t="e">
        <f t="shared" si="27"/>
        <v>#VALUE!</v>
      </c>
      <c r="EX662" s="2562"/>
      <c r="EY662" s="2562"/>
      <c r="EZ662" s="2562"/>
      <c r="FA662" s="2562"/>
    </row>
    <row r="663" spans="1:157" ht="12.75">
      <c r="A663" s="35"/>
      <c r="B663" s="12" t="s">
        <v>614</v>
      </c>
      <c r="G663" s="2063"/>
      <c r="H663" s="2063"/>
      <c r="I663" s="2063"/>
      <c r="J663" s="2063"/>
      <c r="K663" s="2063"/>
      <c r="L663" s="2063"/>
      <c r="M663" s="2063"/>
      <c r="N663" s="2063"/>
      <c r="O663" s="2063"/>
      <c r="P663" s="2063"/>
      <c r="Q663" s="2063"/>
      <c r="R663" s="2063"/>
      <c r="T663" s="35"/>
      <c r="U663" s="12" t="s">
        <v>614</v>
      </c>
      <c r="Z663" s="2063" t="s">
        <v>2555</v>
      </c>
      <c r="AA663" s="2063"/>
      <c r="AB663" s="2063"/>
      <c r="AC663" s="2063"/>
      <c r="AD663" s="2063"/>
      <c r="AE663" s="2063"/>
      <c r="AF663" s="2063"/>
      <c r="AG663" s="2063"/>
      <c r="AH663" s="2063"/>
      <c r="AI663" s="2063"/>
      <c r="AJ663" s="2063"/>
      <c r="AK663" s="2063"/>
      <c r="AZ663" s="61"/>
      <c r="BA663" s="61"/>
      <c r="BB663" s="61"/>
      <c r="BC663" s="61"/>
      <c r="BD663" s="61"/>
      <c r="BE663" s="61"/>
      <c r="BF663" s="61"/>
      <c r="BG663" s="61"/>
      <c r="BH663" s="61"/>
      <c r="BI663" s="61"/>
      <c r="BJ663" s="61"/>
      <c r="BK663" s="61"/>
      <c r="BL663" s="61"/>
      <c r="BM663" s="61"/>
      <c r="BN663" s="2186">
        <f>BN635+BN644+BN658</f>
        <v>0</v>
      </c>
      <c r="BO663" s="2187"/>
      <c r="BP663" s="2187"/>
      <c r="BQ663" s="2187"/>
      <c r="BR663" s="2188"/>
      <c r="BS663" s="2186">
        <f>BS635+BS644+BS658</f>
        <v>72</v>
      </c>
      <c r="BT663" s="2187"/>
      <c r="BU663" s="2187"/>
      <c r="BV663" s="2187"/>
      <c r="BW663" s="2188"/>
      <c r="BX663" s="2186">
        <f>BX635+BX644+BX658</f>
        <v>144</v>
      </c>
      <c r="BY663" s="2187"/>
      <c r="BZ663" s="2187"/>
      <c r="CA663" s="2187"/>
      <c r="CB663" s="2188"/>
      <c r="CC663" s="2186">
        <f>CC635+CC644+CC658</f>
        <v>72</v>
      </c>
      <c r="CD663" s="2187"/>
      <c r="CE663" s="2187"/>
      <c r="CF663" s="2187"/>
      <c r="CG663" s="2188"/>
      <c r="CH663" s="2186">
        <f>CH635+CH644+CH658</f>
        <v>0</v>
      </c>
      <c r="CI663" s="2187"/>
      <c r="CJ663" s="2187"/>
      <c r="CK663" s="2187"/>
      <c r="CL663" s="2188"/>
      <c r="CM663" s="2010">
        <f>CM658+CM644+CM635</f>
        <v>0</v>
      </c>
      <c r="CN663" s="2190"/>
      <c r="CO663" s="2190"/>
      <c r="CP663" s="2190"/>
      <c r="CQ663" s="2011"/>
      <c r="CR663" s="177"/>
      <c r="CS663" s="1470">
        <f>CS637+CS661</f>
        <v>570</v>
      </c>
      <c r="CT663" s="134" t="s">
        <v>2391</v>
      </c>
      <c r="CU663" s="58"/>
      <c r="CV663" s="58"/>
      <c r="CW663" s="58"/>
      <c r="CX663" s="58"/>
      <c r="CY663" s="58"/>
      <c r="CZ663" s="58"/>
      <c r="DA663" s="58"/>
      <c r="DB663" s="58"/>
      <c r="DC663" s="58"/>
      <c r="DD663" s="58"/>
      <c r="DE663" s="58"/>
      <c r="DF663" s="58"/>
      <c r="DX663" s="2562">
        <f>SUMIF(DX638:EB662,"&gt;0")</f>
        <v>0</v>
      </c>
      <c r="DY663" s="2562"/>
      <c r="DZ663" s="2562"/>
      <c r="EA663" s="2562"/>
      <c r="EB663" s="2562"/>
      <c r="EC663" s="2562">
        <f>SUMIF(EC638:EG662,"&gt;0")</f>
        <v>973.36111111111109</v>
      </c>
      <c r="ED663" s="2562"/>
      <c r="EE663" s="2562"/>
      <c r="EF663" s="2562"/>
      <c r="EG663" s="2562"/>
      <c r="EH663" s="2562">
        <f>SUMIF(EH638:EL662,"&gt;0")</f>
        <v>1146.7659574468084</v>
      </c>
      <c r="EI663" s="2562"/>
      <c r="EJ663" s="2562"/>
      <c r="EK663" s="2562"/>
      <c r="EL663" s="2562"/>
      <c r="EM663" s="2562">
        <f>SUMIF(EM638:EQ662,"&gt;0")</f>
        <v>1317.0277777777778</v>
      </c>
      <c r="EN663" s="2562"/>
      <c r="EO663" s="2562"/>
      <c r="EP663" s="2562"/>
      <c r="EQ663" s="2562"/>
      <c r="ER663" s="2562">
        <f>SUMIF(ER638:EV662,"&gt;0")</f>
        <v>0</v>
      </c>
      <c r="ES663" s="2562"/>
      <c r="ET663" s="2562"/>
      <c r="EU663" s="2562"/>
      <c r="EV663" s="2562"/>
      <c r="EW663" s="2562">
        <f>SUMIF(EW638:FA662,"&gt;0")</f>
        <v>0</v>
      </c>
      <c r="EX663" s="2562"/>
      <c r="EY663" s="2562"/>
      <c r="EZ663" s="2562"/>
      <c r="FA663" s="2562"/>
    </row>
    <row r="664" spans="1:157" ht="12.75">
      <c r="A664" s="35"/>
      <c r="B664" s="12" t="s">
        <v>17</v>
      </c>
      <c r="G664" s="2063"/>
      <c r="H664" s="2063"/>
      <c r="I664" s="2063"/>
      <c r="J664" s="2063"/>
      <c r="K664" s="2063"/>
      <c r="L664" s="2063"/>
      <c r="M664" s="2063"/>
      <c r="N664" s="2063"/>
      <c r="O664" s="2063"/>
      <c r="P664" s="2063"/>
      <c r="Q664" s="2063"/>
      <c r="R664" s="2063"/>
      <c r="T664" s="35"/>
      <c r="U664" s="12" t="s">
        <v>17</v>
      </c>
      <c r="Z664" s="2063" t="s">
        <v>2556</v>
      </c>
      <c r="AA664" s="2063"/>
      <c r="AB664" s="2063"/>
      <c r="AC664" s="2063"/>
      <c r="AD664" s="2063"/>
      <c r="AE664" s="2063"/>
      <c r="AF664" s="2063"/>
      <c r="AG664" s="2063"/>
      <c r="AH664" s="2063"/>
      <c r="AI664" s="2063"/>
      <c r="AJ664" s="2063"/>
      <c r="AK664" s="206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31"/>
      <c r="H665" s="2131"/>
      <c r="I665" s="2131"/>
      <c r="J665" s="2131"/>
      <c r="K665" s="2131"/>
      <c r="L665" s="2131"/>
      <c r="O665" s="137" t="s">
        <v>212</v>
      </c>
      <c r="P665" s="2062"/>
      <c r="Q665" s="2062"/>
      <c r="R665" s="2062"/>
      <c r="T665" s="35"/>
      <c r="U665" s="12" t="s">
        <v>325</v>
      </c>
      <c r="Z665" s="2040">
        <v>7146281654</v>
      </c>
      <c r="AA665" s="2040"/>
      <c r="AB665" s="2040"/>
      <c r="AC665" s="2040"/>
      <c r="AD665" s="2040"/>
      <c r="AE665" s="2040"/>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c r="I666" s="2039"/>
      <c r="J666" s="2039"/>
      <c r="K666" s="2039"/>
      <c r="L666" s="2039"/>
      <c r="M666" s="2039"/>
      <c r="N666" s="2039"/>
      <c r="O666" s="2039"/>
      <c r="P666" s="2039"/>
      <c r="Q666" s="2039"/>
      <c r="R666" s="2039"/>
      <c r="T666" s="35"/>
      <c r="U666" s="12" t="s">
        <v>18</v>
      </c>
      <c r="AA666" s="2039" t="s">
        <v>2638</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9" t="s">
        <v>577</v>
      </c>
      <c r="O667" s="2029"/>
      <c r="T667" s="35"/>
      <c r="U667" s="12" t="s">
        <v>20</v>
      </c>
      <c r="AG667" s="2029" t="s">
        <v>577</v>
      </c>
      <c r="AH667" s="202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27" t="str">
        <f>C641</f>
        <v>NOI during Construction</v>
      </c>
      <c r="H669" s="2127"/>
      <c r="I669" s="2127"/>
      <c r="J669" s="2127"/>
      <c r="K669" s="2127"/>
      <c r="L669" s="2127"/>
      <c r="M669" s="2127"/>
      <c r="N669" s="2127"/>
      <c r="O669" s="2127"/>
      <c r="P669" s="2127"/>
      <c r="Q669" s="2127"/>
      <c r="R669" s="2127"/>
      <c r="T669" s="87" t="s">
        <v>618</v>
      </c>
      <c r="U669" s="12" t="s">
        <v>495</v>
      </c>
      <c r="Z669" s="2127" t="str">
        <f>C642</f>
        <v>USA Multi-Family Development, Inc.</v>
      </c>
      <c r="AA669" s="2127"/>
      <c r="AB669" s="2127"/>
      <c r="AC669" s="2127"/>
      <c r="AD669" s="2127"/>
      <c r="AE669" s="2127"/>
      <c r="AF669" s="2127"/>
      <c r="AG669" s="2127"/>
      <c r="AH669" s="2127"/>
      <c r="AI669" s="2127"/>
      <c r="AJ669" s="2127"/>
      <c r="AK669" s="2127"/>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2545</v>
      </c>
      <c r="H670" s="2039"/>
      <c r="I670" s="2039"/>
      <c r="J670" s="2039"/>
      <c r="K670" s="2039"/>
      <c r="L670" s="2039"/>
      <c r="M670" s="2039"/>
      <c r="N670" s="2039"/>
      <c r="O670" s="2039"/>
      <c r="P670" s="2039"/>
      <c r="Q670" s="2039"/>
      <c r="R670" s="2039"/>
      <c r="T670" s="35"/>
      <c r="U670" s="12" t="s">
        <v>90</v>
      </c>
      <c r="Z670" s="2039" t="s">
        <v>2545</v>
      </c>
      <c r="AA670" s="2039"/>
      <c r="AB670" s="2039"/>
      <c r="AC670" s="2039"/>
      <c r="AD670" s="2039"/>
      <c r="AE670" s="2039"/>
      <c r="AF670" s="2039"/>
      <c r="AG670" s="2039"/>
      <c r="AH670" s="2039"/>
      <c r="AI670" s="2039"/>
      <c r="AJ670" s="2039"/>
      <c r="AK670" s="2039"/>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63" t="s">
        <v>2562</v>
      </c>
      <c r="H671" s="2063"/>
      <c r="I671" s="2063"/>
      <c r="J671" s="2063"/>
      <c r="K671" s="2063"/>
      <c r="L671" s="2063"/>
      <c r="M671" s="2063"/>
      <c r="N671" s="2063"/>
      <c r="O671" s="2063"/>
      <c r="P671" s="2063"/>
      <c r="Q671" s="2063"/>
      <c r="R671" s="2063"/>
      <c r="T671" s="35"/>
      <c r="U671" s="12" t="s">
        <v>614</v>
      </c>
      <c r="Z671" s="2063" t="s">
        <v>2562</v>
      </c>
      <c r="AA671" s="2063"/>
      <c r="AB671" s="2063"/>
      <c r="AC671" s="2063"/>
      <c r="AD671" s="2063"/>
      <c r="AE671" s="2063"/>
      <c r="AF671" s="2063"/>
      <c r="AG671" s="2063"/>
      <c r="AH671" s="2063"/>
      <c r="AI671" s="2063"/>
      <c r="AJ671" s="2063"/>
      <c r="AK671" s="2063"/>
      <c r="AZ671" s="58"/>
      <c r="BA671" s="446">
        <f t="shared" si="40"/>
        <v>1700</v>
      </c>
      <c r="BB671" s="58"/>
      <c r="BC671" s="58"/>
      <c r="BD671" s="58"/>
      <c r="BE671" s="58"/>
      <c r="BF671" s="382"/>
      <c r="BG671" s="456">
        <f t="shared" ref="BG671:BG695" si="41">G728</f>
        <v>7</v>
      </c>
      <c r="BH671" s="460">
        <f>BG671/$BG$696</f>
        <v>2.456140350877193E-2</v>
      </c>
      <c r="BI671" s="461">
        <f t="shared" ref="BI671:BI695" si="42">IF(BH671=0," ",BH671*AH728)</f>
        <v>7.3684210526315788E-3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63" t="s">
        <v>2563</v>
      </c>
      <c r="H672" s="2063"/>
      <c r="I672" s="2063"/>
      <c r="J672" s="2063"/>
      <c r="K672" s="2063"/>
      <c r="L672" s="2063"/>
      <c r="M672" s="2063"/>
      <c r="N672" s="2063"/>
      <c r="O672" s="2063"/>
      <c r="P672" s="2063"/>
      <c r="Q672" s="2063"/>
      <c r="R672" s="2063"/>
      <c r="T672" s="35"/>
      <c r="U672" s="12" t="s">
        <v>17</v>
      </c>
      <c r="Z672" s="2063" t="s">
        <v>2563</v>
      </c>
      <c r="AA672" s="2063"/>
      <c r="AB672" s="2063"/>
      <c r="AC672" s="2063"/>
      <c r="AD672" s="2063"/>
      <c r="AE672" s="2063"/>
      <c r="AF672" s="2063"/>
      <c r="AG672" s="2063"/>
      <c r="AH672" s="2063"/>
      <c r="AI672" s="2063"/>
      <c r="AJ672" s="2063"/>
      <c r="AK672" s="2063"/>
      <c r="AZ672" s="58"/>
      <c r="BA672" s="446">
        <f t="shared" si="40"/>
        <v>1700</v>
      </c>
      <c r="BB672" s="58"/>
      <c r="BC672" s="58"/>
      <c r="BD672" s="58"/>
      <c r="BE672" s="58"/>
      <c r="BF672" s="382"/>
      <c r="BG672" s="457">
        <f t="shared" si="41"/>
        <v>15</v>
      </c>
      <c r="BH672" s="460">
        <f t="shared" ref="BH672:BH695" si="43">BG672/$BG$696</f>
        <v>5.2631578947368418E-2</v>
      </c>
      <c r="BI672" s="461">
        <f t="shared" si="42"/>
        <v>2.6315789473684209E-2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31">
        <v>9167736060</v>
      </c>
      <c r="H673" s="2131"/>
      <c r="I673" s="2131"/>
      <c r="J673" s="2131"/>
      <c r="K673" s="2131"/>
      <c r="L673" s="2131"/>
      <c r="O673" s="137" t="s">
        <v>212</v>
      </c>
      <c r="P673" s="2062"/>
      <c r="Q673" s="2062"/>
      <c r="R673" s="2062"/>
      <c r="T673" s="35"/>
      <c r="U673" s="12" t="s">
        <v>325</v>
      </c>
      <c r="Z673" s="2131">
        <v>9167736060</v>
      </c>
      <c r="AA673" s="2131"/>
      <c r="AB673" s="2131"/>
      <c r="AC673" s="2131"/>
      <c r="AD673" s="2131"/>
      <c r="AE673" s="2131"/>
      <c r="AH673" s="137" t="s">
        <v>212</v>
      </c>
      <c r="AI673" s="2062"/>
      <c r="AJ673" s="2062"/>
      <c r="AK673" s="2062"/>
      <c r="AZ673" s="58"/>
      <c r="BA673" s="446">
        <f t="shared" si="40"/>
        <v>1700</v>
      </c>
      <c r="BB673" s="58"/>
      <c r="BC673" s="58"/>
      <c r="BD673" s="58"/>
      <c r="BE673" s="58"/>
      <c r="BF673" s="382"/>
      <c r="BG673" s="457">
        <f t="shared" si="41"/>
        <v>13</v>
      </c>
      <c r="BH673" s="460">
        <f t="shared" si="43"/>
        <v>4.5614035087719301E-2</v>
      </c>
      <c r="BI673" s="461">
        <f t="shared" si="42"/>
        <v>2.736842105263158E-2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t="s">
        <v>2530</v>
      </c>
      <c r="I674" s="2039"/>
      <c r="J674" s="2039"/>
      <c r="K674" s="2039"/>
      <c r="L674" s="2039"/>
      <c r="M674" s="2039"/>
      <c r="N674" s="2039"/>
      <c r="O674" s="2039"/>
      <c r="P674" s="2039"/>
      <c r="Q674" s="2039"/>
      <c r="R674" s="2039"/>
      <c r="T674" s="35"/>
      <c r="U674" s="12" t="s">
        <v>18</v>
      </c>
      <c r="AA674" s="2039" t="s">
        <v>2126</v>
      </c>
      <c r="AB674" s="2039"/>
      <c r="AC674" s="2039"/>
      <c r="AD674" s="2039"/>
      <c r="AE674" s="2039"/>
      <c r="AF674" s="2039"/>
      <c r="AG674" s="2039"/>
      <c r="AH674" s="2039"/>
      <c r="AI674" s="2039"/>
      <c r="AJ674" s="2039"/>
      <c r="AK674" s="2039"/>
      <c r="AZ674" s="58"/>
      <c r="BA674" s="446">
        <f t="shared" si="40"/>
        <v>2040</v>
      </c>
      <c r="BB674" s="58"/>
      <c r="BC674" s="58"/>
      <c r="BD674" s="58"/>
      <c r="BE674" s="58"/>
      <c r="BF674" s="382"/>
      <c r="BG674" s="457">
        <f t="shared" si="41"/>
        <v>37</v>
      </c>
      <c r="BH674" s="460">
        <f t="shared" si="43"/>
        <v>0.12982456140350876</v>
      </c>
      <c r="BI674" s="461">
        <f t="shared" si="42"/>
        <v>9.0877192982456126E-2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9" t="s">
        <v>577</v>
      </c>
      <c r="O675" s="2029"/>
      <c r="T675" s="35"/>
      <c r="U675" s="12" t="s">
        <v>20</v>
      </c>
      <c r="AG675" s="2029" t="s">
        <v>577</v>
      </c>
      <c r="AH675" s="2029"/>
      <c r="AZ675" s="58"/>
      <c r="BA675" s="446">
        <f t="shared" si="40"/>
        <v>2040</v>
      </c>
      <c r="BB675" s="58"/>
      <c r="BC675" s="58"/>
      <c r="BD675" s="58"/>
      <c r="BE675" s="58"/>
      <c r="BF675" s="382"/>
      <c r="BG675" s="457">
        <f t="shared" si="41"/>
        <v>15</v>
      </c>
      <c r="BH675" s="460">
        <f t="shared" si="43"/>
        <v>5.2631578947368418E-2</v>
      </c>
      <c r="BI675" s="461">
        <f t="shared" si="42"/>
        <v>1.5789473684210523E-2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30</v>
      </c>
      <c r="BH676" s="460">
        <f t="shared" si="43"/>
        <v>0.10526315789473684</v>
      </c>
      <c r="BI676" s="461">
        <f t="shared" si="42"/>
        <v>5.2631578947368418E-2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27">
        <f>C643</f>
        <v>0</v>
      </c>
      <c r="H677" s="2127"/>
      <c r="I677" s="2127"/>
      <c r="J677" s="2127"/>
      <c r="K677" s="2127"/>
      <c r="L677" s="2127"/>
      <c r="M677" s="2127"/>
      <c r="N677" s="2127"/>
      <c r="O677" s="2127"/>
      <c r="P677" s="2127"/>
      <c r="Q677" s="2127"/>
      <c r="R677" s="2127"/>
      <c r="T677" s="87" t="s">
        <v>487</v>
      </c>
      <c r="U677" s="12" t="s">
        <v>495</v>
      </c>
      <c r="Z677" s="2127">
        <f>C644</f>
        <v>0</v>
      </c>
      <c r="AA677" s="2127"/>
      <c r="AB677" s="2127"/>
      <c r="AC677" s="2127"/>
      <c r="AD677" s="2127"/>
      <c r="AE677" s="2127"/>
      <c r="AF677" s="2127"/>
      <c r="AG677" s="2127"/>
      <c r="AH677" s="2127"/>
      <c r="AI677" s="2127"/>
      <c r="AJ677" s="2127"/>
      <c r="AK677" s="2127"/>
      <c r="AZ677" s="58"/>
      <c r="BA677" s="446">
        <f t="shared" si="40"/>
        <v>2040</v>
      </c>
      <c r="BB677" s="58"/>
      <c r="BC677" s="58"/>
      <c r="BD677" s="58"/>
      <c r="BE677" s="58"/>
      <c r="BF677" s="382"/>
      <c r="BG677" s="457">
        <f t="shared" si="41"/>
        <v>26</v>
      </c>
      <c r="BH677" s="460">
        <f t="shared" si="43"/>
        <v>9.1228070175438603E-2</v>
      </c>
      <c r="BI677" s="461">
        <f t="shared" si="42"/>
        <v>5.473684210526316E-2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f t="shared" si="40"/>
        <v>2356</v>
      </c>
      <c r="BB678" s="58"/>
      <c r="BC678" s="58"/>
      <c r="BD678" s="58"/>
      <c r="BE678" s="58"/>
      <c r="BF678" s="382"/>
      <c r="BG678" s="457">
        <f t="shared" si="41"/>
        <v>70</v>
      </c>
      <c r="BH678" s="460">
        <f t="shared" si="43"/>
        <v>0.24561403508771928</v>
      </c>
      <c r="BI678" s="461">
        <f t="shared" si="42"/>
        <v>0.17192982456140349</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9"/>
      <c r="H679" s="2039"/>
      <c r="I679" s="2039"/>
      <c r="J679" s="2039"/>
      <c r="K679" s="2039"/>
      <c r="L679" s="2039"/>
      <c r="M679" s="2039"/>
      <c r="N679" s="2039"/>
      <c r="O679" s="2039"/>
      <c r="P679" s="2039"/>
      <c r="Q679" s="2039"/>
      <c r="R679" s="2039"/>
      <c r="T679" s="35"/>
      <c r="U679" s="12" t="s">
        <v>614</v>
      </c>
      <c r="Z679" s="2063"/>
      <c r="AA679" s="2063"/>
      <c r="AB679" s="2063"/>
      <c r="AC679" s="2063"/>
      <c r="AD679" s="2063"/>
      <c r="AE679" s="2063"/>
      <c r="AF679" s="2063"/>
      <c r="AG679" s="2063"/>
      <c r="AH679" s="2063"/>
      <c r="AI679" s="2063"/>
      <c r="AJ679" s="2063"/>
      <c r="AK679" s="2063"/>
      <c r="AZ679" s="58"/>
      <c r="BA679" s="446">
        <f t="shared" si="40"/>
        <v>2356</v>
      </c>
      <c r="BB679" s="58"/>
      <c r="BC679" s="58"/>
      <c r="BD679" s="58"/>
      <c r="BE679" s="58"/>
      <c r="BF679" s="382"/>
      <c r="BG679" s="457">
        <f t="shared" si="41"/>
        <v>7</v>
      </c>
      <c r="BH679" s="460">
        <f t="shared" si="43"/>
        <v>2.456140350877193E-2</v>
      </c>
      <c r="BI679" s="461">
        <f t="shared" si="42"/>
        <v>7.3684210526315788E-3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9"/>
      <c r="H680" s="2039"/>
      <c r="I680" s="2039"/>
      <c r="J680" s="2039"/>
      <c r="K680" s="2039"/>
      <c r="L680" s="2039"/>
      <c r="M680" s="2039"/>
      <c r="N680" s="2039"/>
      <c r="O680" s="2039"/>
      <c r="P680" s="2039"/>
      <c r="Q680" s="2039"/>
      <c r="R680" s="2039"/>
      <c r="T680" s="35"/>
      <c r="U680" s="12" t="s">
        <v>17</v>
      </c>
      <c r="Z680" s="2063"/>
      <c r="AA680" s="2063"/>
      <c r="AB680" s="2063"/>
      <c r="AC680" s="2063"/>
      <c r="AD680" s="2063"/>
      <c r="AE680" s="2063"/>
      <c r="AF680" s="2063"/>
      <c r="AG680" s="2063"/>
      <c r="AH680" s="2063"/>
      <c r="AI680" s="2063"/>
      <c r="AJ680" s="2063"/>
      <c r="AK680" s="2063"/>
      <c r="AZ680" s="58"/>
      <c r="BA680" s="446">
        <f t="shared" si="40"/>
        <v>2356</v>
      </c>
      <c r="BB680" s="58"/>
      <c r="BC680" s="58"/>
      <c r="BD680" s="58"/>
      <c r="BE680" s="58"/>
      <c r="BF680" s="382"/>
      <c r="BG680" s="457">
        <f t="shared" si="41"/>
        <v>15</v>
      </c>
      <c r="BH680" s="460">
        <f t="shared" si="43"/>
        <v>5.2631578947368418E-2</v>
      </c>
      <c r="BI680" s="461">
        <f t="shared" si="42"/>
        <v>2.6315789473684209E-2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40"/>
      <c r="H681" s="2040"/>
      <c r="I681" s="2040"/>
      <c r="J681" s="2040"/>
      <c r="K681" s="2040"/>
      <c r="L681" s="2040"/>
      <c r="O681" s="137" t="s">
        <v>212</v>
      </c>
      <c r="P681" s="2062"/>
      <c r="Q681" s="2062"/>
      <c r="R681" s="2062"/>
      <c r="T681" s="35"/>
      <c r="U681" s="12" t="s">
        <v>325</v>
      </c>
      <c r="Z681" s="2040"/>
      <c r="AA681" s="2040"/>
      <c r="AB681" s="2040"/>
      <c r="AC681" s="2040"/>
      <c r="AD681" s="2040"/>
      <c r="AE681" s="2040"/>
      <c r="AH681" s="137" t="s">
        <v>212</v>
      </c>
      <c r="AI681" s="2062"/>
      <c r="AJ681" s="2062"/>
      <c r="AK681" s="2062"/>
      <c r="AZ681" s="58"/>
      <c r="BA681" s="446">
        <f t="shared" si="40"/>
        <v>2356</v>
      </c>
      <c r="BB681" s="58"/>
      <c r="BC681" s="58"/>
      <c r="BD681" s="58"/>
      <c r="BE681" s="58"/>
      <c r="BF681" s="382"/>
      <c r="BG681" s="457">
        <f t="shared" si="41"/>
        <v>15</v>
      </c>
      <c r="BH681" s="460">
        <f t="shared" si="43"/>
        <v>5.2631578947368418E-2</v>
      </c>
      <c r="BI681" s="461">
        <f t="shared" si="42"/>
        <v>3.1578947368421047E-2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0"/>
        <v>N/A</v>
      </c>
      <c r="BB682" s="58"/>
      <c r="BC682" s="58"/>
      <c r="BD682" s="58"/>
      <c r="BE682" s="58"/>
      <c r="BF682" s="382"/>
      <c r="BG682" s="457">
        <f t="shared" si="41"/>
        <v>35</v>
      </c>
      <c r="BH682" s="460">
        <f t="shared" si="43"/>
        <v>0.12280701754385964</v>
      </c>
      <c r="BI682" s="461">
        <f t="shared" si="42"/>
        <v>8.5964912280701744E-2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9" t="s">
        <v>705</v>
      </c>
      <c r="O683" s="2029"/>
      <c r="T683" s="35"/>
      <c r="U683" s="12" t="s">
        <v>20</v>
      </c>
      <c r="AG683" s="2029" t="s">
        <v>705</v>
      </c>
      <c r="AH683" s="202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27">
        <f>C645</f>
        <v>0</v>
      </c>
      <c r="H685" s="2127"/>
      <c r="I685" s="2127"/>
      <c r="J685" s="2127"/>
      <c r="K685" s="2127"/>
      <c r="L685" s="2127"/>
      <c r="M685" s="2127"/>
      <c r="N685" s="2127"/>
      <c r="O685" s="2127"/>
      <c r="P685" s="2127"/>
      <c r="Q685" s="2127"/>
      <c r="R685" s="2127"/>
      <c r="T685" s="87" t="s">
        <v>680</v>
      </c>
      <c r="U685" s="12" t="s">
        <v>495</v>
      </c>
      <c r="Z685" s="2127">
        <f>C646</f>
        <v>0</v>
      </c>
      <c r="AA685" s="2127"/>
      <c r="AB685" s="2127"/>
      <c r="AC685" s="2127"/>
      <c r="AD685" s="2127"/>
      <c r="AE685" s="2127"/>
      <c r="AF685" s="2127"/>
      <c r="AG685" s="2127"/>
      <c r="AH685" s="2127"/>
      <c r="AI685" s="2127"/>
      <c r="AJ685" s="2127"/>
      <c r="AK685" s="212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9"/>
      <c r="H687" s="2039"/>
      <c r="I687" s="2039"/>
      <c r="J687" s="2039"/>
      <c r="K687" s="2039"/>
      <c r="L687" s="2039"/>
      <c r="M687" s="2039"/>
      <c r="N687" s="2039"/>
      <c r="O687" s="2039"/>
      <c r="P687" s="2039"/>
      <c r="Q687" s="2039"/>
      <c r="R687" s="2039"/>
      <c r="T687" s="35"/>
      <c r="U687" s="12" t="s">
        <v>614</v>
      </c>
      <c r="Z687" s="2063"/>
      <c r="AA687" s="2063"/>
      <c r="AB687" s="2063"/>
      <c r="AC687" s="2063"/>
      <c r="AD687" s="2063"/>
      <c r="AE687" s="2063"/>
      <c r="AF687" s="2063"/>
      <c r="AG687" s="2063"/>
      <c r="AH687" s="2063"/>
      <c r="AI687" s="2063"/>
      <c r="AJ687" s="2063"/>
      <c r="AK687" s="206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9"/>
      <c r="H688" s="2039"/>
      <c r="I688" s="2039"/>
      <c r="J688" s="2039"/>
      <c r="K688" s="2039"/>
      <c r="L688" s="2039"/>
      <c r="M688" s="2039"/>
      <c r="N688" s="2039"/>
      <c r="O688" s="2039"/>
      <c r="P688" s="2039"/>
      <c r="Q688" s="2039"/>
      <c r="R688" s="2039"/>
      <c r="T688" s="35"/>
      <c r="U688" s="12" t="s">
        <v>17</v>
      </c>
      <c r="Z688" s="2063"/>
      <c r="AA688" s="2063"/>
      <c r="AB688" s="2063"/>
      <c r="AC688" s="2063"/>
      <c r="AD688" s="2063"/>
      <c r="AE688" s="2063"/>
      <c r="AF688" s="2063"/>
      <c r="AG688" s="2063"/>
      <c r="AH688" s="2063"/>
      <c r="AI688" s="2063"/>
      <c r="AJ688" s="2063"/>
      <c r="AK688" s="206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40"/>
      <c r="H689" s="2040"/>
      <c r="I689" s="2040"/>
      <c r="J689" s="2040"/>
      <c r="K689" s="2040"/>
      <c r="L689" s="2040"/>
      <c r="O689" s="137" t="s">
        <v>212</v>
      </c>
      <c r="P689" s="2062"/>
      <c r="Q689" s="2062"/>
      <c r="R689" s="2062"/>
      <c r="T689" s="35"/>
      <c r="U689" s="12" t="s">
        <v>325</v>
      </c>
      <c r="Z689" s="2040"/>
      <c r="AA689" s="2040"/>
      <c r="AB689" s="2040"/>
      <c r="AC689" s="2040"/>
      <c r="AD689" s="2040"/>
      <c r="AE689" s="2040"/>
      <c r="AH689" s="137" t="s">
        <v>212</v>
      </c>
      <c r="AI689" s="2062"/>
      <c r="AJ689" s="2062"/>
      <c r="AK689" s="206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9" t="s">
        <v>705</v>
      </c>
      <c r="O691" s="2029"/>
      <c r="T691" s="35"/>
      <c r="U691" s="12" t="s">
        <v>20</v>
      </c>
      <c r="AG691" s="2029" t="s">
        <v>705</v>
      </c>
      <c r="AH691" s="202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127">
        <f>C647</f>
        <v>0</v>
      </c>
      <c r="H693" s="2127"/>
      <c r="I693" s="2127"/>
      <c r="J693" s="2127"/>
      <c r="K693" s="2127"/>
      <c r="L693" s="2127"/>
      <c r="M693" s="2127"/>
      <c r="N693" s="2127"/>
      <c r="O693" s="2127"/>
      <c r="P693" s="2127"/>
      <c r="Q693" s="2127"/>
      <c r="R693" s="2127"/>
      <c r="T693" s="87" t="s">
        <v>373</v>
      </c>
      <c r="U693" s="12" t="s">
        <v>495</v>
      </c>
      <c r="Z693" s="2127">
        <f>C648</f>
        <v>0</v>
      </c>
      <c r="AA693" s="2127"/>
      <c r="AB693" s="2127"/>
      <c r="AC693" s="2127"/>
      <c r="AD693" s="2127"/>
      <c r="AE693" s="2127"/>
      <c r="AF693" s="2127"/>
      <c r="AG693" s="2127"/>
      <c r="AH693" s="2127"/>
      <c r="AI693" s="2127"/>
      <c r="AJ693" s="2127"/>
      <c r="AK693" s="212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9"/>
      <c r="H695" s="2039"/>
      <c r="I695" s="2039"/>
      <c r="J695" s="2039"/>
      <c r="K695" s="2039"/>
      <c r="L695" s="2039"/>
      <c r="M695" s="2039"/>
      <c r="N695" s="2039"/>
      <c r="O695" s="2039"/>
      <c r="P695" s="2039"/>
      <c r="Q695" s="2039"/>
      <c r="R695" s="2039"/>
      <c r="U695" s="12" t="s">
        <v>614</v>
      </c>
      <c r="Z695" s="2063"/>
      <c r="AA695" s="2063"/>
      <c r="AB695" s="2063"/>
      <c r="AC695" s="2063"/>
      <c r="AD695" s="2063"/>
      <c r="AE695" s="2063"/>
      <c r="AF695" s="2063"/>
      <c r="AG695" s="2063"/>
      <c r="AH695" s="2063"/>
      <c r="AI695" s="2063"/>
      <c r="AJ695" s="2063"/>
      <c r="AK695" s="206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9"/>
      <c r="H696" s="2039"/>
      <c r="I696" s="2039"/>
      <c r="J696" s="2039"/>
      <c r="K696" s="2039"/>
      <c r="L696" s="2039"/>
      <c r="M696" s="2039"/>
      <c r="N696" s="2039"/>
      <c r="O696" s="2039"/>
      <c r="P696" s="2039"/>
      <c r="Q696" s="2039"/>
      <c r="R696" s="2039"/>
      <c r="U696" s="12" t="s">
        <v>17</v>
      </c>
      <c r="Z696" s="2063"/>
      <c r="AA696" s="2063"/>
      <c r="AB696" s="2063"/>
      <c r="AC696" s="2063"/>
      <c r="AD696" s="2063"/>
      <c r="AE696" s="2063"/>
      <c r="AF696" s="2063"/>
      <c r="AG696" s="2063"/>
      <c r="AH696" s="2063"/>
      <c r="AI696" s="2063"/>
      <c r="AJ696" s="2063"/>
      <c r="AK696" s="2063"/>
      <c r="AZ696" s="58"/>
      <c r="BA696" s="58"/>
      <c r="BB696" s="58"/>
      <c r="BC696" s="58"/>
      <c r="BD696" s="58"/>
      <c r="BF696" s="453" t="s">
        <v>967</v>
      </c>
      <c r="BG696" s="462">
        <f>SUM(BG671:BG695)</f>
        <v>285</v>
      </c>
      <c r="BH696" s="463">
        <f>SUM(BH671:BH695)</f>
        <v>0.99999999999999978</v>
      </c>
      <c r="BI696" s="463">
        <f>SUM(BI671:BI695)</f>
        <v>0.59824561403508758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40"/>
      <c r="H697" s="2040"/>
      <c r="I697" s="2040"/>
      <c r="J697" s="2040"/>
      <c r="K697" s="2040"/>
      <c r="L697" s="2040"/>
      <c r="O697" s="137" t="s">
        <v>212</v>
      </c>
      <c r="P697" s="2062"/>
      <c r="Q697" s="2062"/>
      <c r="R697" s="2062"/>
      <c r="U697" s="12" t="s">
        <v>325</v>
      </c>
      <c r="Z697" s="2040"/>
      <c r="AA697" s="2040"/>
      <c r="AB697" s="2040"/>
      <c r="AC697" s="2040"/>
      <c r="AD697" s="2040"/>
      <c r="AE697" s="2040"/>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9" t="s">
        <v>705</v>
      </c>
      <c r="O699" s="2029"/>
      <c r="U699" s="12" t="s">
        <v>20</v>
      </c>
      <c r="AG699" s="2029" t="s">
        <v>705</v>
      </c>
      <c r="AH699" s="202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9" t="s">
        <v>577</v>
      </c>
      <c r="AF703" s="202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2.456140350877193E-2</v>
      </c>
      <c r="BI703" s="461">
        <f t="shared" ref="BI703:BI727" si="45">IF(BH703=0," ",BH703*AM728)</f>
        <v>7.3684210526315788E-3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9" t="s">
        <v>577</v>
      </c>
      <c r="AF704" s="202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15</v>
      </c>
      <c r="BH704" s="460">
        <f t="shared" ref="BH704:BH727" si="46">BG704/$BG$728</f>
        <v>5.2631578947368418E-2</v>
      </c>
      <c r="BI704" s="461">
        <f t="shared" si="45"/>
        <v>2.6315789473684209E-2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44448</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4.5614035087719301E-2</v>
      </c>
      <c r="BI705" s="461">
        <f t="shared" si="45"/>
        <v>2.736842105263158E-2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8">
        <v>44541</v>
      </c>
      <c r="AF706" s="2388"/>
      <c r="AG706" s="2388"/>
      <c r="AH706" s="2388"/>
      <c r="AI706" s="238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37</v>
      </c>
      <c r="BH706" s="460">
        <f t="shared" si="46"/>
        <v>0.12982456140350876</v>
      </c>
      <c r="BI706" s="461">
        <f t="shared" si="45"/>
        <v>9.0877192982456126E-2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5.2631578947368418E-2</v>
      </c>
      <c r="BI707" s="461">
        <f t="shared" si="45"/>
        <v>1.5789473684210523E-2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44713</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30</v>
      </c>
      <c r="BH708" s="460">
        <f t="shared" si="46"/>
        <v>0.10526315789473684</v>
      </c>
      <c r="BI708" s="461">
        <f t="shared" si="45"/>
        <v>5.2631578947368418E-2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5">
        <v>0.54179999999999995</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26</v>
      </c>
      <c r="BH709" s="460">
        <f t="shared" si="46"/>
        <v>9.1228070175438603E-2</v>
      </c>
      <c r="BI709" s="461">
        <f t="shared" si="45"/>
        <v>5.473684210526316E-2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27" t="str">
        <f>H334</f>
        <v>California Municipal Finance Authority</v>
      </c>
      <c r="X710" s="2127"/>
      <c r="Y710" s="2127"/>
      <c r="Z710" s="2127"/>
      <c r="AA710" s="2127"/>
      <c r="AB710" s="2127"/>
      <c r="AC710" s="2127"/>
      <c r="AD710" s="2127"/>
      <c r="AE710" s="2127"/>
      <c r="AF710" s="2127"/>
      <c r="AG710" s="2127"/>
      <c r="AH710" s="2127"/>
      <c r="AI710" s="2127"/>
      <c r="AJ710" s="2127"/>
      <c r="AK710" s="212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70</v>
      </c>
      <c r="BH710" s="460">
        <f t="shared" si="46"/>
        <v>0.24561403508771928</v>
      </c>
      <c r="BI710" s="461">
        <f t="shared" si="45"/>
        <v>0.17192982456140349</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2.456140350877193E-2</v>
      </c>
      <c r="BI711" s="461">
        <f t="shared" si="45"/>
        <v>7.3600810174842875E-3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9" t="s">
        <v>705</v>
      </c>
      <c r="AF712" s="202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15</v>
      </c>
      <c r="BH712" s="460">
        <f t="shared" si="46"/>
        <v>5.2631578947368418E-2</v>
      </c>
      <c r="BI712" s="461">
        <f t="shared" si="45"/>
        <v>2.6315789473684209E-2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15</v>
      </c>
      <c r="BH713" s="460">
        <f t="shared" si="46"/>
        <v>5.2631578947368418E-2</v>
      </c>
      <c r="BI713" s="461">
        <f t="shared" si="45"/>
        <v>3.1565543740505762E-2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35</v>
      </c>
      <c r="BH714" s="460">
        <f t="shared" si="46"/>
        <v>0.12280701754385964</v>
      </c>
      <c r="BI714" s="461">
        <f t="shared" si="45"/>
        <v>8.5954487236767643E-2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0"/>
      <c r="K715" s="2040"/>
      <c r="L715" s="2040"/>
      <c r="M715" s="2040"/>
      <c r="N715" s="2040"/>
      <c r="O715" s="2040"/>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92" t="s">
        <v>2156</v>
      </c>
      <c r="L724" s="2293"/>
      <c r="M724" s="2293"/>
      <c r="N724" s="2294"/>
      <c r="O724" s="2118" t="s">
        <v>477</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681</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1"/>
      <c r="C725" s="2122"/>
      <c r="D725" s="2122"/>
      <c r="E725" s="2122"/>
      <c r="F725" s="2123"/>
      <c r="G725" s="2121"/>
      <c r="H725" s="2122"/>
      <c r="I725" s="2122"/>
      <c r="J725" s="2123"/>
      <c r="K725" s="2295"/>
      <c r="L725" s="2296"/>
      <c r="M725" s="2296"/>
      <c r="N725" s="2297"/>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1"/>
      <c r="C726" s="2122"/>
      <c r="D726" s="2122"/>
      <c r="E726" s="2122"/>
      <c r="F726" s="2123"/>
      <c r="G726" s="2121"/>
      <c r="H726" s="2122"/>
      <c r="I726" s="2122"/>
      <c r="J726" s="2123"/>
      <c r="K726" s="2295"/>
      <c r="L726" s="2296"/>
      <c r="M726" s="2296"/>
      <c r="N726" s="2297"/>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4"/>
      <c r="C727" s="2125"/>
      <c r="D727" s="2125"/>
      <c r="E727" s="2125"/>
      <c r="F727" s="2126"/>
      <c r="G727" s="2124"/>
      <c r="H727" s="2125"/>
      <c r="I727" s="2125"/>
      <c r="J727" s="2126"/>
      <c r="K727" s="2295"/>
      <c r="L727" s="2296"/>
      <c r="M727" s="2296"/>
      <c r="N727" s="2297"/>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72" t="s">
        <v>334</v>
      </c>
      <c r="C728" s="2073"/>
      <c r="D728" s="2073"/>
      <c r="E728" s="2073"/>
      <c r="F728" s="2074"/>
      <c r="G728" s="2276">
        <v>7</v>
      </c>
      <c r="H728" s="2277"/>
      <c r="I728" s="2277"/>
      <c r="J728" s="2278"/>
      <c r="K728" s="2048">
        <v>539</v>
      </c>
      <c r="L728" s="2049"/>
      <c r="M728" s="2049"/>
      <c r="N728" s="2050"/>
      <c r="O728" s="2043">
        <v>461</v>
      </c>
      <c r="P728" s="2044"/>
      <c r="Q728" s="2044"/>
      <c r="R728" s="2044"/>
      <c r="S728" s="2045"/>
      <c r="T728" s="2158">
        <f t="shared" ref="T728:T752" si="47">G728*O728</f>
        <v>3227</v>
      </c>
      <c r="U728" s="2159"/>
      <c r="V728" s="2159"/>
      <c r="W728" s="2159"/>
      <c r="X728" s="2160"/>
      <c r="Y728" s="2043">
        <v>49</v>
      </c>
      <c r="Z728" s="2044"/>
      <c r="AA728" s="2044"/>
      <c r="AB728" s="2045"/>
      <c r="AC728" s="2158">
        <f t="shared" ref="AC728:AC752" si="48">O728+Y728</f>
        <v>510</v>
      </c>
      <c r="AD728" s="2159"/>
      <c r="AE728" s="2159"/>
      <c r="AF728" s="2159"/>
      <c r="AG728" s="2160"/>
      <c r="AH728" s="2301">
        <v>0.3</v>
      </c>
      <c r="AI728" s="2302"/>
      <c r="AJ728" s="2302"/>
      <c r="AK728" s="2302"/>
      <c r="AL728" s="2303"/>
      <c r="AM728" s="2281">
        <f t="shared" ref="AM728:AM752" si="49">IF($AH728&gt;0,($AC728/$BA670), " ")</f>
        <v>0.3</v>
      </c>
      <c r="AN728" s="2282"/>
      <c r="AO728" s="2283"/>
      <c r="AP728" s="239"/>
      <c r="AQ728" s="239"/>
      <c r="AR728" s="239"/>
      <c r="AS728" s="239"/>
      <c r="AT728" s="239"/>
      <c r="AU728" s="239"/>
      <c r="AV728" s="239"/>
      <c r="AW728" s="239"/>
      <c r="AX728" s="239"/>
      <c r="AY728" s="239"/>
      <c r="AZ728" s="58"/>
      <c r="BA728" s="58"/>
      <c r="BB728" s="58"/>
      <c r="BC728" s="58"/>
      <c r="BD728" s="58"/>
      <c r="BE728" s="58"/>
      <c r="BF728" s="58"/>
      <c r="BG728" s="1420">
        <f>SUM(BG703:BG727)</f>
        <v>285</v>
      </c>
      <c r="BH728" s="463">
        <f>SUM(BH703:BH727)</f>
        <v>0.99999999999999978</v>
      </c>
      <c r="BI728" s="463">
        <f>SUM(BI703:BI727)</f>
        <v>0.59821344532809106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72" t="s">
        <v>334</v>
      </c>
      <c r="C729" s="2073"/>
      <c r="D729" s="2073"/>
      <c r="E729" s="2073"/>
      <c r="F729" s="2074"/>
      <c r="G729" s="2276">
        <v>15</v>
      </c>
      <c r="H729" s="2277"/>
      <c r="I729" s="2277"/>
      <c r="J729" s="2278"/>
      <c r="K729" s="2048">
        <v>539</v>
      </c>
      <c r="L729" s="2049"/>
      <c r="M729" s="2049"/>
      <c r="N729" s="2050"/>
      <c r="O729" s="2043">
        <v>801</v>
      </c>
      <c r="P729" s="2044"/>
      <c r="Q729" s="2044"/>
      <c r="R729" s="2044"/>
      <c r="S729" s="2045"/>
      <c r="T729" s="2158">
        <f t="shared" si="47"/>
        <v>12015</v>
      </c>
      <c r="U729" s="2159"/>
      <c r="V729" s="2159"/>
      <c r="W729" s="2159"/>
      <c r="X729" s="2160"/>
      <c r="Y729" s="2043">
        <v>49</v>
      </c>
      <c r="Z729" s="2044"/>
      <c r="AA729" s="2044"/>
      <c r="AB729" s="2045"/>
      <c r="AC729" s="2158">
        <f t="shared" si="48"/>
        <v>850</v>
      </c>
      <c r="AD729" s="2159"/>
      <c r="AE729" s="2159"/>
      <c r="AF729" s="2159"/>
      <c r="AG729" s="2160"/>
      <c r="AH729" s="2301">
        <v>0.5</v>
      </c>
      <c r="AI729" s="2302"/>
      <c r="AJ729" s="2302"/>
      <c r="AK729" s="2302"/>
      <c r="AL729" s="2303"/>
      <c r="AM729" s="2281">
        <f t="shared" si="49"/>
        <v>0.5</v>
      </c>
      <c r="AN729" s="2282"/>
      <c r="AO729" s="228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72" t="s">
        <v>334</v>
      </c>
      <c r="C730" s="2073"/>
      <c r="D730" s="2073"/>
      <c r="E730" s="2073"/>
      <c r="F730" s="2074"/>
      <c r="G730" s="2276">
        <v>13</v>
      </c>
      <c r="H730" s="2277"/>
      <c r="I730" s="2277"/>
      <c r="J730" s="2278"/>
      <c r="K730" s="2048">
        <v>539</v>
      </c>
      <c r="L730" s="2049"/>
      <c r="M730" s="2049"/>
      <c r="N730" s="2050"/>
      <c r="O730" s="2043">
        <v>971</v>
      </c>
      <c r="P730" s="2044"/>
      <c r="Q730" s="2044"/>
      <c r="R730" s="2044"/>
      <c r="S730" s="2045"/>
      <c r="T730" s="2158">
        <f t="shared" si="47"/>
        <v>12623</v>
      </c>
      <c r="U730" s="2159"/>
      <c r="V730" s="2159"/>
      <c r="W730" s="2159"/>
      <c r="X730" s="2160"/>
      <c r="Y730" s="2043">
        <v>49</v>
      </c>
      <c r="Z730" s="2044"/>
      <c r="AA730" s="2044"/>
      <c r="AB730" s="2045"/>
      <c r="AC730" s="2158">
        <f t="shared" si="48"/>
        <v>1020</v>
      </c>
      <c r="AD730" s="2159"/>
      <c r="AE730" s="2159"/>
      <c r="AF730" s="2159"/>
      <c r="AG730" s="2160"/>
      <c r="AH730" s="2301">
        <v>0.6</v>
      </c>
      <c r="AI730" s="2302"/>
      <c r="AJ730" s="2302"/>
      <c r="AK730" s="2302"/>
      <c r="AL730" s="2303"/>
      <c r="AM730" s="2281">
        <f t="shared" si="49"/>
        <v>0.6</v>
      </c>
      <c r="AN730" s="2282"/>
      <c r="AO730" s="228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72" t="s">
        <v>334</v>
      </c>
      <c r="C731" s="2073"/>
      <c r="D731" s="2073"/>
      <c r="E731" s="2073"/>
      <c r="F731" s="2074"/>
      <c r="G731" s="2276">
        <v>37</v>
      </c>
      <c r="H731" s="2277"/>
      <c r="I731" s="2277"/>
      <c r="J731" s="2278"/>
      <c r="K731" s="2048">
        <v>539</v>
      </c>
      <c r="L731" s="2049"/>
      <c r="M731" s="2049"/>
      <c r="N731" s="2050"/>
      <c r="O731" s="2043">
        <v>1141</v>
      </c>
      <c r="P731" s="2044"/>
      <c r="Q731" s="2044"/>
      <c r="R731" s="2044"/>
      <c r="S731" s="2045"/>
      <c r="T731" s="2158">
        <f t="shared" si="47"/>
        <v>42217</v>
      </c>
      <c r="U731" s="2159"/>
      <c r="V731" s="2159"/>
      <c r="W731" s="2159"/>
      <c r="X731" s="2160"/>
      <c r="Y731" s="2043">
        <v>49</v>
      </c>
      <c r="Z731" s="2044"/>
      <c r="AA731" s="2044"/>
      <c r="AB731" s="2045"/>
      <c r="AC731" s="2158">
        <f t="shared" si="48"/>
        <v>1190</v>
      </c>
      <c r="AD731" s="2159"/>
      <c r="AE731" s="2159"/>
      <c r="AF731" s="2159"/>
      <c r="AG731" s="2160"/>
      <c r="AH731" s="2301">
        <v>0.7</v>
      </c>
      <c r="AI731" s="2302"/>
      <c r="AJ731" s="2302"/>
      <c r="AK731" s="2302"/>
      <c r="AL731" s="2303"/>
      <c r="AM731" s="2281">
        <f t="shared" si="49"/>
        <v>0.7</v>
      </c>
      <c r="AN731" s="2282"/>
      <c r="AO731" s="228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72" t="s">
        <v>168</v>
      </c>
      <c r="C732" s="2073"/>
      <c r="D732" s="2073"/>
      <c r="E732" s="2073"/>
      <c r="F732" s="2074"/>
      <c r="G732" s="2276">
        <f>8+7</f>
        <v>15</v>
      </c>
      <c r="H732" s="2277"/>
      <c r="I732" s="2277"/>
      <c r="J732" s="2278"/>
      <c r="K732" s="2048">
        <v>805</v>
      </c>
      <c r="L732" s="2049"/>
      <c r="M732" s="2049"/>
      <c r="N732" s="2050"/>
      <c r="O732" s="2043">
        <v>542</v>
      </c>
      <c r="P732" s="2044"/>
      <c r="Q732" s="2044"/>
      <c r="R732" s="2044"/>
      <c r="S732" s="2045"/>
      <c r="T732" s="2158">
        <f t="shared" si="47"/>
        <v>8130</v>
      </c>
      <c r="U732" s="2159"/>
      <c r="V732" s="2159"/>
      <c r="W732" s="2159"/>
      <c r="X732" s="2160"/>
      <c r="Y732" s="2043">
        <v>70</v>
      </c>
      <c r="Z732" s="2044"/>
      <c r="AA732" s="2044"/>
      <c r="AB732" s="2045"/>
      <c r="AC732" s="2158">
        <f t="shared" si="48"/>
        <v>612</v>
      </c>
      <c r="AD732" s="2159"/>
      <c r="AE732" s="2159"/>
      <c r="AF732" s="2159"/>
      <c r="AG732" s="2160"/>
      <c r="AH732" s="2301">
        <v>0.3</v>
      </c>
      <c r="AI732" s="2302"/>
      <c r="AJ732" s="2302"/>
      <c r="AK732" s="2302"/>
      <c r="AL732" s="2303"/>
      <c r="AM732" s="2281">
        <f t="shared" si="49"/>
        <v>0.3</v>
      </c>
      <c r="AN732" s="2282"/>
      <c r="AO732" s="228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72" t="s">
        <v>168</v>
      </c>
      <c r="C733" s="2073"/>
      <c r="D733" s="2073"/>
      <c r="E733" s="2073"/>
      <c r="F733" s="2074"/>
      <c r="G733" s="2276">
        <f>15+15</f>
        <v>30</v>
      </c>
      <c r="H733" s="2277"/>
      <c r="I733" s="2277"/>
      <c r="J733" s="2278"/>
      <c r="K733" s="2048">
        <v>805</v>
      </c>
      <c r="L733" s="2049"/>
      <c r="M733" s="2049"/>
      <c r="N733" s="2050"/>
      <c r="O733" s="2043">
        <v>950</v>
      </c>
      <c r="P733" s="2044"/>
      <c r="Q733" s="2044"/>
      <c r="R733" s="2044"/>
      <c r="S733" s="2045"/>
      <c r="T733" s="2158">
        <f t="shared" si="47"/>
        <v>28500</v>
      </c>
      <c r="U733" s="2159"/>
      <c r="V733" s="2159"/>
      <c r="W733" s="2159"/>
      <c r="X733" s="2160"/>
      <c r="Y733" s="2043">
        <v>70</v>
      </c>
      <c r="Z733" s="2044"/>
      <c r="AA733" s="2044"/>
      <c r="AB733" s="2045"/>
      <c r="AC733" s="2158">
        <f t="shared" si="48"/>
        <v>1020</v>
      </c>
      <c r="AD733" s="2159"/>
      <c r="AE733" s="2159"/>
      <c r="AF733" s="2159"/>
      <c r="AG733" s="2160"/>
      <c r="AH733" s="2301">
        <v>0.5</v>
      </c>
      <c r="AI733" s="2302"/>
      <c r="AJ733" s="2302"/>
      <c r="AK733" s="2302"/>
      <c r="AL733" s="2303"/>
      <c r="AM733" s="2281">
        <f t="shared" si="49"/>
        <v>0.5</v>
      </c>
      <c r="AN733" s="2282"/>
      <c r="AO733" s="228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72" t="s">
        <v>168</v>
      </c>
      <c r="C734" s="2073"/>
      <c r="D734" s="2073"/>
      <c r="E734" s="2073"/>
      <c r="F734" s="2074"/>
      <c r="G734" s="2276">
        <f>13+13</f>
        <v>26</v>
      </c>
      <c r="H734" s="2277"/>
      <c r="I734" s="2277"/>
      <c r="J734" s="2278"/>
      <c r="K734" s="2048">
        <v>805</v>
      </c>
      <c r="L734" s="2049"/>
      <c r="M734" s="2049"/>
      <c r="N734" s="2050"/>
      <c r="O734" s="2043">
        <v>1154</v>
      </c>
      <c r="P734" s="2044"/>
      <c r="Q734" s="2044"/>
      <c r="R734" s="2044"/>
      <c r="S734" s="2045"/>
      <c r="T734" s="2158">
        <f t="shared" si="47"/>
        <v>30004</v>
      </c>
      <c r="U734" s="2159"/>
      <c r="V734" s="2159"/>
      <c r="W734" s="2159"/>
      <c r="X734" s="2160"/>
      <c r="Y734" s="2043">
        <v>70</v>
      </c>
      <c r="Z734" s="2044"/>
      <c r="AA734" s="2044"/>
      <c r="AB734" s="2045"/>
      <c r="AC734" s="2158">
        <f t="shared" si="48"/>
        <v>1224</v>
      </c>
      <c r="AD734" s="2159"/>
      <c r="AE734" s="2159"/>
      <c r="AF734" s="2159"/>
      <c r="AG734" s="2160"/>
      <c r="AH734" s="2301">
        <v>0.6</v>
      </c>
      <c r="AI734" s="2302"/>
      <c r="AJ734" s="2302"/>
      <c r="AK734" s="2302"/>
      <c r="AL734" s="2303"/>
      <c r="AM734" s="2281">
        <f t="shared" si="49"/>
        <v>0.6</v>
      </c>
      <c r="AN734" s="2282"/>
      <c r="AO734" s="228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72" t="s">
        <v>168</v>
      </c>
      <c r="C735" s="2073"/>
      <c r="D735" s="2073"/>
      <c r="E735" s="2073"/>
      <c r="F735" s="2074"/>
      <c r="G735" s="2276">
        <f>36+34</f>
        <v>70</v>
      </c>
      <c r="H735" s="2277"/>
      <c r="I735" s="2277"/>
      <c r="J735" s="2278"/>
      <c r="K735" s="2048">
        <v>805</v>
      </c>
      <c r="L735" s="2049"/>
      <c r="M735" s="2049"/>
      <c r="N735" s="2050"/>
      <c r="O735" s="2043">
        <v>1358</v>
      </c>
      <c r="P735" s="2044"/>
      <c r="Q735" s="2044"/>
      <c r="R735" s="2044"/>
      <c r="S735" s="2045"/>
      <c r="T735" s="2158">
        <f t="shared" si="47"/>
        <v>95060</v>
      </c>
      <c r="U735" s="2159"/>
      <c r="V735" s="2159"/>
      <c r="W735" s="2159"/>
      <c r="X735" s="2160"/>
      <c r="Y735" s="2043">
        <v>70</v>
      </c>
      <c r="Z735" s="2044"/>
      <c r="AA735" s="2044"/>
      <c r="AB735" s="2045"/>
      <c r="AC735" s="2158">
        <f t="shared" si="48"/>
        <v>1428</v>
      </c>
      <c r="AD735" s="2159"/>
      <c r="AE735" s="2159"/>
      <c r="AF735" s="2159"/>
      <c r="AG735" s="2160"/>
      <c r="AH735" s="2301">
        <v>0.7</v>
      </c>
      <c r="AI735" s="2302"/>
      <c r="AJ735" s="2302"/>
      <c r="AK735" s="2302"/>
      <c r="AL735" s="2303"/>
      <c r="AM735" s="2281">
        <f t="shared" si="49"/>
        <v>0.7</v>
      </c>
      <c r="AN735" s="2282"/>
      <c r="AO735" s="228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72" t="s">
        <v>169</v>
      </c>
      <c r="C736" s="2073"/>
      <c r="D736" s="2073"/>
      <c r="E736" s="2073"/>
      <c r="F736" s="2074"/>
      <c r="G736" s="2276">
        <v>7</v>
      </c>
      <c r="H736" s="2277"/>
      <c r="I736" s="2277"/>
      <c r="J736" s="2278"/>
      <c r="K736" s="2048">
        <v>967</v>
      </c>
      <c r="L736" s="2049"/>
      <c r="M736" s="2049"/>
      <c r="N736" s="2050"/>
      <c r="O736" s="2043">
        <v>613</v>
      </c>
      <c r="P736" s="2044"/>
      <c r="Q736" s="2044"/>
      <c r="R736" s="2044"/>
      <c r="S736" s="2045"/>
      <c r="T736" s="2158">
        <f t="shared" si="47"/>
        <v>4291</v>
      </c>
      <c r="U736" s="2159"/>
      <c r="V736" s="2159"/>
      <c r="W736" s="2159"/>
      <c r="X736" s="2160"/>
      <c r="Y736" s="2043">
        <v>93</v>
      </c>
      <c r="Z736" s="2044"/>
      <c r="AA736" s="2044"/>
      <c r="AB736" s="2045"/>
      <c r="AC736" s="2158">
        <f t="shared" si="48"/>
        <v>706</v>
      </c>
      <c r="AD736" s="2159"/>
      <c r="AE736" s="2159"/>
      <c r="AF736" s="2159"/>
      <c r="AG736" s="2160"/>
      <c r="AH736" s="2301">
        <v>0.3</v>
      </c>
      <c r="AI736" s="2302"/>
      <c r="AJ736" s="2302"/>
      <c r="AK736" s="2302"/>
      <c r="AL736" s="2303"/>
      <c r="AM736" s="2281">
        <f t="shared" si="49"/>
        <v>0.29966044142614601</v>
      </c>
      <c r="AN736" s="2282"/>
      <c r="AO736" s="228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72" t="s">
        <v>169</v>
      </c>
      <c r="C737" s="2073"/>
      <c r="D737" s="2073"/>
      <c r="E737" s="2073"/>
      <c r="F737" s="2074"/>
      <c r="G737" s="2276">
        <v>15</v>
      </c>
      <c r="H737" s="2277"/>
      <c r="I737" s="2277"/>
      <c r="J737" s="2278"/>
      <c r="K737" s="2048">
        <v>967</v>
      </c>
      <c r="L737" s="2049"/>
      <c r="M737" s="2049"/>
      <c r="N737" s="2050"/>
      <c r="O737" s="2043">
        <v>1085</v>
      </c>
      <c r="P737" s="2044"/>
      <c r="Q737" s="2044"/>
      <c r="R737" s="2044"/>
      <c r="S737" s="2045"/>
      <c r="T737" s="2158">
        <f t="shared" si="47"/>
        <v>16275</v>
      </c>
      <c r="U737" s="2159"/>
      <c r="V737" s="2159"/>
      <c r="W737" s="2159"/>
      <c r="X737" s="2160"/>
      <c r="Y737" s="2043">
        <v>93</v>
      </c>
      <c r="Z737" s="2044"/>
      <c r="AA737" s="2044"/>
      <c r="AB737" s="2045"/>
      <c r="AC737" s="2158">
        <f t="shared" si="48"/>
        <v>1178</v>
      </c>
      <c r="AD737" s="2159"/>
      <c r="AE737" s="2159"/>
      <c r="AF737" s="2159"/>
      <c r="AG737" s="2160"/>
      <c r="AH737" s="2301">
        <v>0.5</v>
      </c>
      <c r="AI737" s="2302"/>
      <c r="AJ737" s="2302"/>
      <c r="AK737" s="2302"/>
      <c r="AL737" s="2303"/>
      <c r="AM737" s="2281">
        <f t="shared" si="49"/>
        <v>0.5</v>
      </c>
      <c r="AN737" s="2282"/>
      <c r="AO737" s="228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72" t="s">
        <v>169</v>
      </c>
      <c r="C738" s="2073"/>
      <c r="D738" s="2073"/>
      <c r="E738" s="2073"/>
      <c r="F738" s="2074"/>
      <c r="G738" s="2276">
        <v>15</v>
      </c>
      <c r="H738" s="2277"/>
      <c r="I738" s="2277"/>
      <c r="J738" s="2278"/>
      <c r="K738" s="2048">
        <v>967</v>
      </c>
      <c r="L738" s="2049"/>
      <c r="M738" s="2049"/>
      <c r="N738" s="2050"/>
      <c r="O738" s="2043">
        <v>1320</v>
      </c>
      <c r="P738" s="2044"/>
      <c r="Q738" s="2044"/>
      <c r="R738" s="2044"/>
      <c r="S738" s="2045"/>
      <c r="T738" s="2158">
        <f t="shared" si="47"/>
        <v>19800</v>
      </c>
      <c r="U738" s="2159"/>
      <c r="V738" s="2159"/>
      <c r="W738" s="2159"/>
      <c r="X738" s="2160"/>
      <c r="Y738" s="2043">
        <v>93</v>
      </c>
      <c r="Z738" s="2044"/>
      <c r="AA738" s="2044"/>
      <c r="AB738" s="2045"/>
      <c r="AC738" s="2158">
        <f t="shared" si="48"/>
        <v>1413</v>
      </c>
      <c r="AD738" s="2159"/>
      <c r="AE738" s="2159"/>
      <c r="AF738" s="2159"/>
      <c r="AG738" s="2160"/>
      <c r="AH738" s="2301">
        <v>0.6</v>
      </c>
      <c r="AI738" s="2302"/>
      <c r="AJ738" s="2302"/>
      <c r="AK738" s="2302"/>
      <c r="AL738" s="2303"/>
      <c r="AM738" s="2281">
        <f t="shared" si="49"/>
        <v>0.59974533106960948</v>
      </c>
      <c r="AN738" s="2282"/>
      <c r="AO738" s="228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72" t="s">
        <v>169</v>
      </c>
      <c r="C739" s="2073"/>
      <c r="D739" s="2073"/>
      <c r="E739" s="2073"/>
      <c r="F739" s="2074"/>
      <c r="G739" s="2276">
        <v>35</v>
      </c>
      <c r="H739" s="2277"/>
      <c r="I739" s="2277"/>
      <c r="J739" s="2278"/>
      <c r="K739" s="2048">
        <v>967</v>
      </c>
      <c r="L739" s="2049"/>
      <c r="M739" s="2049"/>
      <c r="N739" s="2050"/>
      <c r="O739" s="2043">
        <v>1556</v>
      </c>
      <c r="P739" s="2044"/>
      <c r="Q739" s="2044"/>
      <c r="R739" s="2044"/>
      <c r="S739" s="2045"/>
      <c r="T739" s="2158">
        <f t="shared" si="47"/>
        <v>54460</v>
      </c>
      <c r="U739" s="2159"/>
      <c r="V739" s="2159"/>
      <c r="W739" s="2159"/>
      <c r="X739" s="2160"/>
      <c r="Y739" s="2043">
        <v>93</v>
      </c>
      <c r="Z739" s="2044"/>
      <c r="AA739" s="2044"/>
      <c r="AB739" s="2045"/>
      <c r="AC739" s="2158">
        <f t="shared" si="48"/>
        <v>1649</v>
      </c>
      <c r="AD739" s="2159"/>
      <c r="AE739" s="2159"/>
      <c r="AF739" s="2159"/>
      <c r="AG739" s="2160"/>
      <c r="AH739" s="2301">
        <v>0.7</v>
      </c>
      <c r="AI739" s="2302"/>
      <c r="AJ739" s="2302"/>
      <c r="AK739" s="2302"/>
      <c r="AL739" s="2303"/>
      <c r="AM739" s="2281">
        <f t="shared" si="49"/>
        <v>0.69991511035653653</v>
      </c>
      <c r="AN739" s="2282"/>
      <c r="AO739" s="228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72"/>
      <c r="C740" s="2073"/>
      <c r="D740" s="2073"/>
      <c r="E740" s="2073"/>
      <c r="F740" s="2074"/>
      <c r="G740" s="2276"/>
      <c r="H740" s="2277"/>
      <c r="I740" s="2277"/>
      <c r="J740" s="2278"/>
      <c r="K740" s="2048"/>
      <c r="L740" s="2049"/>
      <c r="M740" s="2049"/>
      <c r="N740" s="2050"/>
      <c r="O740" s="2043"/>
      <c r="P740" s="2044"/>
      <c r="Q740" s="2044"/>
      <c r="R740" s="2044"/>
      <c r="S740" s="2045"/>
      <c r="T740" s="2158">
        <f t="shared" si="47"/>
        <v>0</v>
      </c>
      <c r="U740" s="2159"/>
      <c r="V740" s="2159"/>
      <c r="W740" s="2159"/>
      <c r="X740" s="2160"/>
      <c r="Y740" s="2043">
        <v>0</v>
      </c>
      <c r="Z740" s="2044"/>
      <c r="AA740" s="2044"/>
      <c r="AB740" s="2045"/>
      <c r="AC740" s="2158">
        <f t="shared" si="48"/>
        <v>0</v>
      </c>
      <c r="AD740" s="2159"/>
      <c r="AE740" s="2159"/>
      <c r="AF740" s="2159"/>
      <c r="AG740" s="2160"/>
      <c r="AH740" s="2301">
        <v>0</v>
      </c>
      <c r="AI740" s="2302"/>
      <c r="AJ740" s="2302"/>
      <c r="AK740" s="2302"/>
      <c r="AL740" s="2303"/>
      <c r="AM740" s="2281" t="str">
        <f t="shared" si="49"/>
        <v xml:space="preserve"> </v>
      </c>
      <c r="AN740" s="2282"/>
      <c r="AO740" s="228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72"/>
      <c r="C741" s="2073"/>
      <c r="D741" s="2073"/>
      <c r="E741" s="2073"/>
      <c r="F741" s="2074"/>
      <c r="G741" s="2276"/>
      <c r="H741" s="2277"/>
      <c r="I741" s="2277"/>
      <c r="J741" s="2278"/>
      <c r="K741" s="2048"/>
      <c r="L741" s="2049"/>
      <c r="M741" s="2049"/>
      <c r="N741" s="2050"/>
      <c r="O741" s="2043"/>
      <c r="P741" s="2044"/>
      <c r="Q741" s="2044"/>
      <c r="R741" s="2044"/>
      <c r="S741" s="2045"/>
      <c r="T741" s="2158">
        <f t="shared" si="47"/>
        <v>0</v>
      </c>
      <c r="U741" s="2159"/>
      <c r="V741" s="2159"/>
      <c r="W741" s="2159"/>
      <c r="X741" s="2160"/>
      <c r="Y741" s="2043">
        <v>0</v>
      </c>
      <c r="Z741" s="2044"/>
      <c r="AA741" s="2044"/>
      <c r="AB741" s="2045"/>
      <c r="AC741" s="2158">
        <f t="shared" si="48"/>
        <v>0</v>
      </c>
      <c r="AD741" s="2159"/>
      <c r="AE741" s="2159"/>
      <c r="AF741" s="2159"/>
      <c r="AG741" s="2160"/>
      <c r="AH741" s="2301">
        <v>0</v>
      </c>
      <c r="AI741" s="2302"/>
      <c r="AJ741" s="2302"/>
      <c r="AK741" s="2302"/>
      <c r="AL741" s="2303"/>
      <c r="AM741" s="2281" t="str">
        <f t="shared" si="49"/>
        <v xml:space="preserve"> </v>
      </c>
      <c r="AN741" s="2282"/>
      <c r="AO741" s="228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72"/>
      <c r="C742" s="2073"/>
      <c r="D742" s="2073"/>
      <c r="E742" s="2073"/>
      <c r="F742" s="2074"/>
      <c r="G742" s="2276"/>
      <c r="H742" s="2277"/>
      <c r="I742" s="2277"/>
      <c r="J742" s="2278"/>
      <c r="K742" s="2048"/>
      <c r="L742" s="2049"/>
      <c r="M742" s="2049"/>
      <c r="N742" s="2050"/>
      <c r="O742" s="2043"/>
      <c r="P742" s="2044"/>
      <c r="Q742" s="2044"/>
      <c r="R742" s="2044"/>
      <c r="S742" s="2045"/>
      <c r="T742" s="2158">
        <f t="shared" si="47"/>
        <v>0</v>
      </c>
      <c r="U742" s="2159"/>
      <c r="V742" s="2159"/>
      <c r="W742" s="2159"/>
      <c r="X742" s="2160"/>
      <c r="Y742" s="2043">
        <v>0</v>
      </c>
      <c r="Z742" s="2044"/>
      <c r="AA742" s="2044"/>
      <c r="AB742" s="2045"/>
      <c r="AC742" s="2158">
        <f t="shared" si="48"/>
        <v>0</v>
      </c>
      <c r="AD742" s="2159"/>
      <c r="AE742" s="2159"/>
      <c r="AF742" s="2159"/>
      <c r="AG742" s="2160"/>
      <c r="AH742" s="2301">
        <v>0</v>
      </c>
      <c r="AI742" s="2302"/>
      <c r="AJ742" s="2302"/>
      <c r="AK742" s="2302"/>
      <c r="AL742" s="2303"/>
      <c r="AM742" s="2281" t="str">
        <f t="shared" si="49"/>
        <v xml:space="preserve"> </v>
      </c>
      <c r="AN742" s="2282"/>
      <c r="AO742" s="228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72"/>
      <c r="C743" s="2073"/>
      <c r="D743" s="2073"/>
      <c r="E743" s="2073"/>
      <c r="F743" s="2074"/>
      <c r="G743" s="2276"/>
      <c r="H743" s="2277"/>
      <c r="I743" s="2277"/>
      <c r="J743" s="2278"/>
      <c r="K743" s="2048"/>
      <c r="L743" s="2049"/>
      <c r="M743" s="2049"/>
      <c r="N743" s="2050"/>
      <c r="O743" s="2043"/>
      <c r="P743" s="2044"/>
      <c r="Q743" s="2044"/>
      <c r="R743" s="2044"/>
      <c r="S743" s="2045"/>
      <c r="T743" s="2158">
        <f t="shared" si="47"/>
        <v>0</v>
      </c>
      <c r="U743" s="2159"/>
      <c r="V743" s="2159"/>
      <c r="W743" s="2159"/>
      <c r="X743" s="2160"/>
      <c r="Y743" s="2043">
        <v>0</v>
      </c>
      <c r="Z743" s="2044"/>
      <c r="AA743" s="2044"/>
      <c r="AB743" s="2045"/>
      <c r="AC743" s="2158">
        <f t="shared" si="48"/>
        <v>0</v>
      </c>
      <c r="AD743" s="2159"/>
      <c r="AE743" s="2159"/>
      <c r="AF743" s="2159"/>
      <c r="AG743" s="2160"/>
      <c r="AH743" s="2301">
        <v>0</v>
      </c>
      <c r="AI743" s="2302"/>
      <c r="AJ743" s="2302"/>
      <c r="AK743" s="2302"/>
      <c r="AL743" s="2303"/>
      <c r="AM743" s="2281" t="str">
        <f t="shared" si="49"/>
        <v xml:space="preserve"> </v>
      </c>
      <c r="AN743" s="2282"/>
      <c r="AO743" s="228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72"/>
      <c r="C744" s="2073"/>
      <c r="D744" s="2073"/>
      <c r="E744" s="2073"/>
      <c r="F744" s="2074"/>
      <c r="G744" s="2276"/>
      <c r="H744" s="2277"/>
      <c r="I744" s="2277"/>
      <c r="J744" s="2278"/>
      <c r="K744" s="2048"/>
      <c r="L744" s="2049"/>
      <c r="M744" s="2049"/>
      <c r="N744" s="2050"/>
      <c r="O744" s="2043"/>
      <c r="P744" s="2044"/>
      <c r="Q744" s="2044"/>
      <c r="R744" s="2044"/>
      <c r="S744" s="2045"/>
      <c r="T744" s="2158">
        <f t="shared" si="47"/>
        <v>0</v>
      </c>
      <c r="U744" s="2159"/>
      <c r="V744" s="2159"/>
      <c r="W744" s="2159"/>
      <c r="X744" s="2160"/>
      <c r="Y744" s="2043">
        <v>0</v>
      </c>
      <c r="Z744" s="2044"/>
      <c r="AA744" s="2044"/>
      <c r="AB744" s="2045"/>
      <c r="AC744" s="2158">
        <f t="shared" si="48"/>
        <v>0</v>
      </c>
      <c r="AD744" s="2159"/>
      <c r="AE744" s="2159"/>
      <c r="AF744" s="2159"/>
      <c r="AG744" s="2160"/>
      <c r="AH744" s="2301">
        <v>0</v>
      </c>
      <c r="AI744" s="2302"/>
      <c r="AJ744" s="2302"/>
      <c r="AK744" s="2302"/>
      <c r="AL744" s="2303"/>
      <c r="AM744" s="2281" t="str">
        <f t="shared" si="49"/>
        <v xml:space="preserve"> </v>
      </c>
      <c r="AN744" s="2282"/>
      <c r="AO744" s="228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72"/>
      <c r="C745" s="2073"/>
      <c r="D745" s="2073"/>
      <c r="E745" s="2073"/>
      <c r="F745" s="2074"/>
      <c r="G745" s="2276"/>
      <c r="H745" s="2277"/>
      <c r="I745" s="2277"/>
      <c r="J745" s="2278"/>
      <c r="K745" s="2048"/>
      <c r="L745" s="2049"/>
      <c r="M745" s="2049"/>
      <c r="N745" s="2050"/>
      <c r="O745" s="2043"/>
      <c r="P745" s="2044"/>
      <c r="Q745" s="2044"/>
      <c r="R745" s="2044"/>
      <c r="S745" s="2045"/>
      <c r="T745" s="2158">
        <f t="shared" si="47"/>
        <v>0</v>
      </c>
      <c r="U745" s="2159"/>
      <c r="V745" s="2159"/>
      <c r="W745" s="2159"/>
      <c r="X745" s="2160"/>
      <c r="Y745" s="2043">
        <v>0</v>
      </c>
      <c r="Z745" s="2044"/>
      <c r="AA745" s="2044"/>
      <c r="AB745" s="2045"/>
      <c r="AC745" s="2158">
        <f t="shared" si="48"/>
        <v>0</v>
      </c>
      <c r="AD745" s="2159"/>
      <c r="AE745" s="2159"/>
      <c r="AF745" s="2159"/>
      <c r="AG745" s="2160"/>
      <c r="AH745" s="2301">
        <v>0</v>
      </c>
      <c r="AI745" s="2302"/>
      <c r="AJ745" s="2302"/>
      <c r="AK745" s="2302"/>
      <c r="AL745" s="2303"/>
      <c r="AM745" s="2281" t="str">
        <f t="shared" si="49"/>
        <v xml:space="preserve"> </v>
      </c>
      <c r="AN745" s="2282"/>
      <c r="AO745" s="228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72"/>
      <c r="C746" s="2073"/>
      <c r="D746" s="2073"/>
      <c r="E746" s="2073"/>
      <c r="F746" s="2074"/>
      <c r="G746" s="2276"/>
      <c r="H746" s="2277"/>
      <c r="I746" s="2277"/>
      <c r="J746" s="2278"/>
      <c r="K746" s="2048"/>
      <c r="L746" s="2049"/>
      <c r="M746" s="2049"/>
      <c r="N746" s="2050"/>
      <c r="O746" s="2043"/>
      <c r="P746" s="2044"/>
      <c r="Q746" s="2044"/>
      <c r="R746" s="2044"/>
      <c r="S746" s="2045"/>
      <c r="T746" s="2158">
        <f t="shared" si="47"/>
        <v>0</v>
      </c>
      <c r="U746" s="2159"/>
      <c r="V746" s="2159"/>
      <c r="W746" s="2159"/>
      <c r="X746" s="2160"/>
      <c r="Y746" s="2043">
        <v>0</v>
      </c>
      <c r="Z746" s="2044"/>
      <c r="AA746" s="2044"/>
      <c r="AB746" s="2045"/>
      <c r="AC746" s="2158">
        <f t="shared" si="48"/>
        <v>0</v>
      </c>
      <c r="AD746" s="2159"/>
      <c r="AE746" s="2159"/>
      <c r="AF746" s="2159"/>
      <c r="AG746" s="2160"/>
      <c r="AH746" s="2301">
        <v>0</v>
      </c>
      <c r="AI746" s="2302"/>
      <c r="AJ746" s="2302"/>
      <c r="AK746" s="2302"/>
      <c r="AL746" s="2303"/>
      <c r="AM746" s="2281" t="str">
        <f t="shared" si="49"/>
        <v xml:space="preserve"> </v>
      </c>
      <c r="AN746" s="2282"/>
      <c r="AO746" s="228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72"/>
      <c r="C747" s="2073"/>
      <c r="D747" s="2073"/>
      <c r="E747" s="2073"/>
      <c r="F747" s="2074"/>
      <c r="G747" s="2276"/>
      <c r="H747" s="2277"/>
      <c r="I747" s="2277"/>
      <c r="J747" s="2278"/>
      <c r="K747" s="2048"/>
      <c r="L747" s="2049"/>
      <c r="M747" s="2049"/>
      <c r="N747" s="2050"/>
      <c r="O747" s="2043"/>
      <c r="P747" s="2044"/>
      <c r="Q747" s="2044"/>
      <c r="R747" s="2044"/>
      <c r="S747" s="2045"/>
      <c r="T747" s="2158">
        <f t="shared" si="47"/>
        <v>0</v>
      </c>
      <c r="U747" s="2159"/>
      <c r="V747" s="2159"/>
      <c r="W747" s="2159"/>
      <c r="X747" s="2160"/>
      <c r="Y747" s="2043">
        <v>0</v>
      </c>
      <c r="Z747" s="2044"/>
      <c r="AA747" s="2044"/>
      <c r="AB747" s="2045"/>
      <c r="AC747" s="2158">
        <f t="shared" si="48"/>
        <v>0</v>
      </c>
      <c r="AD747" s="2159"/>
      <c r="AE747" s="2159"/>
      <c r="AF747" s="2159"/>
      <c r="AG747" s="2160"/>
      <c r="AH747" s="2301">
        <v>0</v>
      </c>
      <c r="AI747" s="2302"/>
      <c r="AJ747" s="2302"/>
      <c r="AK747" s="2302"/>
      <c r="AL747" s="2303"/>
      <c r="AM747" s="2281" t="str">
        <f t="shared" si="49"/>
        <v xml:space="preserve"> </v>
      </c>
      <c r="AN747" s="2282"/>
      <c r="AO747" s="228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72"/>
      <c r="C748" s="2073"/>
      <c r="D748" s="2073"/>
      <c r="E748" s="2073"/>
      <c r="F748" s="2074"/>
      <c r="G748" s="2276"/>
      <c r="H748" s="2277"/>
      <c r="I748" s="2277"/>
      <c r="J748" s="2278"/>
      <c r="K748" s="2048"/>
      <c r="L748" s="2049"/>
      <c r="M748" s="2049"/>
      <c r="N748" s="2050"/>
      <c r="O748" s="2043"/>
      <c r="P748" s="2044"/>
      <c r="Q748" s="2044"/>
      <c r="R748" s="2044"/>
      <c r="S748" s="2045"/>
      <c r="T748" s="2158">
        <f t="shared" si="47"/>
        <v>0</v>
      </c>
      <c r="U748" s="2159"/>
      <c r="V748" s="2159"/>
      <c r="W748" s="2159"/>
      <c r="X748" s="2160"/>
      <c r="Y748" s="2043">
        <v>0</v>
      </c>
      <c r="Z748" s="2044"/>
      <c r="AA748" s="2044"/>
      <c r="AB748" s="2045"/>
      <c r="AC748" s="2158">
        <f t="shared" si="48"/>
        <v>0</v>
      </c>
      <c r="AD748" s="2159"/>
      <c r="AE748" s="2159"/>
      <c r="AF748" s="2159"/>
      <c r="AG748" s="2160"/>
      <c r="AH748" s="2301">
        <v>0</v>
      </c>
      <c r="AI748" s="2302"/>
      <c r="AJ748" s="2302"/>
      <c r="AK748" s="2302"/>
      <c r="AL748" s="2303"/>
      <c r="AM748" s="2281" t="str">
        <f t="shared" si="49"/>
        <v xml:space="preserve"> </v>
      </c>
      <c r="AN748" s="2282"/>
      <c r="AO748" s="228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72"/>
      <c r="C749" s="2073"/>
      <c r="D749" s="2073"/>
      <c r="E749" s="2073"/>
      <c r="F749" s="2074"/>
      <c r="G749" s="2276"/>
      <c r="H749" s="2277"/>
      <c r="I749" s="2277"/>
      <c r="J749" s="2278"/>
      <c r="K749" s="2048"/>
      <c r="L749" s="2049"/>
      <c r="M749" s="2049"/>
      <c r="N749" s="2050"/>
      <c r="O749" s="2043"/>
      <c r="P749" s="2044"/>
      <c r="Q749" s="2044"/>
      <c r="R749" s="2044"/>
      <c r="S749" s="2045"/>
      <c r="T749" s="2158">
        <f t="shared" si="47"/>
        <v>0</v>
      </c>
      <c r="U749" s="2159"/>
      <c r="V749" s="2159"/>
      <c r="W749" s="2159"/>
      <c r="X749" s="2160"/>
      <c r="Y749" s="2043">
        <v>0</v>
      </c>
      <c r="Z749" s="2044"/>
      <c r="AA749" s="2044"/>
      <c r="AB749" s="2045"/>
      <c r="AC749" s="2158">
        <f t="shared" si="48"/>
        <v>0</v>
      </c>
      <c r="AD749" s="2159"/>
      <c r="AE749" s="2159"/>
      <c r="AF749" s="2159"/>
      <c r="AG749" s="2160"/>
      <c r="AH749" s="2301">
        <v>0</v>
      </c>
      <c r="AI749" s="2302"/>
      <c r="AJ749" s="2302"/>
      <c r="AK749" s="2302"/>
      <c r="AL749" s="2303"/>
      <c r="AM749" s="2281" t="str">
        <f t="shared" si="49"/>
        <v xml:space="preserve"> </v>
      </c>
      <c r="AN749" s="2282"/>
      <c r="AO749" s="228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72"/>
      <c r="C750" s="2073"/>
      <c r="D750" s="2073"/>
      <c r="E750" s="2073"/>
      <c r="F750" s="2074"/>
      <c r="G750" s="2276"/>
      <c r="H750" s="2277"/>
      <c r="I750" s="2277"/>
      <c r="J750" s="2278"/>
      <c r="K750" s="2048"/>
      <c r="L750" s="2049"/>
      <c r="M750" s="2049"/>
      <c r="N750" s="2050"/>
      <c r="O750" s="2043"/>
      <c r="P750" s="2044"/>
      <c r="Q750" s="2044"/>
      <c r="R750" s="2044"/>
      <c r="S750" s="2045"/>
      <c r="T750" s="2158">
        <f t="shared" si="47"/>
        <v>0</v>
      </c>
      <c r="U750" s="2159"/>
      <c r="V750" s="2159"/>
      <c r="W750" s="2159"/>
      <c r="X750" s="2160"/>
      <c r="Y750" s="2043">
        <v>0</v>
      </c>
      <c r="Z750" s="2044"/>
      <c r="AA750" s="2044"/>
      <c r="AB750" s="2045"/>
      <c r="AC750" s="2158">
        <f t="shared" si="48"/>
        <v>0</v>
      </c>
      <c r="AD750" s="2159"/>
      <c r="AE750" s="2159"/>
      <c r="AF750" s="2159"/>
      <c r="AG750" s="2160"/>
      <c r="AH750" s="2301">
        <v>0</v>
      </c>
      <c r="AI750" s="2302"/>
      <c r="AJ750" s="2302"/>
      <c r="AK750" s="2302"/>
      <c r="AL750" s="2303"/>
      <c r="AM750" s="2281" t="str">
        <f t="shared" si="49"/>
        <v xml:space="preserve"> </v>
      </c>
      <c r="AN750" s="2282"/>
      <c r="AO750" s="228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72"/>
      <c r="C751" s="2073"/>
      <c r="D751" s="2073"/>
      <c r="E751" s="2073"/>
      <c r="F751" s="2074"/>
      <c r="G751" s="2276"/>
      <c r="H751" s="2277"/>
      <c r="I751" s="2277"/>
      <c r="J751" s="2278"/>
      <c r="K751" s="2048"/>
      <c r="L751" s="2049"/>
      <c r="M751" s="2049"/>
      <c r="N751" s="2050"/>
      <c r="O751" s="2043"/>
      <c r="P751" s="2044"/>
      <c r="Q751" s="2044"/>
      <c r="R751" s="2044"/>
      <c r="S751" s="2045"/>
      <c r="T751" s="2158">
        <f t="shared" si="47"/>
        <v>0</v>
      </c>
      <c r="U751" s="2159"/>
      <c r="V751" s="2159"/>
      <c r="W751" s="2159"/>
      <c r="X751" s="2160"/>
      <c r="Y751" s="2043">
        <v>0</v>
      </c>
      <c r="Z751" s="2044"/>
      <c r="AA751" s="2044"/>
      <c r="AB751" s="2045"/>
      <c r="AC751" s="2158">
        <f t="shared" si="48"/>
        <v>0</v>
      </c>
      <c r="AD751" s="2159"/>
      <c r="AE751" s="2159"/>
      <c r="AF751" s="2159"/>
      <c r="AG751" s="2160"/>
      <c r="AH751" s="2301">
        <v>0</v>
      </c>
      <c r="AI751" s="2302"/>
      <c r="AJ751" s="2302"/>
      <c r="AK751" s="2302"/>
      <c r="AL751" s="2303"/>
      <c r="AM751" s="2281" t="str">
        <f t="shared" si="49"/>
        <v xml:space="preserve"> </v>
      </c>
      <c r="AN751" s="2282"/>
      <c r="AO751" s="228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72"/>
      <c r="C752" s="2073"/>
      <c r="D752" s="2073"/>
      <c r="E752" s="2073"/>
      <c r="F752" s="2074"/>
      <c r="G752" s="2276"/>
      <c r="H752" s="2277"/>
      <c r="I752" s="2277"/>
      <c r="J752" s="2278"/>
      <c r="K752" s="2048"/>
      <c r="L752" s="2049"/>
      <c r="M752" s="2049"/>
      <c r="N752" s="2050"/>
      <c r="O752" s="2043"/>
      <c r="P752" s="2044"/>
      <c r="Q752" s="2044"/>
      <c r="R752" s="2044"/>
      <c r="S752" s="2045"/>
      <c r="T752" s="2158">
        <f t="shared" si="47"/>
        <v>0</v>
      </c>
      <c r="U752" s="2159"/>
      <c r="V752" s="2159"/>
      <c r="W752" s="2159"/>
      <c r="X752" s="2160"/>
      <c r="Y752" s="2043">
        <v>0</v>
      </c>
      <c r="Z752" s="2044"/>
      <c r="AA752" s="2044"/>
      <c r="AB752" s="2045"/>
      <c r="AC752" s="2158">
        <f t="shared" si="48"/>
        <v>0</v>
      </c>
      <c r="AD752" s="2159"/>
      <c r="AE752" s="2159"/>
      <c r="AF752" s="2159"/>
      <c r="AG752" s="2160"/>
      <c r="AH752" s="2301">
        <v>0</v>
      </c>
      <c r="AI752" s="2302"/>
      <c r="AJ752" s="2302"/>
      <c r="AK752" s="2302"/>
      <c r="AL752" s="2303"/>
      <c r="AM752" s="2281" t="str">
        <f t="shared" si="49"/>
        <v xml:space="preserve"> </v>
      </c>
      <c r="AN752" s="2282"/>
      <c r="AO752" s="228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6" t="s">
        <v>130</v>
      </c>
      <c r="C753" s="2147"/>
      <c r="D753" s="2147"/>
      <c r="E753" s="2147"/>
      <c r="F753" s="2149"/>
      <c r="G753" s="2272">
        <f>SUM(G728:J752)</f>
        <v>285</v>
      </c>
      <c r="H753" s="2273"/>
      <c r="I753" s="2273"/>
      <c r="J753" s="2274"/>
      <c r="O753" s="1585" t="s">
        <v>129</v>
      </c>
      <c r="P753" s="1586"/>
      <c r="Q753" s="1586"/>
      <c r="R753" s="1586"/>
      <c r="S753" s="1587"/>
      <c r="T753" s="2158">
        <f>SUM(T728:X752)</f>
        <v>326602</v>
      </c>
      <c r="U753" s="2159"/>
      <c r="V753" s="2159"/>
      <c r="W753" s="2159"/>
      <c r="X753" s="2160"/>
      <c r="AC753" s="1589" t="s">
        <v>968</v>
      </c>
      <c r="AD753" s="1588"/>
      <c r="AE753" s="1588"/>
      <c r="AF753" s="1588"/>
      <c r="AG753" s="1590"/>
      <c r="AH753" s="2361">
        <f>BI696</f>
        <v>0.59824561403508758</v>
      </c>
      <c r="AI753" s="2362"/>
      <c r="AJ753" s="2362"/>
      <c r="AK753" s="2362"/>
      <c r="AL753" s="2363"/>
      <c r="AM753" s="2361">
        <f>BI728</f>
        <v>0.59821344532809106</v>
      </c>
      <c r="AN753" s="2362"/>
      <c r="AO753" s="236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9" t="s">
        <v>625</v>
      </c>
      <c r="AG755" s="2429"/>
      <c r="AH755" s="242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308" t="s">
        <v>291</v>
      </c>
      <c r="P768" s="2308"/>
      <c r="Q768" s="2308"/>
      <c r="R768" s="2308"/>
      <c r="S768" s="2308"/>
      <c r="T768" s="2292" t="s">
        <v>2156</v>
      </c>
      <c r="U768" s="2293"/>
      <c r="V768" s="2293"/>
      <c r="W768" s="2294"/>
      <c r="X768" s="2118" t="s">
        <v>477</v>
      </c>
      <c r="Y768" s="2119"/>
      <c r="Z768" s="2119"/>
      <c r="AA768" s="2119"/>
      <c r="AB768" s="2120"/>
      <c r="AC768" s="2118" t="s">
        <v>292</v>
      </c>
      <c r="AD768" s="2119"/>
      <c r="AE768" s="2119"/>
      <c r="AF768" s="2119"/>
      <c r="AG768" s="212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308"/>
      <c r="P769" s="2308"/>
      <c r="Q769" s="2308"/>
      <c r="R769" s="2308"/>
      <c r="S769" s="2308"/>
      <c r="T769" s="2295"/>
      <c r="U769" s="2296"/>
      <c r="V769" s="2296"/>
      <c r="W769" s="2297"/>
      <c r="X769" s="2121"/>
      <c r="Y769" s="2122"/>
      <c r="Z769" s="2122"/>
      <c r="AA769" s="2122"/>
      <c r="AB769" s="2123"/>
      <c r="AC769" s="2121"/>
      <c r="AD769" s="2122"/>
      <c r="AE769" s="2122"/>
      <c r="AF769" s="2122"/>
      <c r="AG769" s="212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308"/>
      <c r="P770" s="2308"/>
      <c r="Q770" s="2308"/>
      <c r="R770" s="2308"/>
      <c r="S770" s="2308"/>
      <c r="T770" s="2295"/>
      <c r="U770" s="2296"/>
      <c r="V770" s="2296"/>
      <c r="W770" s="2297"/>
      <c r="X770" s="2121"/>
      <c r="Y770" s="2122"/>
      <c r="Z770" s="2122"/>
      <c r="AA770" s="2122"/>
      <c r="AB770" s="2123"/>
      <c r="AC770" s="2121"/>
      <c r="AD770" s="2122"/>
      <c r="AE770" s="2122"/>
      <c r="AF770" s="2122"/>
      <c r="AG770" s="212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308"/>
      <c r="P771" s="2308"/>
      <c r="Q771" s="2308"/>
      <c r="R771" s="2308"/>
      <c r="S771" s="2308"/>
      <c r="T771" s="2298"/>
      <c r="U771" s="2299"/>
      <c r="V771" s="2299"/>
      <c r="W771" s="2300"/>
      <c r="X771" s="2124"/>
      <c r="Y771" s="2125"/>
      <c r="Z771" s="2125"/>
      <c r="AA771" s="2125"/>
      <c r="AB771" s="2126"/>
      <c r="AC771" s="2124"/>
      <c r="AD771" s="2125"/>
      <c r="AE771" s="2125"/>
      <c r="AF771" s="2125"/>
      <c r="AG771" s="212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72" t="s">
        <v>168</v>
      </c>
      <c r="K772" s="2073"/>
      <c r="L772" s="2073"/>
      <c r="M772" s="2073"/>
      <c r="N772" s="2074"/>
      <c r="O772" s="2052">
        <v>3</v>
      </c>
      <c r="P772" s="2052"/>
      <c r="Q772" s="2052"/>
      <c r="R772" s="2052"/>
      <c r="S772" s="2052"/>
      <c r="T772" s="2048">
        <v>840</v>
      </c>
      <c r="U772" s="2049"/>
      <c r="V772" s="2049"/>
      <c r="W772" s="2050"/>
      <c r="X772" s="2043">
        <v>1154</v>
      </c>
      <c r="Y772" s="2044"/>
      <c r="Z772" s="2044"/>
      <c r="AA772" s="2044"/>
      <c r="AB772" s="2045"/>
      <c r="AC772" s="2158">
        <f>X772*O772</f>
        <v>3462</v>
      </c>
      <c r="AD772" s="2159"/>
      <c r="AE772" s="2159"/>
      <c r="AF772" s="2159"/>
      <c r="AG772" s="216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72"/>
      <c r="K773" s="2073"/>
      <c r="L773" s="2073"/>
      <c r="M773" s="2073"/>
      <c r="N773" s="2074"/>
      <c r="O773" s="2052"/>
      <c r="P773" s="2052"/>
      <c r="Q773" s="2052"/>
      <c r="R773" s="2052"/>
      <c r="S773" s="2052"/>
      <c r="T773" s="2048"/>
      <c r="U773" s="2049"/>
      <c r="V773" s="2049"/>
      <c r="W773" s="2050"/>
      <c r="X773" s="2043"/>
      <c r="Y773" s="2044"/>
      <c r="Z773" s="2044"/>
      <c r="AA773" s="2044"/>
      <c r="AB773" s="2045"/>
      <c r="AC773" s="2158">
        <f>X773*O773</f>
        <v>0</v>
      </c>
      <c r="AD773" s="2159"/>
      <c r="AE773" s="2159"/>
      <c r="AF773" s="2159"/>
      <c r="AG773" s="216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72"/>
      <c r="K774" s="2073"/>
      <c r="L774" s="2073"/>
      <c r="M774" s="2073"/>
      <c r="N774" s="2074"/>
      <c r="O774" s="2052"/>
      <c r="P774" s="2052"/>
      <c r="Q774" s="2052"/>
      <c r="R774" s="2052"/>
      <c r="S774" s="2052"/>
      <c r="T774" s="2048"/>
      <c r="U774" s="2049"/>
      <c r="V774" s="2049"/>
      <c r="W774" s="2050"/>
      <c r="X774" s="2043"/>
      <c r="Y774" s="2044"/>
      <c r="Z774" s="2044"/>
      <c r="AA774" s="2044"/>
      <c r="AB774" s="2045"/>
      <c r="AC774" s="2158">
        <f>X774*O774</f>
        <v>0</v>
      </c>
      <c r="AD774" s="2159"/>
      <c r="AE774" s="2159"/>
      <c r="AF774" s="2159"/>
      <c r="AG774" s="216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72"/>
      <c r="K775" s="2073"/>
      <c r="L775" s="2073"/>
      <c r="M775" s="2073"/>
      <c r="N775" s="2074"/>
      <c r="O775" s="2052"/>
      <c r="P775" s="2052"/>
      <c r="Q775" s="2052"/>
      <c r="R775" s="2052"/>
      <c r="S775" s="2052"/>
      <c r="T775" s="2048"/>
      <c r="U775" s="2049"/>
      <c r="V775" s="2049"/>
      <c r="W775" s="2050"/>
      <c r="X775" s="2043"/>
      <c r="Y775" s="2044"/>
      <c r="Z775" s="2044"/>
      <c r="AA775" s="2044"/>
      <c r="AB775" s="2045"/>
      <c r="AC775" s="2158">
        <f>X775*O775</f>
        <v>0</v>
      </c>
      <c r="AD775" s="2159"/>
      <c r="AE775" s="2159"/>
      <c r="AF775" s="2159"/>
      <c r="AG775" s="216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381">
        <f>SUM(O772:S775)</f>
        <v>3</v>
      </c>
      <c r="P776" s="2382"/>
      <c r="Q776" s="2382"/>
      <c r="R776" s="2382"/>
      <c r="S776" s="2383"/>
      <c r="X776" s="2419" t="s">
        <v>129</v>
      </c>
      <c r="Y776" s="2420"/>
      <c r="Z776" s="2420"/>
      <c r="AA776" s="2420"/>
      <c r="AB776" s="2421"/>
      <c r="AC776" s="2158">
        <f>SUM(AC772:AG775)</f>
        <v>3462</v>
      </c>
      <c r="AD776" s="2159"/>
      <c r="AE776" s="2159"/>
      <c r="AF776" s="2159"/>
      <c r="AG776" s="216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0" t="s">
        <v>705</v>
      </c>
      <c r="K778" s="203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308" t="s">
        <v>291</v>
      </c>
      <c r="P782" s="2308"/>
      <c r="Q782" s="2308"/>
      <c r="R782" s="2308"/>
      <c r="S782" s="2308"/>
      <c r="T782" s="2292" t="s">
        <v>2156</v>
      </c>
      <c r="U782" s="2293"/>
      <c r="V782" s="2293"/>
      <c r="W782" s="2294"/>
      <c r="X782" s="2118" t="s">
        <v>477</v>
      </c>
      <c r="Y782" s="2119"/>
      <c r="Z782" s="2119"/>
      <c r="AA782" s="2119"/>
      <c r="AB782" s="2120"/>
      <c r="AC782" s="2118" t="s">
        <v>292</v>
      </c>
      <c r="AD782" s="2119"/>
      <c r="AE782" s="2119"/>
      <c r="AF782" s="2119"/>
      <c r="AG782" s="2120"/>
      <c r="AH782" s="2307" t="s">
        <v>2396</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308"/>
      <c r="P783" s="2308"/>
      <c r="Q783" s="2308"/>
      <c r="R783" s="2308"/>
      <c r="S783" s="2308"/>
      <c r="T783" s="2295"/>
      <c r="U783" s="2296"/>
      <c r="V783" s="2296"/>
      <c r="W783" s="2297"/>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308"/>
      <c r="P784" s="2308"/>
      <c r="Q784" s="2308"/>
      <c r="R784" s="2308"/>
      <c r="S784" s="2308"/>
      <c r="T784" s="2295"/>
      <c r="U784" s="2296"/>
      <c r="V784" s="2296"/>
      <c r="W784" s="2297"/>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308"/>
      <c r="P785" s="2308"/>
      <c r="Q785" s="2308"/>
      <c r="R785" s="2308"/>
      <c r="S785" s="2308"/>
      <c r="T785" s="2298"/>
      <c r="U785" s="2299"/>
      <c r="V785" s="2299"/>
      <c r="W785" s="2300"/>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72"/>
      <c r="K786" s="2073"/>
      <c r="L786" s="2073"/>
      <c r="M786" s="2073"/>
      <c r="N786" s="2074"/>
      <c r="O786" s="2052"/>
      <c r="P786" s="2052"/>
      <c r="Q786" s="2052"/>
      <c r="R786" s="2052"/>
      <c r="S786" s="2052"/>
      <c r="T786" s="2048"/>
      <c r="U786" s="2049"/>
      <c r="V786" s="2049"/>
      <c r="W786" s="2050"/>
      <c r="X786" s="2043"/>
      <c r="Y786" s="2044"/>
      <c r="Z786" s="2044"/>
      <c r="AA786" s="2044"/>
      <c r="AB786" s="2045"/>
      <c r="AC786" s="2158">
        <f t="shared" ref="AC786:AC795" si="50">X786*O786</f>
        <v>0</v>
      </c>
      <c r="AD786" s="2159"/>
      <c r="AE786" s="2159"/>
      <c r="AF786" s="2159"/>
      <c r="AG786" s="2160"/>
      <c r="AH786" s="2301"/>
      <c r="AI786" s="2302"/>
      <c r="AJ786" s="2302"/>
      <c r="AK786" s="2302"/>
      <c r="AL786" s="230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72"/>
      <c r="K787" s="2073"/>
      <c r="L787" s="2073"/>
      <c r="M787" s="2073"/>
      <c r="N787" s="2074"/>
      <c r="O787" s="2052"/>
      <c r="P787" s="2052"/>
      <c r="Q787" s="2052"/>
      <c r="R787" s="2052"/>
      <c r="S787" s="2052"/>
      <c r="T787" s="2048"/>
      <c r="U787" s="2049"/>
      <c r="V787" s="2049"/>
      <c r="W787" s="2050"/>
      <c r="X787" s="2043"/>
      <c r="Y787" s="2044"/>
      <c r="Z787" s="2044"/>
      <c r="AA787" s="2044"/>
      <c r="AB787" s="2045"/>
      <c r="AC787" s="2158">
        <f t="shared" si="50"/>
        <v>0</v>
      </c>
      <c r="AD787" s="2159"/>
      <c r="AE787" s="2159"/>
      <c r="AF787" s="2159"/>
      <c r="AG787" s="2160"/>
      <c r="AH787" s="2301"/>
      <c r="AI787" s="2302"/>
      <c r="AJ787" s="2302"/>
      <c r="AK787" s="2302"/>
      <c r="AL787" s="230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72"/>
      <c r="K788" s="2073"/>
      <c r="L788" s="2073"/>
      <c r="M788" s="2073"/>
      <c r="N788" s="2074"/>
      <c r="O788" s="2052"/>
      <c r="P788" s="2052"/>
      <c r="Q788" s="2052"/>
      <c r="R788" s="2052"/>
      <c r="S788" s="2052"/>
      <c r="T788" s="2048"/>
      <c r="U788" s="2049"/>
      <c r="V788" s="2049"/>
      <c r="W788" s="2050"/>
      <c r="X788" s="2043"/>
      <c r="Y788" s="2044"/>
      <c r="Z788" s="2044"/>
      <c r="AA788" s="2044"/>
      <c r="AB788" s="2045"/>
      <c r="AC788" s="2158">
        <f t="shared" si="50"/>
        <v>0</v>
      </c>
      <c r="AD788" s="2159"/>
      <c r="AE788" s="2159"/>
      <c r="AF788" s="2159"/>
      <c r="AG788" s="2160"/>
      <c r="AH788" s="2301"/>
      <c r="AI788" s="2302"/>
      <c r="AJ788" s="2302"/>
      <c r="AK788" s="2302"/>
      <c r="AL788" s="230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72"/>
      <c r="K789" s="2073"/>
      <c r="L789" s="2073"/>
      <c r="M789" s="2073"/>
      <c r="N789" s="2074"/>
      <c r="O789" s="2052"/>
      <c r="P789" s="2052"/>
      <c r="Q789" s="2052"/>
      <c r="R789" s="2052"/>
      <c r="S789" s="2052"/>
      <c r="T789" s="2048"/>
      <c r="U789" s="2049"/>
      <c r="V789" s="2049"/>
      <c r="W789" s="2050"/>
      <c r="X789" s="2043"/>
      <c r="Y789" s="2044"/>
      <c r="Z789" s="2044"/>
      <c r="AA789" s="2044"/>
      <c r="AB789" s="2045"/>
      <c r="AC789" s="2158">
        <f t="shared" si="50"/>
        <v>0</v>
      </c>
      <c r="AD789" s="2159"/>
      <c r="AE789" s="2159"/>
      <c r="AF789" s="2159"/>
      <c r="AG789" s="2160"/>
      <c r="AH789" s="2301"/>
      <c r="AI789" s="2302"/>
      <c r="AJ789" s="2302"/>
      <c r="AK789" s="2302"/>
      <c r="AL789" s="230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72"/>
      <c r="K790" s="2073"/>
      <c r="L790" s="2073"/>
      <c r="M790" s="2073"/>
      <c r="N790" s="2074"/>
      <c r="O790" s="2052"/>
      <c r="P790" s="2052"/>
      <c r="Q790" s="2052"/>
      <c r="R790" s="2052"/>
      <c r="S790" s="2052"/>
      <c r="T790" s="2048"/>
      <c r="U790" s="2049"/>
      <c r="V790" s="2049"/>
      <c r="W790" s="2050"/>
      <c r="X790" s="2043"/>
      <c r="Y790" s="2044"/>
      <c r="Z790" s="2044"/>
      <c r="AA790" s="2044"/>
      <c r="AB790" s="2045"/>
      <c r="AC790" s="2158">
        <f t="shared" si="50"/>
        <v>0</v>
      </c>
      <c r="AD790" s="2159"/>
      <c r="AE790" s="2159"/>
      <c r="AF790" s="2159"/>
      <c r="AG790" s="2160"/>
      <c r="AH790" s="2301"/>
      <c r="AI790" s="2302"/>
      <c r="AJ790" s="2302"/>
      <c r="AK790" s="2302"/>
      <c r="AL790" s="230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72"/>
      <c r="K791" s="2073"/>
      <c r="L791" s="2073"/>
      <c r="M791" s="2073"/>
      <c r="N791" s="2074"/>
      <c r="O791" s="2052"/>
      <c r="P791" s="2052"/>
      <c r="Q791" s="2052"/>
      <c r="R791" s="2052"/>
      <c r="S791" s="2052"/>
      <c r="T791" s="2048"/>
      <c r="U791" s="2049"/>
      <c r="V791" s="2049"/>
      <c r="W791" s="2050"/>
      <c r="X791" s="2043"/>
      <c r="Y791" s="2044"/>
      <c r="Z791" s="2044"/>
      <c r="AA791" s="2044"/>
      <c r="AB791" s="2045"/>
      <c r="AC791" s="2158">
        <f t="shared" si="50"/>
        <v>0</v>
      </c>
      <c r="AD791" s="2159"/>
      <c r="AE791" s="2159"/>
      <c r="AF791" s="2159"/>
      <c r="AG791" s="2160"/>
      <c r="AH791" s="2301"/>
      <c r="AI791" s="2302"/>
      <c r="AJ791" s="2302"/>
      <c r="AK791" s="2302"/>
      <c r="AL791" s="230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72"/>
      <c r="K792" s="2073"/>
      <c r="L792" s="2073"/>
      <c r="M792" s="2073"/>
      <c r="N792" s="2074"/>
      <c r="O792" s="2052"/>
      <c r="P792" s="2052"/>
      <c r="Q792" s="2052"/>
      <c r="R792" s="2052"/>
      <c r="S792" s="2052"/>
      <c r="T792" s="2048"/>
      <c r="U792" s="2049"/>
      <c r="V792" s="2049"/>
      <c r="W792" s="2050"/>
      <c r="X792" s="2043"/>
      <c r="Y792" s="2044"/>
      <c r="Z792" s="2044"/>
      <c r="AA792" s="2044"/>
      <c r="AB792" s="2045"/>
      <c r="AC792" s="2158">
        <f t="shared" si="50"/>
        <v>0</v>
      </c>
      <c r="AD792" s="2159"/>
      <c r="AE792" s="2159"/>
      <c r="AF792" s="2159"/>
      <c r="AG792" s="2160"/>
      <c r="AH792" s="2301"/>
      <c r="AI792" s="2302"/>
      <c r="AJ792" s="2302"/>
      <c r="AK792" s="2302"/>
      <c r="AL792" s="230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72"/>
      <c r="K793" s="2073"/>
      <c r="L793" s="2073"/>
      <c r="M793" s="2073"/>
      <c r="N793" s="2074"/>
      <c r="O793" s="2052"/>
      <c r="P793" s="2052"/>
      <c r="Q793" s="2052"/>
      <c r="R793" s="2052"/>
      <c r="S793" s="2052"/>
      <c r="T793" s="2048"/>
      <c r="U793" s="2049"/>
      <c r="V793" s="2049"/>
      <c r="W793" s="2050"/>
      <c r="X793" s="2043"/>
      <c r="Y793" s="2044"/>
      <c r="Z793" s="2044"/>
      <c r="AA793" s="2044"/>
      <c r="AB793" s="2045"/>
      <c r="AC793" s="2158">
        <f t="shared" si="50"/>
        <v>0</v>
      </c>
      <c r="AD793" s="2159"/>
      <c r="AE793" s="2159"/>
      <c r="AF793" s="2159"/>
      <c r="AG793" s="2160"/>
      <c r="AH793" s="2301"/>
      <c r="AI793" s="2302"/>
      <c r="AJ793" s="2302"/>
      <c r="AK793" s="2302"/>
      <c r="AL793" s="230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72"/>
      <c r="K794" s="2073"/>
      <c r="L794" s="2073"/>
      <c r="M794" s="2073"/>
      <c r="N794" s="2074"/>
      <c r="O794" s="2052"/>
      <c r="P794" s="2052"/>
      <c r="Q794" s="2052"/>
      <c r="R794" s="2052"/>
      <c r="S794" s="2052"/>
      <c r="T794" s="2048"/>
      <c r="U794" s="2049"/>
      <c r="V794" s="2049"/>
      <c r="W794" s="2050"/>
      <c r="X794" s="2043"/>
      <c r="Y794" s="2044"/>
      <c r="Z794" s="2044"/>
      <c r="AA794" s="2044"/>
      <c r="AB794" s="2045"/>
      <c r="AC794" s="2158">
        <f t="shared" si="50"/>
        <v>0</v>
      </c>
      <c r="AD794" s="2159"/>
      <c r="AE794" s="2159"/>
      <c r="AF794" s="2159"/>
      <c r="AG794" s="2160"/>
      <c r="AH794" s="2301"/>
      <c r="AI794" s="2302"/>
      <c r="AJ794" s="2302"/>
      <c r="AK794" s="2302"/>
      <c r="AL794" s="230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72"/>
      <c r="K795" s="2073"/>
      <c r="L795" s="2073"/>
      <c r="M795" s="2073"/>
      <c r="N795" s="2074"/>
      <c r="O795" s="2052"/>
      <c r="P795" s="2052"/>
      <c r="Q795" s="2052"/>
      <c r="R795" s="2052"/>
      <c r="S795" s="2052"/>
      <c r="T795" s="2048"/>
      <c r="U795" s="2049"/>
      <c r="V795" s="2049"/>
      <c r="W795" s="2050"/>
      <c r="X795" s="2043"/>
      <c r="Y795" s="2044"/>
      <c r="Z795" s="2044"/>
      <c r="AA795" s="2044"/>
      <c r="AB795" s="2045"/>
      <c r="AC795" s="2158">
        <f t="shared" si="50"/>
        <v>0</v>
      </c>
      <c r="AD795" s="2159"/>
      <c r="AE795" s="2159"/>
      <c r="AF795" s="2159"/>
      <c r="AG795" s="2160"/>
      <c r="AH795" s="2301"/>
      <c r="AI795" s="2302"/>
      <c r="AJ795" s="2302"/>
      <c r="AK795" s="2302"/>
      <c r="AL795" s="230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80">
        <f>SUM(O786:S795)</f>
        <v>0</v>
      </c>
      <c r="P796" s="2280"/>
      <c r="Q796" s="2280"/>
      <c r="R796" s="2280"/>
      <c r="S796" s="2280"/>
      <c r="X796" s="1602" t="s">
        <v>129</v>
      </c>
      <c r="Y796" s="1603"/>
      <c r="Z796" s="1603"/>
      <c r="AA796" s="1603"/>
      <c r="AB796" s="1604"/>
      <c r="AC796" s="2158">
        <f>SUM(AC786:AG795)</f>
        <v>0</v>
      </c>
      <c r="AD796" s="2159"/>
      <c r="AE796" s="2159"/>
      <c r="AF796" s="2159"/>
      <c r="AG796" s="216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1">
        <f>T753+AC776+AC796</f>
        <v>330064</v>
      </c>
      <c r="Z798" s="2151"/>
      <c r="AA798" s="2151"/>
      <c r="AB798" s="2151"/>
      <c r="AC798" s="215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1">
        <f>(T753+AC776+AC796)*12</f>
        <v>3960768</v>
      </c>
      <c r="Z799" s="2151"/>
      <c r="AA799" s="2151"/>
      <c r="AB799" s="2151"/>
      <c r="AC799" s="2151"/>
      <c r="AZ799" s="58"/>
      <c r="BA799" s="51" t="s">
        <v>666</v>
      </c>
      <c r="BB799" s="51"/>
      <c r="BC799" s="51"/>
      <c r="BD799" s="51"/>
      <c r="BE799" s="51"/>
      <c r="BF799" s="51"/>
      <c r="BG799" s="51"/>
      <c r="BH799" s="51"/>
      <c r="BI799" s="51"/>
      <c r="BJ799" s="51"/>
      <c r="BK799" s="51"/>
      <c r="BL799" s="51"/>
      <c r="BM799" s="51"/>
      <c r="BN799" s="2359" t="s">
        <v>501</v>
      </c>
      <c r="BO799" s="2360"/>
      <c r="BP799" s="58"/>
      <c r="BQ799" s="58"/>
      <c r="BR799" s="58"/>
      <c r="BS799" s="51" t="s">
        <v>668</v>
      </c>
      <c r="BT799" s="51"/>
      <c r="BU799" s="51"/>
      <c r="BV799" s="51"/>
      <c r="BW799" s="51"/>
      <c r="BX799" s="51"/>
      <c r="BY799" s="51"/>
      <c r="BZ799" s="51"/>
      <c r="CA799" s="51"/>
      <c r="CB799" s="2356" t="str">
        <f>T189</f>
        <v>Placer</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09"/>
      <c r="AA804" s="2287"/>
      <c r="AB804" s="2287"/>
      <c r="AC804" s="2287"/>
      <c r="AD804" s="2287"/>
      <c r="AE804" s="228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6"/>
      <c r="AA805" s="2287"/>
      <c r="AB805" s="2287"/>
      <c r="AC805" s="2287"/>
      <c r="AD805" s="2287"/>
      <c r="AE805" s="228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9">
        <v>0</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2">
        <f>'Subsidy Contract Calculation'!I30</f>
        <v>0</v>
      </c>
      <c r="AA807" s="2153"/>
      <c r="AB807" s="2153"/>
      <c r="AC807" s="2153"/>
      <c r="AD807" s="2153"/>
      <c r="AE807" s="215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81">
        <v>20736</v>
      </c>
      <c r="AA811" s="2082"/>
      <c r="AB811" s="2082"/>
      <c r="AC811" s="2082"/>
      <c r="AD811" s="2082"/>
      <c r="AE811" s="20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81">
        <v>20736</v>
      </c>
      <c r="AA812" s="2082"/>
      <c r="AB812" s="2082"/>
      <c r="AC812" s="2082"/>
      <c r="AD812" s="2082"/>
      <c r="AE812" s="20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81"/>
      <c r="AA813" s="2082"/>
      <c r="AB813" s="2082"/>
      <c r="AC813" s="2082"/>
      <c r="AD813" s="2082"/>
      <c r="AE813" s="20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4" t="s">
        <v>2626</v>
      </c>
      <c r="Q814" s="2305"/>
      <c r="R814" s="2305"/>
      <c r="S814" s="2305"/>
      <c r="T814" s="2305"/>
      <c r="U814" s="2305"/>
      <c r="V814" s="2305"/>
      <c r="W814" s="2305"/>
      <c r="X814" s="2305"/>
      <c r="Y814" s="2306"/>
      <c r="Z814" s="2081">
        <f>13825+27648+21600</f>
        <v>63073</v>
      </c>
      <c r="AA814" s="2082"/>
      <c r="AB814" s="2082"/>
      <c r="AC814" s="2082"/>
      <c r="AD814" s="2082"/>
      <c r="AE814" s="20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2">
        <f>SUM(Z811:AE814)</f>
        <v>104545</v>
      </c>
      <c r="AA815" s="2153"/>
      <c r="AB815" s="2153"/>
      <c r="AC815" s="2153"/>
      <c r="AD815" s="2153"/>
      <c r="AE815" s="215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52">
        <f>Z815+Y799+Z807</f>
        <v>4065313</v>
      </c>
      <c r="AA816" s="2153"/>
      <c r="AB816" s="2153"/>
      <c r="AC816" s="2153"/>
      <c r="AD816" s="2153"/>
      <c r="AE816" s="215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10" t="s">
        <v>131</v>
      </c>
      <c r="N821" s="2310"/>
      <c r="O821" s="2310"/>
      <c r="P821" s="2311"/>
      <c r="Q821" s="2279" t="s">
        <v>298</v>
      </c>
      <c r="R821" s="2279"/>
      <c r="S821" s="2279"/>
      <c r="T821" s="2279"/>
      <c r="U821" s="2279" t="s">
        <v>299</v>
      </c>
      <c r="V821" s="2279"/>
      <c r="W821" s="2279"/>
      <c r="X821" s="2279"/>
      <c r="Y821" s="2279" t="s">
        <v>300</v>
      </c>
      <c r="Z821" s="2279"/>
      <c r="AA821" s="2279"/>
      <c r="AB821" s="2279"/>
      <c r="AC821" s="2279" t="s">
        <v>371</v>
      </c>
      <c r="AD821" s="2279"/>
      <c r="AE821" s="2279"/>
      <c r="AF821" s="2279"/>
      <c r="AG821" s="2514" t="s">
        <v>344</v>
      </c>
      <c r="AH821" s="2514"/>
      <c r="AI821" s="2514"/>
      <c r="AJ821" s="25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12"/>
      <c r="N822" s="2312"/>
      <c r="O822" s="2312"/>
      <c r="P822" s="2313"/>
      <c r="Q822" s="2279"/>
      <c r="R822" s="2279"/>
      <c r="S822" s="2279"/>
      <c r="T822" s="2279"/>
      <c r="U822" s="2279"/>
      <c r="V822" s="2279"/>
      <c r="W822" s="2279"/>
      <c r="X822" s="2279"/>
      <c r="Y822" s="2279"/>
      <c r="Z822" s="2279"/>
      <c r="AA822" s="2279"/>
      <c r="AB822" s="2279"/>
      <c r="AC822" s="2279"/>
      <c r="AD822" s="2279"/>
      <c r="AE822" s="2279"/>
      <c r="AF822" s="2279"/>
      <c r="AG822" s="2514"/>
      <c r="AH822" s="2514"/>
      <c r="AI822" s="2514"/>
      <c r="AJ822" s="25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512" t="s">
        <v>43</v>
      </c>
      <c r="D823" s="2513"/>
      <c r="E823" s="2513"/>
      <c r="F823" s="2513"/>
      <c r="G823" s="2513"/>
      <c r="H823" s="2513"/>
      <c r="I823" s="80"/>
      <c r="J823" s="80"/>
      <c r="K823" s="80"/>
      <c r="L823" s="81"/>
      <c r="M823" s="2275"/>
      <c r="N823" s="2275"/>
      <c r="O823" s="2275"/>
      <c r="P823" s="2275"/>
      <c r="Q823" s="2275"/>
      <c r="R823" s="2275"/>
      <c r="S823" s="2275"/>
      <c r="T823" s="2275"/>
      <c r="U823" s="2275"/>
      <c r="V823" s="2275"/>
      <c r="W823" s="2275"/>
      <c r="X823" s="2275"/>
      <c r="Y823" s="2275"/>
      <c r="Z823" s="2275"/>
      <c r="AA823" s="2275"/>
      <c r="AB823" s="2275"/>
      <c r="AC823" s="2263"/>
      <c r="AD823" s="2264"/>
      <c r="AE823" s="2264"/>
      <c r="AF823" s="2265"/>
      <c r="AG823" s="2263"/>
      <c r="AH823" s="2264"/>
      <c r="AI823" s="2264"/>
      <c r="AJ823" s="22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6" t="s">
        <v>44</v>
      </c>
      <c r="D824" s="2016"/>
      <c r="E824" s="2016"/>
      <c r="F824" s="2016"/>
      <c r="G824" s="2016"/>
      <c r="H824" s="2016"/>
      <c r="I824" s="77"/>
      <c r="J824" s="77"/>
      <c r="K824" s="77"/>
      <c r="L824" s="78"/>
      <c r="M824" s="2275"/>
      <c r="N824" s="2275"/>
      <c r="O824" s="2275"/>
      <c r="P824" s="2275"/>
      <c r="Q824" s="2275">
        <v>9</v>
      </c>
      <c r="R824" s="2275"/>
      <c r="S824" s="2275"/>
      <c r="T824" s="2275"/>
      <c r="U824" s="2275">
        <v>13</v>
      </c>
      <c r="V824" s="2275"/>
      <c r="W824" s="2275"/>
      <c r="X824" s="2275"/>
      <c r="Y824" s="2275">
        <v>18</v>
      </c>
      <c r="Z824" s="2275"/>
      <c r="AA824" s="2275"/>
      <c r="AB824" s="2275"/>
      <c r="AC824" s="2263"/>
      <c r="AD824" s="2264"/>
      <c r="AE824" s="2264"/>
      <c r="AF824" s="2265"/>
      <c r="AG824" s="2263"/>
      <c r="AH824" s="2264"/>
      <c r="AI824" s="2264"/>
      <c r="AJ824" s="22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6" t="s">
        <v>45</v>
      </c>
      <c r="D825" s="2016"/>
      <c r="E825" s="2016"/>
      <c r="F825" s="2016"/>
      <c r="G825" s="2016"/>
      <c r="H825" s="2016"/>
      <c r="I825" s="96"/>
      <c r="J825" s="96"/>
      <c r="K825" s="96"/>
      <c r="L825" s="97"/>
      <c r="M825" s="2275"/>
      <c r="N825" s="2275"/>
      <c r="O825" s="2275"/>
      <c r="P825" s="2275"/>
      <c r="Q825" s="2275">
        <v>4</v>
      </c>
      <c r="R825" s="2275"/>
      <c r="S825" s="2275"/>
      <c r="T825" s="2275"/>
      <c r="U825" s="2275">
        <v>6</v>
      </c>
      <c r="V825" s="2275"/>
      <c r="W825" s="2275"/>
      <c r="X825" s="2275"/>
      <c r="Y825" s="2275">
        <v>8</v>
      </c>
      <c r="Z825" s="2275"/>
      <c r="AA825" s="2275"/>
      <c r="AB825" s="2275"/>
      <c r="AC825" s="2263"/>
      <c r="AD825" s="2264"/>
      <c r="AE825" s="2264"/>
      <c r="AF825" s="2265"/>
      <c r="AG825" s="2263"/>
      <c r="AH825" s="2264"/>
      <c r="AI825" s="2264"/>
      <c r="AJ825" s="22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6" t="s">
        <v>819</v>
      </c>
      <c r="D826" s="2016"/>
      <c r="E826" s="2016"/>
      <c r="F826" s="2016"/>
      <c r="G826" s="2016"/>
      <c r="H826" s="2016"/>
      <c r="I826" s="96"/>
      <c r="J826" s="96"/>
      <c r="K826" s="96"/>
      <c r="L826" s="97"/>
      <c r="M826" s="2275"/>
      <c r="N826" s="2275"/>
      <c r="O826" s="2275"/>
      <c r="P826" s="2275"/>
      <c r="Q826" s="2275"/>
      <c r="R826" s="2275"/>
      <c r="S826" s="2275"/>
      <c r="T826" s="2275"/>
      <c r="U826" s="2275"/>
      <c r="V826" s="2275"/>
      <c r="W826" s="2275"/>
      <c r="X826" s="2275"/>
      <c r="Y826" s="2275"/>
      <c r="Z826" s="2275"/>
      <c r="AA826" s="2275"/>
      <c r="AB826" s="2275"/>
      <c r="AC826" s="2263"/>
      <c r="AD826" s="2264"/>
      <c r="AE826" s="2264"/>
      <c r="AF826" s="2265"/>
      <c r="AG826" s="2263"/>
      <c r="AH826" s="2264"/>
      <c r="AI826" s="2264"/>
      <c r="AJ826" s="22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6" t="s">
        <v>491</v>
      </c>
      <c r="D827" s="2016"/>
      <c r="E827" s="2016"/>
      <c r="F827" s="2016"/>
      <c r="G827" s="2016"/>
      <c r="H827" s="2016"/>
      <c r="I827" s="96"/>
      <c r="J827" s="96"/>
      <c r="K827" s="96"/>
      <c r="L827" s="97"/>
      <c r="M827" s="2275"/>
      <c r="N827" s="2275"/>
      <c r="O827" s="2275"/>
      <c r="P827" s="2275"/>
      <c r="Q827" s="2275">
        <v>26</v>
      </c>
      <c r="R827" s="2275"/>
      <c r="S827" s="2275"/>
      <c r="T827" s="2275"/>
      <c r="U827" s="2275">
        <v>37</v>
      </c>
      <c r="V827" s="2275"/>
      <c r="W827" s="2275"/>
      <c r="X827" s="2275"/>
      <c r="Y827" s="2275">
        <v>49</v>
      </c>
      <c r="Z827" s="2275"/>
      <c r="AA827" s="2275"/>
      <c r="AB827" s="2275"/>
      <c r="AC827" s="2263"/>
      <c r="AD827" s="2264"/>
      <c r="AE827" s="2264"/>
      <c r="AF827" s="2265"/>
      <c r="AG827" s="2263"/>
      <c r="AH827" s="2264"/>
      <c r="AI827" s="2264"/>
      <c r="AJ827" s="22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0" t="s">
        <v>840</v>
      </c>
      <c r="D828" s="2016"/>
      <c r="E828" s="2016"/>
      <c r="F828" s="2016"/>
      <c r="G828" s="2016"/>
      <c r="H828" s="2016"/>
      <c r="I828" s="96"/>
      <c r="J828" s="96"/>
      <c r="K828" s="96"/>
      <c r="L828" s="97"/>
      <c r="M828" s="2275"/>
      <c r="N828" s="2275"/>
      <c r="O828" s="2275"/>
      <c r="P828" s="2275"/>
      <c r="Q828" s="2275"/>
      <c r="R828" s="2275"/>
      <c r="S828" s="2275"/>
      <c r="T828" s="2275"/>
      <c r="U828" s="2275"/>
      <c r="V828" s="2275"/>
      <c r="W828" s="2275"/>
      <c r="X828" s="2275"/>
      <c r="Y828" s="2275"/>
      <c r="Z828" s="2275"/>
      <c r="AA828" s="2275"/>
      <c r="AB828" s="2275"/>
      <c r="AC828" s="2263"/>
      <c r="AD828" s="2264"/>
      <c r="AE828" s="2264"/>
      <c r="AF828" s="2265"/>
      <c r="AG828" s="2263"/>
      <c r="AH828" s="2264"/>
      <c r="AI828" s="2264"/>
      <c r="AJ828" s="22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1" t="s">
        <v>2628</v>
      </c>
      <c r="G829" s="2318"/>
      <c r="H829" s="2318"/>
      <c r="I829" s="2318"/>
      <c r="J829" s="2318"/>
      <c r="K829" s="2318"/>
      <c r="L829" s="2319"/>
      <c r="M829" s="2275"/>
      <c r="N829" s="2275"/>
      <c r="O829" s="2275"/>
      <c r="P829" s="2275"/>
      <c r="Q829" s="2275">
        <v>10</v>
      </c>
      <c r="R829" s="2275"/>
      <c r="S829" s="2275"/>
      <c r="T829" s="2275"/>
      <c r="U829" s="2275">
        <v>14</v>
      </c>
      <c r="V829" s="2275"/>
      <c r="W829" s="2275"/>
      <c r="X829" s="2275"/>
      <c r="Y829" s="2275">
        <v>18</v>
      </c>
      <c r="Z829" s="2275"/>
      <c r="AA829" s="2275"/>
      <c r="AB829" s="2275"/>
      <c r="AC829" s="2263"/>
      <c r="AD829" s="2264"/>
      <c r="AE829" s="2264"/>
      <c r="AF829" s="2265"/>
      <c r="AG829" s="2263"/>
      <c r="AH829" s="2264"/>
      <c r="AI829" s="2264"/>
      <c r="AJ829" s="22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71">
        <f>SUM(M823:P829)</f>
        <v>0</v>
      </c>
      <c r="N830" s="2271"/>
      <c r="O830" s="2271"/>
      <c r="P830" s="2271"/>
      <c r="Q830" s="2271">
        <f>SUM(Q823:T829)</f>
        <v>49</v>
      </c>
      <c r="R830" s="2271"/>
      <c r="S830" s="2271"/>
      <c r="T830" s="2271"/>
      <c r="U830" s="2271">
        <f>SUM(U823:X829)</f>
        <v>70</v>
      </c>
      <c r="V830" s="2271"/>
      <c r="W830" s="2271"/>
      <c r="X830" s="2271"/>
      <c r="Y830" s="2271">
        <f>SUM(Y823:AB829)</f>
        <v>93</v>
      </c>
      <c r="Z830" s="2271"/>
      <c r="AA830" s="2271"/>
      <c r="AB830" s="2271"/>
      <c r="AC830" s="2271">
        <f>SUM(AC823:AF829)</f>
        <v>0</v>
      </c>
      <c r="AD830" s="2271"/>
      <c r="AE830" s="2271"/>
      <c r="AF830" s="2271"/>
      <c r="AG830" s="2271">
        <f>SUM(AG823:AJ829)</f>
        <v>0</v>
      </c>
      <c r="AH830" s="2271"/>
      <c r="AI830" s="2271"/>
      <c r="AJ830" s="227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2" t="s">
        <v>2531</v>
      </c>
      <c r="D835" s="2423"/>
      <c r="E835" s="2423"/>
      <c r="F835" s="2423"/>
      <c r="G835" s="2423"/>
      <c r="H835" s="2423"/>
      <c r="I835" s="2423"/>
      <c r="J835" s="2423"/>
      <c r="K835" s="2423"/>
      <c r="L835" s="2423"/>
      <c r="M835" s="2423"/>
      <c r="N835" s="2423"/>
      <c r="O835" s="2423"/>
      <c r="P835" s="2423"/>
      <c r="Q835" s="2423"/>
      <c r="R835" s="2423"/>
      <c r="S835" s="2423"/>
      <c r="T835" s="2423"/>
      <c r="U835" s="2423"/>
      <c r="V835" s="2423"/>
      <c r="W835" s="2423"/>
      <c r="X835" s="2423"/>
      <c r="Y835" s="2423"/>
      <c r="Z835" s="2423"/>
      <c r="AA835" s="2423"/>
      <c r="AB835" s="2423"/>
      <c r="AC835" s="2423"/>
      <c r="AD835" s="2423"/>
      <c r="AE835" s="2423"/>
      <c r="AF835" s="2423"/>
      <c r="AG835" s="2423"/>
      <c r="AH835" s="2423"/>
      <c r="AI835" s="2423"/>
      <c r="AJ835" s="242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50">
        <v>5760</v>
      </c>
      <c r="X840" s="2150"/>
      <c r="Y840" s="2150"/>
      <c r="Z840" s="2150"/>
      <c r="AA840" s="2150"/>
      <c r="AB840" s="2150"/>
      <c r="AC840" s="215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50"/>
      <c r="X841" s="2150"/>
      <c r="Y841" s="2150"/>
      <c r="Z841" s="2150"/>
      <c r="AA841" s="2150"/>
      <c r="AB841" s="2150"/>
      <c r="AC841" s="215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50">
        <v>10000</v>
      </c>
      <c r="X842" s="2150"/>
      <c r="Y842" s="2150"/>
      <c r="Z842" s="2150"/>
      <c r="AA842" s="2150"/>
      <c r="AB842" s="2150"/>
      <c r="AC842" s="215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50">
        <v>10080</v>
      </c>
      <c r="X843" s="2150"/>
      <c r="Y843" s="2150"/>
      <c r="Z843" s="2150"/>
      <c r="AA843" s="2150"/>
      <c r="AB843" s="2150"/>
      <c r="AC843" s="215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1" t="s">
        <v>2532</v>
      </c>
      <c r="N844" s="2318"/>
      <c r="O844" s="2318"/>
      <c r="P844" s="2318"/>
      <c r="Q844" s="2318"/>
      <c r="R844" s="2318"/>
      <c r="S844" s="2318"/>
      <c r="T844" s="2318"/>
      <c r="U844" s="2318"/>
      <c r="V844" s="2319"/>
      <c r="W844" s="2150">
        <v>49824</v>
      </c>
      <c r="X844" s="2150"/>
      <c r="Y844" s="2150"/>
      <c r="Z844" s="2150"/>
      <c r="AA844" s="2150"/>
      <c r="AB844" s="2150"/>
      <c r="AC844" s="215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5">
        <f>ROUNDDOWN(BC932*2,2)</f>
        <v>0</v>
      </c>
      <c r="BJ844" s="2375"/>
      <c r="BK844" s="2375"/>
      <c r="BL844" s="237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52">
        <f>SUM(W840:AC844)</f>
        <v>75664</v>
      </c>
      <c r="X845" s="2153"/>
      <c r="Y845" s="2153"/>
      <c r="Z845" s="2153"/>
      <c r="AA845" s="2153"/>
      <c r="AB845" s="2153"/>
      <c r="AC845" s="215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6" t="s">
        <v>355</v>
      </c>
      <c r="K847" s="2147"/>
      <c r="L847" s="2147"/>
      <c r="M847" s="2147"/>
      <c r="N847" s="2147"/>
      <c r="O847" s="2147"/>
      <c r="P847" s="2147"/>
      <c r="Q847" s="2147"/>
      <c r="R847" s="2147"/>
      <c r="S847" s="2147"/>
      <c r="T847" s="2147"/>
      <c r="U847" s="2147"/>
      <c r="V847" s="2149"/>
      <c r="W847" s="2081">
        <v>135180</v>
      </c>
      <c r="X847" s="2082"/>
      <c r="Y847" s="2082"/>
      <c r="Z847" s="2082"/>
      <c r="AA847" s="2082"/>
      <c r="AB847" s="2082"/>
      <c r="AC847" s="208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15">
        <v>354418</v>
      </c>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5"/>
      <c r="X850" s="2315"/>
      <c r="Y850" s="2315"/>
      <c r="Z850" s="2315"/>
      <c r="AA850" s="2315"/>
      <c r="AB850" s="2315"/>
      <c r="AC850" s="23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5"/>
      <c r="X851" s="2315"/>
      <c r="Y851" s="2315"/>
      <c r="Z851" s="2315"/>
      <c r="AA851" s="2315"/>
      <c r="AB851" s="2315"/>
      <c r="AC851" s="23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5"/>
      <c r="X852" s="2315"/>
      <c r="Y852" s="2315"/>
      <c r="Z852" s="2315"/>
      <c r="AA852" s="2315"/>
      <c r="AB852" s="2315"/>
      <c r="AC852" s="23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2">
        <f>SUM(W849:AC852)</f>
        <v>354418</v>
      </c>
      <c r="X853" s="2322"/>
      <c r="Y853" s="2322"/>
      <c r="Z853" s="2322"/>
      <c r="AA853" s="2322"/>
      <c r="AB853" s="2322"/>
      <c r="AC853" s="232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6">
        <f>SUM(AZ821:AZ849)</f>
        <v>0</v>
      </c>
      <c r="BA854" s="231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55">
        <v>391816</v>
      </c>
      <c r="X855" s="2156"/>
      <c r="Y855" s="2156"/>
      <c r="Z855" s="2156"/>
      <c r="AA855" s="2156"/>
      <c r="AB855" s="2156"/>
      <c r="AC855" s="215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515">
        <v>5</v>
      </c>
      <c r="U856" s="2132"/>
      <c r="V856" s="251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55"/>
      <c r="X857" s="2156"/>
      <c r="Y857" s="2156"/>
      <c r="Z857" s="2156"/>
      <c r="AA857" s="2156"/>
      <c r="AB857" s="2156"/>
      <c r="AC857" s="215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515">
        <v>3</v>
      </c>
      <c r="U858" s="2132"/>
      <c r="V858" s="251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7" t="s">
        <v>343</v>
      </c>
      <c r="N859" s="2318"/>
      <c r="O859" s="2318"/>
      <c r="P859" s="2318"/>
      <c r="Q859" s="2318"/>
      <c r="R859" s="2318"/>
      <c r="S859" s="2318"/>
      <c r="T859" s="2318"/>
      <c r="U859" s="2318"/>
      <c r="V859" s="2319"/>
      <c r="W859" s="2155"/>
      <c r="X859" s="2156"/>
      <c r="Y859" s="2156"/>
      <c r="Z859" s="2156"/>
      <c r="AA859" s="2156"/>
      <c r="AB859" s="2156"/>
      <c r="AC859" s="215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64">
        <f>SUM(W855:AC859)</f>
        <v>391816</v>
      </c>
      <c r="X860" s="2465"/>
      <c r="Y860" s="2465"/>
      <c r="Z860" s="2465"/>
      <c r="AA860" s="2465"/>
      <c r="AB860" s="2465"/>
      <c r="AC860" s="246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5">
        <v>106560</v>
      </c>
      <c r="X861" s="2156"/>
      <c r="Y861" s="2156"/>
      <c r="Z861" s="2156"/>
      <c r="AA861" s="2156"/>
      <c r="AB861" s="2156"/>
      <c r="AC861" s="215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50">
        <v>38592</v>
      </c>
      <c r="X863" s="2150"/>
      <c r="Y863" s="2150"/>
      <c r="Z863" s="2150"/>
      <c r="AA863" s="2150"/>
      <c r="AB863" s="2150"/>
      <c r="AC863" s="215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50">
        <v>69408</v>
      </c>
      <c r="X864" s="2150"/>
      <c r="Y864" s="2150"/>
      <c r="Z864" s="2150"/>
      <c r="AA864" s="2150"/>
      <c r="AB864" s="2150"/>
      <c r="AC864" s="215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50"/>
      <c r="X865" s="2150"/>
      <c r="Y865" s="2150"/>
      <c r="Z865" s="2150"/>
      <c r="AA865" s="2150"/>
      <c r="AB865" s="2150"/>
      <c r="AC865" s="215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50"/>
      <c r="X866" s="2150"/>
      <c r="Y866" s="2150"/>
      <c r="Z866" s="2150"/>
      <c r="AA866" s="2150"/>
      <c r="AB866" s="2150"/>
      <c r="AC866" s="215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50">
        <v>49536</v>
      </c>
      <c r="X867" s="2150"/>
      <c r="Y867" s="2150"/>
      <c r="Z867" s="2150"/>
      <c r="AA867" s="2150"/>
      <c r="AB867" s="2150"/>
      <c r="AC867" s="215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50"/>
      <c r="X868" s="2150"/>
      <c r="Y868" s="2150"/>
      <c r="Z868" s="2150"/>
      <c r="AA868" s="2150"/>
      <c r="AB868" s="2150"/>
      <c r="AC868" s="215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343</v>
      </c>
      <c r="N869" s="2318"/>
      <c r="O869" s="2318"/>
      <c r="P869" s="2318"/>
      <c r="Q869" s="2318"/>
      <c r="R869" s="2318"/>
      <c r="S869" s="2318"/>
      <c r="T869" s="2318"/>
      <c r="U869" s="2318"/>
      <c r="V869" s="2319"/>
      <c r="W869" s="2150"/>
      <c r="X869" s="2150"/>
      <c r="Y869" s="2150"/>
      <c r="Z869" s="2150"/>
      <c r="AA869" s="2150"/>
      <c r="AB869" s="2150"/>
      <c r="AC869" s="215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51">
        <f>SUM(W863:AC869)</f>
        <v>157536</v>
      </c>
      <c r="X870" s="2151"/>
      <c r="Y870" s="2151"/>
      <c r="Z870" s="2151"/>
      <c r="AA870" s="2151"/>
      <c r="AB870" s="2151"/>
      <c r="AC870" s="215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1" t="s">
        <v>2533</v>
      </c>
      <c r="N872" s="2318"/>
      <c r="O872" s="2318"/>
      <c r="P872" s="2318"/>
      <c r="Q872" s="2318"/>
      <c r="R872" s="2318"/>
      <c r="S872" s="2318"/>
      <c r="T872" s="2318"/>
      <c r="U872" s="2318"/>
      <c r="V872" s="2319"/>
      <c r="W872" s="2081">
        <v>7200</v>
      </c>
      <c r="X872" s="2082"/>
      <c r="Y872" s="2082"/>
      <c r="Z872" s="2082"/>
      <c r="AA872" s="2082"/>
      <c r="AB872" s="2082"/>
      <c r="AC872" s="208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1" t="s">
        <v>2534</v>
      </c>
      <c r="N873" s="2318"/>
      <c r="O873" s="2318"/>
      <c r="P873" s="2318"/>
      <c r="Q873" s="2318"/>
      <c r="R873" s="2318"/>
      <c r="S873" s="2318"/>
      <c r="T873" s="2318"/>
      <c r="U873" s="2318"/>
      <c r="V873" s="2319"/>
      <c r="W873" s="2081">
        <v>4320</v>
      </c>
      <c r="X873" s="2082"/>
      <c r="Y873" s="2082"/>
      <c r="Z873" s="2082"/>
      <c r="AA873" s="2082"/>
      <c r="AB873" s="2082"/>
      <c r="AC873" s="208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7" t="s">
        <v>343</v>
      </c>
      <c r="N874" s="2318"/>
      <c r="O874" s="2318"/>
      <c r="P874" s="2318"/>
      <c r="Q874" s="2318"/>
      <c r="R874" s="2318"/>
      <c r="S874" s="2318"/>
      <c r="T874" s="2318"/>
      <c r="U874" s="2318"/>
      <c r="V874" s="2319"/>
      <c r="W874" s="2081"/>
      <c r="X874" s="2082"/>
      <c r="Y874" s="2082"/>
      <c r="Z874" s="2082"/>
      <c r="AA874" s="2082"/>
      <c r="AB874" s="2082"/>
      <c r="AC874" s="20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7" t="s">
        <v>343</v>
      </c>
      <c r="N875" s="2318"/>
      <c r="O875" s="2318"/>
      <c r="P875" s="2318"/>
      <c r="Q875" s="2318"/>
      <c r="R875" s="2318"/>
      <c r="S875" s="2318"/>
      <c r="T875" s="2318"/>
      <c r="U875" s="2318"/>
      <c r="V875" s="2319"/>
      <c r="W875" s="2081"/>
      <c r="X875" s="2082"/>
      <c r="Y875" s="2082"/>
      <c r="Z875" s="2082"/>
      <c r="AA875" s="2082"/>
      <c r="AB875" s="2082"/>
      <c r="AC875" s="20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7" t="s">
        <v>343</v>
      </c>
      <c r="N876" s="2318"/>
      <c r="O876" s="2318"/>
      <c r="P876" s="2318"/>
      <c r="Q876" s="2318"/>
      <c r="R876" s="2318"/>
      <c r="S876" s="2318"/>
      <c r="T876" s="2318"/>
      <c r="U876" s="2318"/>
      <c r="V876" s="2319"/>
      <c r="W876" s="2081"/>
      <c r="X876" s="2082"/>
      <c r="Y876" s="2082"/>
      <c r="Z876" s="2082"/>
      <c r="AA876" s="2082"/>
      <c r="AB876" s="2082"/>
      <c r="AC876" s="20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52">
        <f>SUM(W872:AC876)</f>
        <v>11520</v>
      </c>
      <c r="X877" s="2153"/>
      <c r="Y877" s="2153"/>
      <c r="Z877" s="2153"/>
      <c r="AA877" s="2153"/>
      <c r="AB877" s="2153"/>
      <c r="AC877" s="215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53">
        <f>W845+W853+W860+W861+W870+W877+W847</f>
        <v>1232694</v>
      </c>
      <c r="AD881" s="2153"/>
      <c r="AE881" s="2153"/>
      <c r="AF881" s="2153"/>
      <c r="AG881" s="2153"/>
      <c r="AH881" s="215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25">
        <f>O796+O776+G753</f>
        <v>288</v>
      </c>
      <c r="AD882" s="2425"/>
      <c r="AE882" s="2425"/>
      <c r="AF882" s="2425"/>
      <c r="AG882" s="2425"/>
      <c r="AH882" s="242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27" t="s">
        <v>33</v>
      </c>
      <c r="F883" s="2427"/>
      <c r="G883" s="2427"/>
      <c r="H883" s="2427"/>
      <c r="I883" s="2427"/>
      <c r="J883" s="2427"/>
      <c r="K883" s="2427"/>
      <c r="L883" s="2427"/>
      <c r="M883" s="2427"/>
      <c r="N883" s="2427"/>
      <c r="O883" s="2427"/>
      <c r="P883" s="2427"/>
      <c r="Q883" s="2427"/>
      <c r="R883" s="2427"/>
      <c r="S883" s="2427"/>
      <c r="T883" s="2427"/>
      <c r="U883" s="2427"/>
      <c r="V883" s="2427"/>
      <c r="W883" s="2427"/>
      <c r="X883" s="2427"/>
      <c r="Y883" s="2427"/>
      <c r="Z883" s="2427"/>
      <c r="AA883" s="2427"/>
      <c r="AB883" s="2428"/>
      <c r="AC883" s="2151">
        <f>IF(ISERROR((ROUNDDOWN(AC881/AC882,0))),0,(ROUNDDOWN(AC881/AC882,0)))</f>
        <v>4280</v>
      </c>
      <c r="AD883" s="2151"/>
      <c r="AE883" s="2151"/>
      <c r="AF883" s="2151"/>
      <c r="AG883" s="2151"/>
      <c r="AH883" s="215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3">
        <f>'Sources and Uses Budget'!C75</f>
        <v>876915</v>
      </c>
      <c r="AD884" s="2354"/>
      <c r="AE884" s="2354"/>
      <c r="AF884" s="2354"/>
      <c r="AG884" s="2354"/>
      <c r="AH884" s="23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83"/>
      <c r="AD885" s="2150"/>
      <c r="AE885" s="2150"/>
      <c r="AF885" s="2150"/>
      <c r="AG885" s="2150"/>
      <c r="AH885" s="215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82">
        <v>25200</v>
      </c>
      <c r="AD886" s="2082"/>
      <c r="AE886" s="2082"/>
      <c r="AF886" s="2082"/>
      <c r="AG886" s="2082"/>
      <c r="AH886" s="20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82">
        <v>86400</v>
      </c>
      <c r="AD887" s="2082"/>
      <c r="AE887" s="2082"/>
      <c r="AF887" s="2082"/>
      <c r="AG887" s="2082"/>
      <c r="AH887" s="20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63"/>
      <c r="AD888" s="2264"/>
      <c r="AE888" s="2264"/>
      <c r="AF888" s="2264"/>
      <c r="AG888" s="2264"/>
      <c r="AH888" s="22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82"/>
      <c r="AD889" s="2082"/>
      <c r="AE889" s="2082"/>
      <c r="AF889" s="2082"/>
      <c r="AG889" s="2082"/>
      <c r="AH889" s="208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82">
        <v>148032</v>
      </c>
      <c r="AD890" s="2082"/>
      <c r="AE890" s="2082"/>
      <c r="AF890" s="2082"/>
      <c r="AG890" s="2082"/>
      <c r="AH890" s="20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9" t="s">
        <v>1034</v>
      </c>
      <c r="D891" s="2140"/>
      <c r="E891" s="2140"/>
      <c r="F891" s="2140"/>
      <c r="G891" s="2140"/>
      <c r="H891" s="2140"/>
      <c r="I891" s="2140"/>
      <c r="J891" s="2140"/>
      <c r="K891" s="2140"/>
      <c r="L891" s="2140"/>
      <c r="M891" s="2140"/>
      <c r="N891" s="2140"/>
      <c r="O891" s="2140"/>
      <c r="P891" s="2140"/>
      <c r="Q891" s="2140"/>
      <c r="R891" s="2140"/>
      <c r="S891" s="2140"/>
      <c r="T891" s="2140"/>
      <c r="U891" s="2140"/>
      <c r="V891" s="2140"/>
      <c r="W891" s="2140"/>
      <c r="X891" s="2140"/>
      <c r="Y891" s="2140"/>
      <c r="Z891" s="2140"/>
      <c r="AA891" s="2140"/>
      <c r="AB891" s="2141"/>
      <c r="AC891" s="2150"/>
      <c r="AD891" s="2150"/>
      <c r="AE891" s="2150"/>
      <c r="AF891" s="2150"/>
      <c r="AG891" s="2150"/>
      <c r="AH891" s="215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9" t="s">
        <v>1034</v>
      </c>
      <c r="D892" s="2140"/>
      <c r="E892" s="2140"/>
      <c r="F892" s="2140"/>
      <c r="G892" s="2140"/>
      <c r="H892" s="2140"/>
      <c r="I892" s="2140"/>
      <c r="J892" s="2140"/>
      <c r="K892" s="2140"/>
      <c r="L892" s="2140"/>
      <c r="M892" s="2140"/>
      <c r="N892" s="2140"/>
      <c r="O892" s="2140"/>
      <c r="P892" s="2140"/>
      <c r="Q892" s="2140"/>
      <c r="R892" s="2140"/>
      <c r="S892" s="2140"/>
      <c r="T892" s="2140"/>
      <c r="U892" s="2140"/>
      <c r="V892" s="2140"/>
      <c r="W892" s="2140"/>
      <c r="X892" s="2140"/>
      <c r="Y892" s="2140"/>
      <c r="Z892" s="2140"/>
      <c r="AA892" s="2140"/>
      <c r="AB892" s="2141"/>
      <c r="AC892" s="2150"/>
      <c r="AD892" s="2150"/>
      <c r="AE892" s="2150"/>
      <c r="AF892" s="2150"/>
      <c r="AG892" s="2150"/>
      <c r="AH892" s="215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81"/>
      <c r="AA896" s="2082"/>
      <c r="AB896" s="2082"/>
      <c r="AC896" s="2082"/>
      <c r="AD896" s="2082"/>
      <c r="AE896" s="208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81"/>
      <c r="AA897" s="2082"/>
      <c r="AB897" s="2082"/>
      <c r="AC897" s="2082"/>
      <c r="AD897" s="2082"/>
      <c r="AE897" s="20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81"/>
      <c r="AA898" s="2082"/>
      <c r="AB898" s="2082"/>
      <c r="AC898" s="2082"/>
      <c r="AD898" s="2082"/>
      <c r="AE898" s="20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52">
        <f>Z896-(Z897+Z898)</f>
        <v>0</v>
      </c>
      <c r="AA899" s="2153"/>
      <c r="AB899" s="2153"/>
      <c r="AC899" s="2153"/>
      <c r="AD899" s="2153"/>
      <c r="AE899" s="215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4"/>
      <c r="BE901" s="232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6"/>
      <c r="BE902" s="232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4"/>
      <c r="BE906" s="232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54" t="s">
        <v>101</v>
      </c>
      <c r="B907" s="2054"/>
      <c r="C907" s="2054"/>
      <c r="D907" s="2054"/>
      <c r="E907" s="2054"/>
      <c r="F907" s="2054"/>
      <c r="G907" s="2054"/>
      <c r="H907" s="2054"/>
      <c r="I907" s="2054"/>
      <c r="J907" s="2054"/>
      <c r="K907" s="2054"/>
      <c r="L907" s="2054"/>
      <c r="M907" s="2054"/>
      <c r="N907" s="2054"/>
      <c r="O907" s="2054"/>
      <c r="P907" s="2054"/>
      <c r="Q907" s="2054"/>
      <c r="R907" s="2054"/>
      <c r="S907" s="2054"/>
      <c r="T907" s="2054"/>
      <c r="U907" s="2054"/>
      <c r="V907" s="2054"/>
      <c r="W907" s="2054"/>
      <c r="X907" s="2054"/>
      <c r="Y907" s="2054"/>
      <c r="Z907" s="2054"/>
      <c r="AA907" s="2054"/>
      <c r="AB907" s="2054"/>
      <c r="AC907" s="2054"/>
      <c r="AD907" s="2054"/>
      <c r="AE907" s="2054"/>
      <c r="AF907" s="2054"/>
      <c r="AG907" s="2054"/>
      <c r="AH907" s="2054"/>
      <c r="AI907" s="2054"/>
      <c r="AJ907" s="2054"/>
      <c r="AK907" s="2054"/>
      <c r="AL907" s="2054"/>
      <c r="AM907" s="144"/>
      <c r="AN907" s="144"/>
      <c r="AO907" s="144"/>
      <c r="AP907" s="144"/>
      <c r="AQ907" s="144"/>
      <c r="AR907" s="144"/>
      <c r="AS907" s="144"/>
      <c r="AT907" s="144"/>
      <c r="AU907" s="144"/>
      <c r="AV907" s="144"/>
      <c r="AW907" s="144"/>
      <c r="AX907" s="144"/>
      <c r="AY907" s="144"/>
      <c r="AZ907" s="61"/>
      <c r="BA907" s="25"/>
      <c r="BB907" s="127"/>
      <c r="BC907" s="1607"/>
      <c r="BD907" s="2323"/>
      <c r="BE907" s="2323"/>
      <c r="BF907" s="232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55"/>
      <c r="B908" s="2055"/>
      <c r="C908" s="2055"/>
      <c r="D908" s="2055"/>
      <c r="E908" s="2055"/>
      <c r="F908" s="2055"/>
      <c r="G908" s="2055"/>
      <c r="H908" s="2055"/>
      <c r="I908" s="2055"/>
      <c r="J908" s="2055"/>
      <c r="K908" s="2055"/>
      <c r="L908" s="2055"/>
      <c r="M908" s="2055"/>
      <c r="N908" s="2055"/>
      <c r="O908" s="2055"/>
      <c r="P908" s="2055"/>
      <c r="Q908" s="2055"/>
      <c r="R908" s="2055"/>
      <c r="S908" s="2055"/>
      <c r="T908" s="2055"/>
      <c r="U908" s="2055"/>
      <c r="V908" s="2055"/>
      <c r="W908" s="2055"/>
      <c r="X908" s="2055"/>
      <c r="Y908" s="2055"/>
      <c r="Z908" s="2055"/>
      <c r="AA908" s="2055"/>
      <c r="AB908" s="2055"/>
      <c r="AC908" s="2055"/>
      <c r="AD908" s="2055"/>
      <c r="AE908" s="2055"/>
      <c r="AF908" s="2055"/>
      <c r="AG908" s="2055"/>
      <c r="AH908" s="2055"/>
      <c r="AI908" s="2055"/>
      <c r="AJ908" s="2055"/>
      <c r="AK908" s="2055"/>
      <c r="AL908" s="2055"/>
      <c r="AM908" s="144"/>
      <c r="AN908" s="144"/>
      <c r="AO908" s="144"/>
      <c r="AP908" s="144"/>
      <c r="AQ908" s="144"/>
      <c r="AR908" s="144"/>
      <c r="AS908" s="144"/>
      <c r="AT908" s="144"/>
      <c r="AU908" s="144"/>
      <c r="AV908" s="144"/>
      <c r="AW908" s="144"/>
      <c r="AX908" s="144"/>
      <c r="AY908" s="144"/>
      <c r="AZ908" s="61"/>
      <c r="BA908" s="25"/>
      <c r="BB908" s="127"/>
      <c r="BC908" s="1607"/>
      <c r="BD908" s="2314"/>
      <c r="BE908" s="2314"/>
      <c r="BF908" s="231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4"/>
      <c r="BE910" s="232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8" t="s">
        <v>849</v>
      </c>
      <c r="G912" s="2349"/>
      <c r="H912" s="2349"/>
      <c r="I912" s="2349"/>
      <c r="J912" s="2349"/>
      <c r="K912" s="2349"/>
      <c r="L912" s="2349"/>
      <c r="M912" s="2349"/>
      <c r="N912" s="2349"/>
      <c r="O912" s="2349"/>
      <c r="P912" s="2349"/>
      <c r="Q912" s="2349"/>
      <c r="R912" s="2349"/>
      <c r="S912" s="2349"/>
      <c r="T912" s="2350"/>
      <c r="U912" s="2256" t="s">
        <v>32</v>
      </c>
      <c r="V912" s="2089"/>
      <c r="W912" s="2089"/>
      <c r="X912" s="2089"/>
      <c r="Y912" s="2089"/>
      <c r="Z912" s="2089"/>
      <c r="AA912" s="73"/>
      <c r="AB912" s="161"/>
      <c r="AC912" s="161"/>
      <c r="AD912" s="161"/>
      <c r="AE912" s="161"/>
      <c r="AF912" s="162"/>
      <c r="AZ912" s="61"/>
      <c r="BA912" s="1606"/>
      <c r="BB912" s="127"/>
      <c r="BC912" s="127"/>
      <c r="BD912" s="2324"/>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7" t="s">
        <v>878</v>
      </c>
      <c r="G913" s="2258"/>
      <c r="H913" s="2258"/>
      <c r="I913" s="2258"/>
      <c r="J913" s="2258"/>
      <c r="K913" s="2258"/>
      <c r="L913" s="2258"/>
      <c r="M913" s="2258"/>
      <c r="N913" s="2258"/>
      <c r="O913" s="2258"/>
      <c r="P913" s="2258"/>
      <c r="Q913" s="2258"/>
      <c r="R913" s="2258"/>
      <c r="S913" s="2258"/>
      <c r="T913" s="2259"/>
      <c r="U913" s="2257"/>
      <c r="V913" s="2258"/>
      <c r="W913" s="2258"/>
      <c r="X913" s="2258"/>
      <c r="Y913" s="2258"/>
      <c r="Z913" s="225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0"/>
      <c r="G914" s="2261"/>
      <c r="H914" s="2261"/>
      <c r="I914" s="2261"/>
      <c r="J914" s="2261"/>
      <c r="K914" s="2261"/>
      <c r="L914" s="2261"/>
      <c r="M914" s="2261"/>
      <c r="N914" s="2261"/>
      <c r="O914" s="2261"/>
      <c r="P914" s="2261"/>
      <c r="Q914" s="2261"/>
      <c r="R914" s="2261"/>
      <c r="S914" s="2261"/>
      <c r="T914" s="2262"/>
      <c r="U914" s="2260"/>
      <c r="V914" s="2261"/>
      <c r="W914" s="2261"/>
      <c r="X914" s="2261"/>
      <c r="Y914" s="2261"/>
      <c r="Z914" s="2261"/>
      <c r="AA914" s="164"/>
      <c r="AB914" s="2517" t="s">
        <v>410</v>
      </c>
      <c r="AC914" s="2517"/>
      <c r="AD914" s="2517"/>
      <c r="AE914" s="251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33" t="s">
        <v>577</v>
      </c>
      <c r="V915" s="2069"/>
      <c r="W915" s="2069"/>
      <c r="X915" s="2069"/>
      <c r="Y915" s="2069"/>
      <c r="Z915" s="2070"/>
      <c r="AA915" s="2328">
        <v>50000000</v>
      </c>
      <c r="AB915" s="2064"/>
      <c r="AC915" s="2064"/>
      <c r="AD915" s="2064"/>
      <c r="AE915" s="2064"/>
      <c r="AF915" s="232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33" t="s">
        <v>625</v>
      </c>
      <c r="V916" s="2069"/>
      <c r="W916" s="2069"/>
      <c r="X916" s="2069"/>
      <c r="Y916" s="2069"/>
      <c r="Z916" s="2070"/>
      <c r="AA916" s="2328"/>
      <c r="AB916" s="2064"/>
      <c r="AC916" s="2064"/>
      <c r="AD916" s="2064"/>
      <c r="AE916" s="2064"/>
      <c r="AF916" s="232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33" t="s">
        <v>625</v>
      </c>
      <c r="V917" s="2069"/>
      <c r="W917" s="2069"/>
      <c r="X917" s="2069"/>
      <c r="Y917" s="2069"/>
      <c r="Z917" s="2070"/>
      <c r="AA917" s="2328"/>
      <c r="AB917" s="2064"/>
      <c r="AC917" s="2064"/>
      <c r="AD917" s="2064"/>
      <c r="AE917" s="2064"/>
      <c r="AF917" s="232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33" t="s">
        <v>625</v>
      </c>
      <c r="V918" s="2069"/>
      <c r="W918" s="2069"/>
      <c r="X918" s="2069"/>
      <c r="Y918" s="2069"/>
      <c r="Z918" s="2070"/>
      <c r="AA918" s="2328"/>
      <c r="AB918" s="2064"/>
      <c r="AC918" s="2064"/>
      <c r="AD918" s="2064"/>
      <c r="AE918" s="2064"/>
      <c r="AF918" s="232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33" t="s">
        <v>625</v>
      </c>
      <c r="V919" s="2069"/>
      <c r="W919" s="2069"/>
      <c r="X919" s="2069"/>
      <c r="Y919" s="2069"/>
      <c r="Z919" s="2070"/>
      <c r="AA919" s="2328"/>
      <c r="AB919" s="2064"/>
      <c r="AC919" s="2064"/>
      <c r="AD919" s="2064"/>
      <c r="AE919" s="2064"/>
      <c r="AF919" s="232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33" t="s">
        <v>625</v>
      </c>
      <c r="V920" s="2069"/>
      <c r="W920" s="2069"/>
      <c r="X920" s="2069"/>
      <c r="Y920" s="2069"/>
      <c r="Z920" s="2070"/>
      <c r="AA920" s="2328"/>
      <c r="AB920" s="2064"/>
      <c r="AC920" s="2064"/>
      <c r="AD920" s="2064"/>
      <c r="AE920" s="2064"/>
      <c r="AF920" s="232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33" t="s">
        <v>625</v>
      </c>
      <c r="V921" s="2069"/>
      <c r="W921" s="2069"/>
      <c r="X921" s="2069"/>
      <c r="Y921" s="2069"/>
      <c r="Z921" s="2070"/>
      <c r="AA921" s="2328"/>
      <c r="AB921" s="2064"/>
      <c r="AC921" s="2064"/>
      <c r="AD921" s="2064"/>
      <c r="AE921" s="2064"/>
      <c r="AF921" s="232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33" t="s">
        <v>625</v>
      </c>
      <c r="V922" s="2069"/>
      <c r="W922" s="2069"/>
      <c r="X922" s="2069"/>
      <c r="Y922" s="2069"/>
      <c r="Z922" s="2070"/>
      <c r="AA922" s="2328"/>
      <c r="AB922" s="2064"/>
      <c r="AC922" s="2064"/>
      <c r="AD922" s="2064"/>
      <c r="AE922" s="2064"/>
      <c r="AF922" s="232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33" t="s">
        <v>625</v>
      </c>
      <c r="V923" s="2069"/>
      <c r="W923" s="2069"/>
      <c r="X923" s="2069"/>
      <c r="Y923" s="2069"/>
      <c r="Z923" s="2070"/>
      <c r="AA923" s="2328"/>
      <c r="AB923" s="2064"/>
      <c r="AC923" s="2064"/>
      <c r="AD923" s="2064"/>
      <c r="AE923" s="2064"/>
      <c r="AF923" s="232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33" t="s">
        <v>625</v>
      </c>
      <c r="V924" s="2069"/>
      <c r="W924" s="2069"/>
      <c r="X924" s="2069"/>
      <c r="Y924" s="2069"/>
      <c r="Z924" s="2070"/>
      <c r="AA924" s="2328"/>
      <c r="AB924" s="2064"/>
      <c r="AC924" s="2064"/>
      <c r="AD924" s="2064"/>
      <c r="AE924" s="2064"/>
      <c r="AF924" s="232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33" t="s">
        <v>625</v>
      </c>
      <c r="V925" s="2069"/>
      <c r="W925" s="2069"/>
      <c r="X925" s="2069"/>
      <c r="Y925" s="2069"/>
      <c r="Z925" s="2070"/>
      <c r="AA925" s="2328"/>
      <c r="AB925" s="2064"/>
      <c r="AC925" s="2064"/>
      <c r="AD925" s="2064"/>
      <c r="AE925" s="2064"/>
      <c r="AF925" s="232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33" t="s">
        <v>625</v>
      </c>
      <c r="V926" s="2069"/>
      <c r="W926" s="2069"/>
      <c r="X926" s="2069"/>
      <c r="Y926" s="2069"/>
      <c r="Z926" s="2070"/>
      <c r="AA926" s="2328"/>
      <c r="AB926" s="2064"/>
      <c r="AC926" s="2064"/>
      <c r="AD926" s="2064"/>
      <c r="AE926" s="2064"/>
      <c r="AF926" s="232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33" t="s">
        <v>625</v>
      </c>
      <c r="V927" s="2069"/>
      <c r="W927" s="2069"/>
      <c r="X927" s="2069"/>
      <c r="Y927" s="2069"/>
      <c r="Z927" s="2070"/>
      <c r="AA927" s="2328"/>
      <c r="AB927" s="2064"/>
      <c r="AC927" s="2064"/>
      <c r="AD927" s="2064"/>
      <c r="AE927" s="2064"/>
      <c r="AF927" s="232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33" t="s">
        <v>625</v>
      </c>
      <c r="V928" s="2069"/>
      <c r="W928" s="2069"/>
      <c r="X928" s="2069"/>
      <c r="Y928" s="2069"/>
      <c r="Z928" s="2070"/>
      <c r="AA928" s="2328"/>
      <c r="AB928" s="2064"/>
      <c r="AC928" s="2064"/>
      <c r="AD928" s="2064"/>
      <c r="AE928" s="2064"/>
      <c r="AF928" s="232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33" t="s">
        <v>625</v>
      </c>
      <c r="V929" s="2069"/>
      <c r="W929" s="2069"/>
      <c r="X929" s="2069"/>
      <c r="Y929" s="2069"/>
      <c r="Z929" s="2070"/>
      <c r="AA929" s="2328"/>
      <c r="AB929" s="2064"/>
      <c r="AC929" s="2064"/>
      <c r="AD929" s="2064"/>
      <c r="AE929" s="2064"/>
      <c r="AF929" s="232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33" t="s">
        <v>705</v>
      </c>
      <c r="Q930" s="2069"/>
      <c r="R930" s="2069"/>
      <c r="S930" s="2069"/>
      <c r="T930" s="2070"/>
      <c r="U930" s="2333" t="s">
        <v>625</v>
      </c>
      <c r="V930" s="2069"/>
      <c r="W930" s="2069"/>
      <c r="X930" s="2069"/>
      <c r="Y930" s="2069"/>
      <c r="Z930" s="2070"/>
      <c r="AA930" s="2328"/>
      <c r="AB930" s="2064"/>
      <c r="AC930" s="2064"/>
      <c r="AD930" s="2064"/>
      <c r="AE930" s="2064"/>
      <c r="AF930" s="232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4" t="s">
        <v>343</v>
      </c>
      <c r="J931" s="2343"/>
      <c r="K931" s="2343"/>
      <c r="L931" s="2343"/>
      <c r="M931" s="2343"/>
      <c r="N931" s="2343"/>
      <c r="O931" s="2343"/>
      <c r="P931" s="2343"/>
      <c r="Q931" s="2343"/>
      <c r="R931" s="2343"/>
      <c r="S931" s="2343"/>
      <c r="T931" s="2344"/>
      <c r="U931" s="2333" t="s">
        <v>625</v>
      </c>
      <c r="V931" s="2069"/>
      <c r="W931" s="2069"/>
      <c r="X931" s="2069"/>
      <c r="Y931" s="2069"/>
      <c r="Z931" s="2070"/>
      <c r="AA931" s="2328"/>
      <c r="AB931" s="2064"/>
      <c r="AC931" s="2064"/>
      <c r="AD931" s="2064"/>
      <c r="AE931" s="2064"/>
      <c r="AF931" s="232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1" t="s">
        <v>343</v>
      </c>
      <c r="J932" s="2305"/>
      <c r="K932" s="2305"/>
      <c r="L932" s="2305"/>
      <c r="M932" s="2305"/>
      <c r="N932" s="2305"/>
      <c r="O932" s="2305"/>
      <c r="P932" s="2305"/>
      <c r="Q932" s="2305"/>
      <c r="R932" s="2305"/>
      <c r="S932" s="2305"/>
      <c r="T932" s="2306"/>
      <c r="U932" s="2333" t="s">
        <v>625</v>
      </c>
      <c r="V932" s="2069"/>
      <c r="W932" s="2069"/>
      <c r="X932" s="2069"/>
      <c r="Y932" s="2069"/>
      <c r="Z932" s="2070"/>
      <c r="AA932" s="2328"/>
      <c r="AB932" s="2064"/>
      <c r="AC932" s="2064"/>
      <c r="AD932" s="2064"/>
      <c r="AE932" s="2064"/>
      <c r="AF932" s="232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4" t="s">
        <v>2643</v>
      </c>
      <c r="J933" s="2305"/>
      <c r="K933" s="2305"/>
      <c r="L933" s="2305"/>
      <c r="M933" s="2305"/>
      <c r="N933" s="2305"/>
      <c r="O933" s="2305"/>
      <c r="P933" s="2305"/>
      <c r="Q933" s="2305"/>
      <c r="R933" s="2305"/>
      <c r="S933" s="2305"/>
      <c r="T933" s="2306"/>
      <c r="U933" s="2333" t="s">
        <v>577</v>
      </c>
      <c r="V933" s="2069"/>
      <c r="W933" s="2069"/>
      <c r="X933" s="2069"/>
      <c r="Y933" s="2069"/>
      <c r="Z933" s="2070"/>
      <c r="AA933" s="2328">
        <v>16000000</v>
      </c>
      <c r="AB933" s="2064"/>
      <c r="AC933" s="2064"/>
      <c r="AD933" s="2064"/>
      <c r="AE933" s="2064"/>
      <c r="AF933" s="232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1" t="s">
        <v>343</v>
      </c>
      <c r="J934" s="2305"/>
      <c r="K934" s="2305"/>
      <c r="L934" s="2305"/>
      <c r="M934" s="2305"/>
      <c r="N934" s="2305"/>
      <c r="O934" s="2305"/>
      <c r="P934" s="2305"/>
      <c r="Q934" s="2305"/>
      <c r="R934" s="2305"/>
      <c r="S934" s="2305"/>
      <c r="T934" s="2306"/>
      <c r="U934" s="2333" t="s">
        <v>625</v>
      </c>
      <c r="V934" s="2069"/>
      <c r="W934" s="2069"/>
      <c r="X934" s="2069"/>
      <c r="Y934" s="2069"/>
      <c r="Z934" s="2070"/>
      <c r="AA934" s="2328"/>
      <c r="AB934" s="2064"/>
      <c r="AC934" s="2064"/>
      <c r="AD934" s="2064"/>
      <c r="AE934" s="2064"/>
      <c r="AF934" s="232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42"/>
      <c r="N939" s="2290"/>
      <c r="O939" s="2290"/>
      <c r="P939" s="2290"/>
      <c r="Q939" s="2290"/>
      <c r="R939" s="2290"/>
      <c r="S939" s="2291"/>
      <c r="U939" s="103" t="s">
        <v>11</v>
      </c>
      <c r="V939" s="77"/>
      <c r="W939" s="77"/>
      <c r="X939" s="77"/>
      <c r="Y939" s="77"/>
      <c r="Z939" s="77"/>
      <c r="AA939" s="77"/>
      <c r="AB939" s="77"/>
      <c r="AC939" s="77"/>
      <c r="AD939" s="78"/>
      <c r="AE939" s="2442"/>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4" t="s">
        <v>316</v>
      </c>
      <c r="K941" s="2335"/>
      <c r="L941" s="2335"/>
      <c r="M941" s="2335"/>
      <c r="N941" s="2335"/>
      <c r="O941" s="2335"/>
      <c r="P941" s="2335"/>
      <c r="Q941" s="2335"/>
      <c r="R941" s="2335"/>
      <c r="S941" s="2336"/>
      <c r="U941" s="103" t="s">
        <v>944</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7"/>
      <c r="N942" s="2437"/>
      <c r="O942" s="2437"/>
      <c r="P942" s="2437"/>
      <c r="Q942" s="2437"/>
      <c r="R942" s="2437"/>
      <c r="S942" s="2438"/>
      <c r="U942" s="103" t="s">
        <v>13</v>
      </c>
      <c r="V942" s="77"/>
      <c r="W942" s="77"/>
      <c r="X942" s="77"/>
      <c r="Y942" s="77"/>
      <c r="Z942" s="77"/>
      <c r="AA942" s="77"/>
      <c r="AB942" s="77"/>
      <c r="AC942" s="77"/>
      <c r="AD942" s="78"/>
      <c r="AE942" s="2436"/>
      <c r="AF942" s="2437"/>
      <c r="AG942" s="2437"/>
      <c r="AH942" s="2437"/>
      <c r="AI942" s="2437"/>
      <c r="AJ942" s="2437"/>
      <c r="AK942" s="24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9"/>
      <c r="N943" s="2287"/>
      <c r="O943" s="2287"/>
      <c r="P943" s="2287"/>
      <c r="Q943" s="2287"/>
      <c r="R943" s="2287"/>
      <c r="S943" s="2288"/>
      <c r="U943" s="103" t="s">
        <v>14</v>
      </c>
      <c r="V943" s="77"/>
      <c r="W943" s="77"/>
      <c r="X943" s="77"/>
      <c r="Y943" s="77"/>
      <c r="Z943" s="77"/>
      <c r="AA943" s="77"/>
      <c r="AB943" s="77"/>
      <c r="AC943" s="77"/>
      <c r="AD943" s="78"/>
      <c r="AE943" s="2309"/>
      <c r="AF943" s="2287"/>
      <c r="AG943" s="2287"/>
      <c r="AH943" s="2287"/>
      <c r="AI943" s="2287"/>
      <c r="AJ943" s="2287"/>
      <c r="AK943" s="228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8"/>
      <c r="N944" s="2064"/>
      <c r="O944" s="2064"/>
      <c r="P944" s="2064"/>
      <c r="Q944" s="2064"/>
      <c r="R944" s="2064"/>
      <c r="S944" s="2329"/>
      <c r="U944" s="103" t="s">
        <v>15</v>
      </c>
      <c r="V944" s="77"/>
      <c r="W944" s="77"/>
      <c r="X944" s="77"/>
      <c r="Y944" s="77"/>
      <c r="Z944" s="77"/>
      <c r="AA944" s="77"/>
      <c r="AB944" s="77"/>
      <c r="AC944" s="77"/>
      <c r="AD944" s="78"/>
      <c r="AE944" s="2328"/>
      <c r="AF944" s="2064"/>
      <c r="AG944" s="2064"/>
      <c r="AH944" s="2064"/>
      <c r="AI944" s="2064"/>
      <c r="AJ944" s="2064"/>
      <c r="AK944" s="232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8"/>
      <c r="N945" s="2064"/>
      <c r="O945" s="2064"/>
      <c r="P945" s="2064"/>
      <c r="Q945" s="2064"/>
      <c r="R945" s="2064"/>
      <c r="S945" s="2329"/>
      <c r="U945" s="103" t="s">
        <v>16</v>
      </c>
      <c r="V945" s="77"/>
      <c r="W945" s="77"/>
      <c r="X945" s="77"/>
      <c r="Y945" s="77"/>
      <c r="Z945" s="77"/>
      <c r="AA945" s="77"/>
      <c r="AB945" s="77"/>
      <c r="AC945" s="77"/>
      <c r="AD945" s="78"/>
      <c r="AE945" s="2328"/>
      <c r="AF945" s="2064"/>
      <c r="AG945" s="2064"/>
      <c r="AH945" s="2064"/>
      <c r="AI945" s="2064"/>
      <c r="AJ945" s="2064"/>
      <c r="AK945" s="232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33"/>
      <c r="N946" s="2434"/>
      <c r="O946" s="2434"/>
      <c r="P946" s="2434"/>
      <c r="Q946" s="2434"/>
      <c r="R946" s="2434"/>
      <c r="S946" s="2435"/>
      <c r="U946" s="103" t="s">
        <v>604</v>
      </c>
      <c r="V946" s="77"/>
      <c r="W946" s="77"/>
      <c r="X946" s="77"/>
      <c r="Y946" s="77"/>
      <c r="Z946" s="77"/>
      <c r="AA946" s="77"/>
      <c r="AB946" s="77"/>
      <c r="AC946" s="77"/>
      <c r="AD946" s="78"/>
      <c r="AE946" s="2433"/>
      <c r="AF946" s="2434"/>
      <c r="AG946" s="2434"/>
      <c r="AH946" s="2434"/>
      <c r="AI946" s="2434"/>
      <c r="AJ946" s="2434"/>
      <c r="AK946" s="243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45"/>
      <c r="N951" s="2346"/>
      <c r="O951" s="2346"/>
      <c r="P951" s="2346"/>
      <c r="Q951" s="2346"/>
      <c r="R951" s="2346"/>
      <c r="S951" s="2347"/>
      <c r="T951" s="103" t="s">
        <v>847</v>
      </c>
      <c r="U951" s="77"/>
      <c r="V951" s="77"/>
      <c r="W951" s="77"/>
      <c r="X951" s="77"/>
      <c r="Y951" s="77"/>
      <c r="Z951" s="78"/>
      <c r="AA951" s="2345"/>
      <c r="AB951" s="2346"/>
      <c r="AC951" s="2346"/>
      <c r="AD951" s="2346"/>
      <c r="AE951" s="2346"/>
      <c r="AF951" s="2346"/>
      <c r="AG951" s="23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45"/>
      <c r="N952" s="2346"/>
      <c r="O952" s="2346"/>
      <c r="P952" s="2346"/>
      <c r="Q952" s="2346"/>
      <c r="R952" s="2346"/>
      <c r="S952" s="2347"/>
      <c r="T952" s="103" t="s">
        <v>846</v>
      </c>
      <c r="U952" s="77"/>
      <c r="V952" s="77"/>
      <c r="W952" s="77"/>
      <c r="X952" s="77"/>
      <c r="Y952" s="77"/>
      <c r="Z952" s="78"/>
      <c r="AA952" s="2345"/>
      <c r="AB952" s="2346"/>
      <c r="AC952" s="2346"/>
      <c r="AD952" s="2346"/>
      <c r="AE952" s="2346"/>
      <c r="AF952" s="2346"/>
      <c r="AG952" s="23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30" t="s">
        <v>625</v>
      </c>
      <c r="N953" s="2431"/>
      <c r="O953" s="2431"/>
      <c r="P953" s="2431"/>
      <c r="Q953" s="2431"/>
      <c r="R953" s="2431"/>
      <c r="S953" s="2432"/>
      <c r="T953" s="76" t="s">
        <v>346</v>
      </c>
      <c r="U953" s="77"/>
      <c r="V953" s="77"/>
      <c r="W953" s="77"/>
      <c r="X953" s="77"/>
      <c r="Y953" s="77"/>
      <c r="Z953" s="78"/>
      <c r="AA953" s="2345"/>
      <c r="AB953" s="2346"/>
      <c r="AC953" s="2346"/>
      <c r="AD953" s="2346"/>
      <c r="AE953" s="2346"/>
      <c r="AF953" s="2346"/>
      <c r="AG953" s="23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45"/>
      <c r="N954" s="2346"/>
      <c r="O954" s="2346"/>
      <c r="P954" s="2346"/>
      <c r="Q954" s="2346"/>
      <c r="R954" s="2346"/>
      <c r="S954" s="2347"/>
      <c r="T954" s="76" t="s">
        <v>347</v>
      </c>
      <c r="U954" s="77"/>
      <c r="V954" s="77"/>
      <c r="W954" s="77"/>
      <c r="X954" s="77"/>
      <c r="Y954" s="77"/>
      <c r="Z954" s="78"/>
      <c r="AA954" s="2345"/>
      <c r="AB954" s="2346"/>
      <c r="AC954" s="2346"/>
      <c r="AD954" s="2346"/>
      <c r="AE954" s="2346"/>
      <c r="AF954" s="2346"/>
      <c r="AG954" s="23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45"/>
      <c r="N955" s="2346"/>
      <c r="O955" s="2346"/>
      <c r="P955" s="2346"/>
      <c r="Q955" s="2346"/>
      <c r="R955" s="2346"/>
      <c r="S955" s="2347"/>
      <c r="T955" s="76" t="s">
        <v>394</v>
      </c>
      <c r="U955" s="77"/>
      <c r="V955" s="77"/>
      <c r="W955" s="77"/>
      <c r="X955" s="77"/>
      <c r="Y955" s="77"/>
      <c r="Z955" s="78"/>
      <c r="AA955" s="2345"/>
      <c r="AB955" s="2346"/>
      <c r="AC955" s="2346"/>
      <c r="AD955" s="2346"/>
      <c r="AE955" s="2346"/>
      <c r="AF955" s="2346"/>
      <c r="AG955" s="23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39" t="s">
        <v>316</v>
      </c>
      <c r="N956" s="2440"/>
      <c r="O956" s="2440"/>
      <c r="P956" s="2440"/>
      <c r="Q956" s="2440"/>
      <c r="R956" s="2440"/>
      <c r="S956" s="2441"/>
      <c r="T956" s="2340"/>
      <c r="U956" s="2341"/>
      <c r="V956" s="2341"/>
      <c r="W956" s="2341"/>
      <c r="X956" s="2341"/>
      <c r="Y956" s="2341"/>
      <c r="Z956" s="2342"/>
      <c r="AA956" s="2345"/>
      <c r="AB956" s="2346"/>
      <c r="AC956" s="2346"/>
      <c r="AD956" s="2346"/>
      <c r="AE956" s="2346"/>
      <c r="AF956" s="2346"/>
      <c r="AG956" s="23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45"/>
      <c r="N957" s="2346"/>
      <c r="O957" s="2346"/>
      <c r="P957" s="2346"/>
      <c r="Q957" s="2346"/>
      <c r="R957" s="2346"/>
      <c r="S957" s="2347"/>
      <c r="T957" s="2340"/>
      <c r="U957" s="2341"/>
      <c r="V957" s="2341"/>
      <c r="W957" s="2341"/>
      <c r="X957" s="2341"/>
      <c r="Y957" s="2341"/>
      <c r="Z957" s="2342"/>
      <c r="AA957" s="2345"/>
      <c r="AB957" s="2346"/>
      <c r="AC957" s="2346"/>
      <c r="AD957" s="2346"/>
      <c r="AE957" s="2346"/>
      <c r="AF957" s="2346"/>
      <c r="AG957" s="23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69" t="s">
        <v>705</v>
      </c>
      <c r="P958" s="2170"/>
      <c r="Q958" s="139"/>
      <c r="R958" s="139"/>
      <c r="S958" s="140"/>
      <c r="T958" s="71" t="s">
        <v>175</v>
      </c>
      <c r="U958" s="72"/>
      <c r="V958" s="72"/>
      <c r="W958" s="2317"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512" t="s">
        <v>34</v>
      </c>
      <c r="G959" s="2513"/>
      <c r="H959" s="2513"/>
      <c r="I959" s="2513"/>
      <c r="J959" s="2513"/>
      <c r="K959" s="2513"/>
      <c r="L959" s="2513"/>
      <c r="M959" s="2345"/>
      <c r="N959" s="2346"/>
      <c r="O959" s="2346"/>
      <c r="P959" s="2346"/>
      <c r="Q959" s="2346"/>
      <c r="R959" s="2346"/>
      <c r="S959" s="2347"/>
      <c r="T959" s="79"/>
      <c r="U959" s="80"/>
      <c r="V959" s="80"/>
      <c r="W959" s="80"/>
      <c r="X959" s="80"/>
      <c r="Y959" s="80"/>
      <c r="Z959" s="188" t="s">
        <v>139</v>
      </c>
      <c r="AA959" s="2337"/>
      <c r="AB959" s="2338"/>
      <c r="AC959" s="2338"/>
      <c r="AD959" s="2338"/>
      <c r="AE959" s="2338"/>
      <c r="AF959" s="2338"/>
      <c r="AG959" s="23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0" t="s">
        <v>580</v>
      </c>
      <c r="B963" s="2380"/>
      <c r="C963" s="2380"/>
      <c r="D963" s="2380"/>
      <c r="E963" s="2380"/>
      <c r="F963" s="2380"/>
      <c r="G963" s="2380"/>
      <c r="H963" s="2380"/>
      <c r="I963" s="2380"/>
      <c r="J963" s="2380"/>
      <c r="K963" s="2380"/>
      <c r="L963" s="2380"/>
      <c r="M963" s="2380"/>
      <c r="N963" s="2380"/>
      <c r="O963" s="2380"/>
      <c r="P963" s="2380"/>
      <c r="Q963" s="2380"/>
      <c r="R963" s="2380"/>
      <c r="S963" s="2380"/>
      <c r="T963" s="2380"/>
      <c r="U963" s="2380"/>
      <c r="V963" s="2380"/>
      <c r="W963" s="2380"/>
      <c r="X963" s="2380"/>
      <c r="Y963" s="2380"/>
      <c r="Z963" s="2380"/>
      <c r="AA963" s="2380"/>
      <c r="AB963" s="2380"/>
      <c r="AC963" s="2380"/>
      <c r="AD963" s="2380"/>
      <c r="AE963" s="2380"/>
      <c r="AF963" s="2380"/>
      <c r="AG963" s="2380"/>
      <c r="AH963" s="2380"/>
      <c r="AI963" s="2380"/>
      <c r="AJ963" s="2380"/>
      <c r="AK963" s="2380"/>
      <c r="AL963" s="2380"/>
      <c r="AM963" s="2380"/>
      <c r="AN963" s="2380"/>
      <c r="AO963" s="2380"/>
      <c r="AP963" s="2380"/>
      <c r="AQ963" s="2380"/>
      <c r="AR963" s="2380"/>
      <c r="AS963" s="238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0"/>
      <c r="B964" s="2380"/>
      <c r="C964" s="2380"/>
      <c r="D964" s="2380"/>
      <c r="E964" s="2380"/>
      <c r="F964" s="2380"/>
      <c r="G964" s="2380"/>
      <c r="H964" s="2380"/>
      <c r="I964" s="2380"/>
      <c r="J964" s="2380"/>
      <c r="K964" s="2380"/>
      <c r="L964" s="2380"/>
      <c r="M964" s="2380"/>
      <c r="N964" s="2380"/>
      <c r="O964" s="2380"/>
      <c r="P964" s="2380"/>
      <c r="Q964" s="2380"/>
      <c r="R964" s="2380"/>
      <c r="S964" s="2380"/>
      <c r="T964" s="2380"/>
      <c r="U964" s="2380"/>
      <c r="V964" s="2380"/>
      <c r="W964" s="2380"/>
      <c r="X964" s="2380"/>
      <c r="Y964" s="2380"/>
      <c r="Z964" s="2380"/>
      <c r="AA964" s="2380"/>
      <c r="AB964" s="2380"/>
      <c r="AC964" s="2380"/>
      <c r="AD964" s="2380"/>
      <c r="AE964" s="2380"/>
      <c r="AF964" s="2380"/>
      <c r="AG964" s="2380"/>
      <c r="AH964" s="2380"/>
      <c r="AI964" s="2380"/>
      <c r="AJ964" s="2380"/>
      <c r="AK964" s="2380"/>
      <c r="AL964" s="2380"/>
      <c r="AM964" s="2380"/>
      <c r="AN964" s="2380"/>
      <c r="AO964" s="2380"/>
      <c r="AP964" s="2380"/>
      <c r="AQ964" s="2380"/>
      <c r="AR964" s="2380"/>
      <c r="AS964" s="238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18" t="s">
        <v>672</v>
      </c>
      <c r="E968" s="2519"/>
      <c r="F968" s="2519"/>
      <c r="G968" s="2519"/>
      <c r="H968" s="2519"/>
      <c r="I968" s="2519"/>
      <c r="J968" s="2519"/>
      <c r="K968" s="2519"/>
      <c r="L968" s="2519"/>
      <c r="M968" s="2519"/>
      <c r="N968" s="2519"/>
      <c r="O968" s="2519"/>
      <c r="P968" s="2519"/>
      <c r="Q968" s="2520"/>
      <c r="R968" s="2518" t="s">
        <v>673</v>
      </c>
      <c r="S968" s="2519"/>
      <c r="T968" s="2519"/>
      <c r="U968" s="2519"/>
      <c r="V968" s="2519"/>
      <c r="W968" s="2519"/>
      <c r="X968" s="2519"/>
      <c r="Y968" s="2519"/>
      <c r="Z968" s="2519"/>
      <c r="AA968" s="2520"/>
      <c r="AB968" s="2518" t="s">
        <v>674</v>
      </c>
      <c r="AC968" s="2519"/>
      <c r="AD968" s="2519"/>
      <c r="AE968" s="2519"/>
      <c r="AF968" s="2519"/>
      <c r="AG968" s="2519"/>
      <c r="AH968" s="2519"/>
      <c r="AI968" s="2520"/>
      <c r="AJ968" s="2518" t="s">
        <v>675</v>
      </c>
      <c r="AK968" s="2519"/>
      <c r="AL968" s="2519"/>
      <c r="AM968" s="2519"/>
      <c r="AN968" s="2519"/>
      <c r="AO968" s="2519"/>
      <c r="AP968" s="2519"/>
      <c r="AQ968" s="252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1" t="s">
        <v>667</v>
      </c>
      <c r="E969" s="2372"/>
      <c r="F969" s="2372"/>
      <c r="G969" s="2372"/>
      <c r="H969" s="2372"/>
      <c r="I969" s="2372"/>
      <c r="J969" s="2372"/>
      <c r="K969" s="2372"/>
      <c r="L969" s="2372"/>
      <c r="M969" s="2372"/>
      <c r="N969" s="2372"/>
      <c r="O969" s="2372"/>
      <c r="P969" s="2372"/>
      <c r="Q969" s="2373"/>
      <c r="R969" s="2352">
        <f>IF(ISNA(IF($BN$799="4%",(INDEX($BP$809:$BT$866,MATCH($CB$799,$BO$809:$BO$866,0),MATCH(D969,$BP$808:$BT$808,0))),(INDEX($BW$809:$CA$866,MATCH($CB$799,$BV$809:$BV$866,0),MATCH(D969,$BW$808:$CA$808,0))))),0,IF($BN$799="4%",(INDEX($BP$809:$BT$866,MATCH($CB$799,$BO$809:$BO$866,0),MATCH(D969,$BP$808:$BT$808,0))),(INDEX($BW$809:$CA$866,MATCH($CB$799,$BV$809:$BV$866,0),MATCH(D969,$BW$808:$CA$808,0)))))</f>
        <v>278397</v>
      </c>
      <c r="S969" s="2352"/>
      <c r="T969" s="2352"/>
      <c r="U969" s="2352"/>
      <c r="V969" s="2352"/>
      <c r="W969" s="2352"/>
      <c r="X969" s="2352"/>
      <c r="Y969" s="2352"/>
      <c r="Z969" s="2352"/>
      <c r="AA969" s="2352"/>
      <c r="AB969" s="2521">
        <f>BN663</f>
        <v>0</v>
      </c>
      <c r="AC969" s="2522"/>
      <c r="AD969" s="2522"/>
      <c r="AE969" s="2522"/>
      <c r="AF969" s="2522"/>
      <c r="AG969" s="2522"/>
      <c r="AH969" s="2522"/>
      <c r="AI969" s="2523"/>
      <c r="AJ969" s="2384">
        <f>IF(ISERROR((R969*AB969)),0,(R969*AB969))</f>
        <v>0</v>
      </c>
      <c r="AK969" s="2385"/>
      <c r="AL969" s="2385"/>
      <c r="AM969" s="2385"/>
      <c r="AN969" s="2385"/>
      <c r="AO969" s="2385"/>
      <c r="AP969" s="2385"/>
      <c r="AQ969" s="238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1" t="s">
        <v>334</v>
      </c>
      <c r="E970" s="2372"/>
      <c r="F970" s="2372"/>
      <c r="G970" s="2372"/>
      <c r="H970" s="2372"/>
      <c r="I970" s="2372"/>
      <c r="J970" s="2372"/>
      <c r="K970" s="2372"/>
      <c r="L970" s="2372"/>
      <c r="M970" s="2372"/>
      <c r="N970" s="2372"/>
      <c r="O970" s="2372"/>
      <c r="P970" s="2372"/>
      <c r="Q970" s="2373"/>
      <c r="R970" s="2352">
        <f>IF(ISNA(IF($BN$799="4%",(INDEX($BP$809:$BT$866,MATCH($CB$799,$BO$809:$BO$866,0),MATCH(D970,$BP$808:$BT$808,0))),(INDEX($BW$809:$CA$866,MATCH($CB$799,$BV$809:$BV$866,0),MATCH(D970,$BW$808:$CA$808,0))))),0,IF($BN$799="4%",(INDEX($BP$809:$BT$866,MATCH($CB$799,$BO$809:$BO$866,0),MATCH(D970,$BP$808:$BT$808,0))),(INDEX($BW$809:$CA$866,MATCH($CB$799,$BV$809:$BV$866,0),MATCH(D970,$BW$808:$CA$808,0)))))</f>
        <v>320989</v>
      </c>
      <c r="S970" s="2352"/>
      <c r="T970" s="2352"/>
      <c r="U970" s="2352"/>
      <c r="V970" s="2352"/>
      <c r="W970" s="2352"/>
      <c r="X970" s="2352"/>
      <c r="Y970" s="2352"/>
      <c r="Z970" s="2352"/>
      <c r="AA970" s="2352"/>
      <c r="AB970" s="2521">
        <f>BS663</f>
        <v>72</v>
      </c>
      <c r="AC970" s="2522"/>
      <c r="AD970" s="2522"/>
      <c r="AE970" s="2522"/>
      <c r="AF970" s="2522"/>
      <c r="AG970" s="2522"/>
      <c r="AH970" s="2522"/>
      <c r="AI970" s="2523"/>
      <c r="AJ970" s="2384">
        <f>IF(ISERROR((R970*AB970)),0,(R970*AB970))</f>
        <v>23111208</v>
      </c>
      <c r="AK970" s="2385"/>
      <c r="AL970" s="2385"/>
      <c r="AM970" s="2385"/>
      <c r="AN970" s="2385"/>
      <c r="AO970" s="2385"/>
      <c r="AP970" s="2385"/>
      <c r="AQ970" s="238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1" t="s">
        <v>168</v>
      </c>
      <c r="E971" s="2372"/>
      <c r="F971" s="2372"/>
      <c r="G971" s="2372"/>
      <c r="H971" s="2372"/>
      <c r="I971" s="2372"/>
      <c r="J971" s="2372"/>
      <c r="K971" s="2372"/>
      <c r="L971" s="2372"/>
      <c r="M971" s="2372"/>
      <c r="N971" s="2372"/>
      <c r="O971" s="2372"/>
      <c r="P971" s="2372"/>
      <c r="Q971" s="2373"/>
      <c r="R971" s="2352">
        <f>IF(ISNA(IF($BN$799="4%",(INDEX($BP$809:$BT$866,MATCH($CB$799,$BO$809:$BO$866,0),MATCH(D971,$BP$808:$BT$808,0))),(INDEX($BW$809:$CA$866,MATCH($CB$799,$BV$809:$BV$866,0),MATCH(D971,$BW$808:$CA$808,0))))),0,IF($BN$799="4%",(INDEX($BP$809:$BT$866,MATCH($CB$799,$BO$809:$BO$866,0),MATCH(D971,$BP$808:$BT$808,0))),(INDEX($BW$809:$CA$866,MATCH($CB$799,$BV$809:$BV$866,0),MATCH(D971,$BW$808:$CA$808,0)))))</f>
        <v>387200</v>
      </c>
      <c r="S971" s="2352"/>
      <c r="T971" s="2352"/>
      <c r="U971" s="2352"/>
      <c r="V971" s="2352"/>
      <c r="W971" s="2352"/>
      <c r="X971" s="2352"/>
      <c r="Y971" s="2352"/>
      <c r="Z971" s="2352"/>
      <c r="AA971" s="2352"/>
      <c r="AB971" s="2521">
        <f>BX663</f>
        <v>144</v>
      </c>
      <c r="AC971" s="2522"/>
      <c r="AD971" s="2522"/>
      <c r="AE971" s="2522"/>
      <c r="AF971" s="2522"/>
      <c r="AG971" s="2522"/>
      <c r="AH971" s="2522"/>
      <c r="AI971" s="2523"/>
      <c r="AJ971" s="2384">
        <f>IF(ISERROR((R971*AB971)),0,(R971*AB971))</f>
        <v>55756800</v>
      </c>
      <c r="AK971" s="2385"/>
      <c r="AL971" s="2385"/>
      <c r="AM971" s="2385"/>
      <c r="AN971" s="2385"/>
      <c r="AO971" s="2385"/>
      <c r="AP971" s="2385"/>
      <c r="AQ971" s="238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1" t="s">
        <v>169</v>
      </c>
      <c r="E972" s="2372"/>
      <c r="F972" s="2372"/>
      <c r="G972" s="2372"/>
      <c r="H972" s="2372"/>
      <c r="I972" s="2372"/>
      <c r="J972" s="2372"/>
      <c r="K972" s="2372"/>
      <c r="L972" s="2372"/>
      <c r="M972" s="2372"/>
      <c r="N972" s="2372"/>
      <c r="O972" s="2372"/>
      <c r="P972" s="2372"/>
      <c r="Q972" s="2373"/>
      <c r="R972" s="2352">
        <f>IF(ISNA(IF($BN$799="4%",(INDEX($BP$809:$BT$866,MATCH($CB$799,$BO$809:$BO$866,0),MATCH(D972,$BP$808:$BT$808,0))),(INDEX($BW$809:$CA$866,MATCH($CB$799,$BV$809:$BV$866,0),MATCH(D972,$BW$808:$CA$808,0))))),0,IF($BN$799="4%",(INDEX($BP$809:$BT$866,MATCH($CB$799,$BO$809:$BO$866,0),MATCH(D972,$BP$808:$BT$808,0))),(INDEX($BW$809:$CA$866,MATCH($CB$799,$BV$809:$BV$866,0),MATCH(D972,$BW$808:$CA$808,0)))))</f>
        <v>495616</v>
      </c>
      <c r="S972" s="2352"/>
      <c r="T972" s="2352"/>
      <c r="U972" s="2352"/>
      <c r="V972" s="2352"/>
      <c r="W972" s="2352"/>
      <c r="X972" s="2352"/>
      <c r="Y972" s="2352"/>
      <c r="Z972" s="2352"/>
      <c r="AA972" s="2352"/>
      <c r="AB972" s="2521">
        <f>CC663</f>
        <v>72</v>
      </c>
      <c r="AC972" s="2522"/>
      <c r="AD972" s="2522"/>
      <c r="AE972" s="2522"/>
      <c r="AF972" s="2522"/>
      <c r="AG972" s="2522"/>
      <c r="AH972" s="2522"/>
      <c r="AI972" s="2523"/>
      <c r="AJ972" s="2384">
        <f>IF(ISERROR((R972*AB972)),0,(R972*AB972))</f>
        <v>35684352</v>
      </c>
      <c r="AK972" s="2385"/>
      <c r="AL972" s="2385"/>
      <c r="AM972" s="2385"/>
      <c r="AN972" s="2385"/>
      <c r="AO972" s="2385"/>
      <c r="AP972" s="2385"/>
      <c r="AQ972" s="238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1" t="s">
        <v>492</v>
      </c>
      <c r="E973" s="2372"/>
      <c r="F973" s="2372"/>
      <c r="G973" s="2372"/>
      <c r="H973" s="2372"/>
      <c r="I973" s="2372"/>
      <c r="J973" s="2372"/>
      <c r="K973" s="2372"/>
      <c r="L973" s="2372"/>
      <c r="M973" s="2372"/>
      <c r="N973" s="2372"/>
      <c r="O973" s="2372"/>
      <c r="P973" s="2372"/>
      <c r="Q973" s="2373"/>
      <c r="R973" s="2352">
        <f>IF(ISNA(IF($BN$799="4%",(INDEX($BP$809:$BT$866,MATCH($CB$799,$BO$809:$BO$866,0),MATCH(D973,$BP$808:$BT$808,0))),(INDEX($BW$809:$CA$866,MATCH($CB$799,$BV$809:$BV$866,0),MATCH(D973,$BW$808:$CA$808,0))))),0,IF($BN$799="4%",(INDEX($BP$809:$BT$866,MATCH($CB$799,$BO$809:$BO$866,0),MATCH(D973,$BP$808:$BT$808,0))),(INDEX($BW$809:$CA$866,MATCH($CB$799,$BV$809:$BV$866,0),MATCH(D973,$BW$808:$CA$808,0)))))</f>
        <v>552147</v>
      </c>
      <c r="S973" s="2352"/>
      <c r="T973" s="2352"/>
      <c r="U973" s="2352"/>
      <c r="V973" s="2352"/>
      <c r="W973" s="2352"/>
      <c r="X973" s="2352"/>
      <c r="Y973" s="2352"/>
      <c r="Z973" s="2352"/>
      <c r="AA973" s="2352"/>
      <c r="AB973" s="2521">
        <f>CM663+CH663</f>
        <v>0</v>
      </c>
      <c r="AC973" s="2522"/>
      <c r="AD973" s="2522"/>
      <c r="AE973" s="2522"/>
      <c r="AF973" s="2522"/>
      <c r="AG973" s="2522"/>
      <c r="AH973" s="2522"/>
      <c r="AI973" s="2523"/>
      <c r="AJ973" s="2384">
        <f>IF(ISERROR((R973*AB973)),0,(R973*AB973))</f>
        <v>0</v>
      </c>
      <c r="AK973" s="2385"/>
      <c r="AL973" s="2385"/>
      <c r="AM973" s="2385"/>
      <c r="AN973" s="2385"/>
      <c r="AO973" s="2385"/>
      <c r="AP973" s="2385"/>
      <c r="AQ973" s="238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9" t="s">
        <v>848</v>
      </c>
      <c r="C974" s="2510"/>
      <c r="D974" s="2510"/>
      <c r="E974" s="2510"/>
      <c r="F974" s="2510"/>
      <c r="G974" s="2510"/>
      <c r="H974" s="2510"/>
      <c r="I974" s="2510"/>
      <c r="J974" s="2510"/>
      <c r="K974" s="2510"/>
      <c r="L974" s="2510"/>
      <c r="M974" s="2510"/>
      <c r="N974" s="2510"/>
      <c r="O974" s="2510"/>
      <c r="P974" s="2510"/>
      <c r="Q974" s="2510"/>
      <c r="R974" s="2510"/>
      <c r="S974" s="2510"/>
      <c r="T974" s="2510"/>
      <c r="U974" s="2510"/>
      <c r="V974" s="2510"/>
      <c r="W974" s="2510"/>
      <c r="X974" s="2510"/>
      <c r="Y974" s="2510"/>
      <c r="Z974" s="2510"/>
      <c r="AA974" s="2511"/>
      <c r="AB974" s="2521">
        <f>SUM(AB969:AI973)</f>
        <v>288</v>
      </c>
      <c r="AC974" s="2522"/>
      <c r="AD974" s="2522"/>
      <c r="AE974" s="2522"/>
      <c r="AF974" s="2522"/>
      <c r="AG974" s="2522"/>
      <c r="AH974" s="2522"/>
      <c r="AI974" s="2523"/>
      <c r="AJ974" s="2384"/>
      <c r="AK974" s="2385"/>
      <c r="AL974" s="2385"/>
      <c r="AM974" s="2385"/>
      <c r="AN974" s="2385"/>
      <c r="AO974" s="2385"/>
      <c r="AP974" s="2385"/>
      <c r="AQ974" s="238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54" t="s">
        <v>544</v>
      </c>
      <c r="C975" s="2555"/>
      <c r="D975" s="2555"/>
      <c r="E975" s="2555"/>
      <c r="F975" s="2555"/>
      <c r="G975" s="2555"/>
      <c r="H975" s="2555"/>
      <c r="I975" s="2555"/>
      <c r="J975" s="2555"/>
      <c r="K975" s="2555"/>
      <c r="L975" s="2555"/>
      <c r="M975" s="2555"/>
      <c r="N975" s="2555"/>
      <c r="O975" s="2555"/>
      <c r="P975" s="2555"/>
      <c r="Q975" s="2555"/>
      <c r="R975" s="2555"/>
      <c r="S975" s="2555"/>
      <c r="T975" s="2555"/>
      <c r="U975" s="2555"/>
      <c r="V975" s="2555"/>
      <c r="W975" s="2555"/>
      <c r="X975" s="2555"/>
      <c r="Y975" s="2555"/>
      <c r="Z975" s="2555"/>
      <c r="AA975" s="2555"/>
      <c r="AB975" s="2555"/>
      <c r="AC975" s="2555"/>
      <c r="AD975" s="2555"/>
      <c r="AE975" s="2555"/>
      <c r="AF975" s="2555"/>
      <c r="AG975" s="2555"/>
      <c r="AH975" s="2555"/>
      <c r="AI975" s="2556"/>
      <c r="AJ975" s="2384">
        <f>SUM(AJ969:AQ973)</f>
        <v>114552360</v>
      </c>
      <c r="AK975" s="2385"/>
      <c r="AL975" s="2385"/>
      <c r="AM975" s="2385"/>
      <c r="AN975" s="2385"/>
      <c r="AO975" s="2385"/>
      <c r="AP975" s="2385"/>
      <c r="AQ975" s="238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4"/>
      <c r="C976" s="2495"/>
      <c r="D976" s="2495"/>
      <c r="E976" s="2495"/>
      <c r="F976" s="2495"/>
      <c r="G976" s="2495"/>
      <c r="H976" s="2495"/>
      <c r="I976" s="2495"/>
      <c r="J976" s="2495"/>
      <c r="K976" s="2495"/>
      <c r="L976" s="2495"/>
      <c r="M976" s="2495"/>
      <c r="N976" s="2495"/>
      <c r="O976" s="2495"/>
      <c r="P976" s="2495"/>
      <c r="Q976" s="2495"/>
      <c r="R976" s="2495"/>
      <c r="S976" s="2495"/>
      <c r="T976" s="2495"/>
      <c r="U976" s="2495"/>
      <c r="V976" s="2495"/>
      <c r="W976" s="2495"/>
      <c r="X976" s="2495"/>
      <c r="Y976" s="2495"/>
      <c r="Z976" s="2495"/>
      <c r="AA976" s="2495"/>
      <c r="AB976" s="2495"/>
      <c r="AC976" s="2495"/>
      <c r="AD976" s="2495"/>
      <c r="AE976" s="2496"/>
      <c r="AF976" s="2557" t="s">
        <v>702</v>
      </c>
      <c r="AG976" s="2558"/>
      <c r="AH976" s="2558"/>
      <c r="AI976" s="2559"/>
      <c r="AJ976" s="2494"/>
      <c r="AK976" s="2495"/>
      <c r="AL976" s="2495"/>
      <c r="AM976" s="2495"/>
      <c r="AN976" s="2495"/>
      <c r="AO976" s="2495"/>
      <c r="AP976" s="2495"/>
      <c r="AQ976" s="249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7" t="s">
        <v>1430</v>
      </c>
      <c r="E977" s="2498"/>
      <c r="F977" s="2498"/>
      <c r="G977" s="2498"/>
      <c r="H977" s="2498"/>
      <c r="I977" s="2498"/>
      <c r="J977" s="2498"/>
      <c r="K977" s="2498"/>
      <c r="L977" s="2498"/>
      <c r="M977" s="2498"/>
      <c r="N977" s="2498"/>
      <c r="O977" s="2498"/>
      <c r="P977" s="2498"/>
      <c r="Q977" s="2498"/>
      <c r="R977" s="2498"/>
      <c r="S977" s="2498"/>
      <c r="T977" s="2498"/>
      <c r="U977" s="2498"/>
      <c r="V977" s="2498"/>
      <c r="W977" s="2498"/>
      <c r="X977" s="2498"/>
      <c r="Y977" s="2498"/>
      <c r="Z977" s="2498"/>
      <c r="AA977" s="2498"/>
      <c r="AB977" s="2498"/>
      <c r="AC977" s="2498"/>
      <c r="AD977" s="2498"/>
      <c r="AE977" s="2499"/>
      <c r="AF977" s="117"/>
      <c r="AG977" s="2560" t="s">
        <v>705</v>
      </c>
      <c r="AH977" s="2561"/>
      <c r="AI977" s="125"/>
      <c r="AJ977" s="2486">
        <f>ROUND(IF(AND(AG977="yes",D979&gt;0),AJ975*0.2,0),0)</f>
        <v>0</v>
      </c>
      <c r="AK977" s="2487"/>
      <c r="AL977" s="2487"/>
      <c r="AM977" s="2487"/>
      <c r="AN977" s="2487"/>
      <c r="AO977" s="2487"/>
      <c r="AP977" s="2487"/>
      <c r="AQ977" s="248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4" t="s">
        <v>1431</v>
      </c>
      <c r="E978" s="2525"/>
      <c r="F978" s="2525"/>
      <c r="G978" s="2525"/>
      <c r="H978" s="2525"/>
      <c r="I978" s="2525"/>
      <c r="J978" s="2525"/>
      <c r="K978" s="2525"/>
      <c r="L978" s="2525"/>
      <c r="M978" s="2525"/>
      <c r="N978" s="2525"/>
      <c r="O978" s="2525"/>
      <c r="P978" s="2525"/>
      <c r="Q978" s="2525"/>
      <c r="R978" s="2525"/>
      <c r="S978" s="2525"/>
      <c r="T978" s="2525"/>
      <c r="U978" s="2525"/>
      <c r="V978" s="2525"/>
      <c r="W978" s="2525"/>
      <c r="X978" s="2525"/>
      <c r="Y978" s="2525"/>
      <c r="Z978" s="2525"/>
      <c r="AA978" s="2525"/>
      <c r="AB978" s="2525"/>
      <c r="AC978" s="2525"/>
      <c r="AD978" s="2525"/>
      <c r="AE978" s="2526"/>
      <c r="AF978" s="110"/>
      <c r="AG978" s="112"/>
      <c r="AH978" s="112"/>
      <c r="AI978" s="121"/>
      <c r="AJ978" s="2489"/>
      <c r="AK978" s="2142"/>
      <c r="AL978" s="2142"/>
      <c r="AM978" s="2142"/>
      <c r="AN978" s="2142"/>
      <c r="AO978" s="2142"/>
      <c r="AP978" s="2142"/>
      <c r="AQ978" s="249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7"/>
      <c r="E979" s="2528"/>
      <c r="F979" s="2528"/>
      <c r="G979" s="2528"/>
      <c r="H979" s="2528"/>
      <c r="I979" s="2528"/>
      <c r="J979" s="2528"/>
      <c r="K979" s="2528"/>
      <c r="L979" s="2528"/>
      <c r="M979" s="2528"/>
      <c r="N979" s="2528"/>
      <c r="O979" s="2528"/>
      <c r="P979" s="2528"/>
      <c r="Q979" s="2528"/>
      <c r="R979" s="2528"/>
      <c r="S979" s="2528"/>
      <c r="T979" s="2528"/>
      <c r="U979" s="2528"/>
      <c r="V979" s="2528"/>
      <c r="W979" s="2528"/>
      <c r="X979" s="2528"/>
      <c r="Y979" s="2528"/>
      <c r="Z979" s="2528"/>
      <c r="AA979" s="2528"/>
      <c r="AB979" s="2528"/>
      <c r="AC979" s="2528"/>
      <c r="AD979" s="2528"/>
      <c r="AE979" s="2529"/>
      <c r="AF979" s="115"/>
      <c r="AG979" s="11"/>
      <c r="AH979" s="11"/>
      <c r="AI979" s="116"/>
      <c r="AJ979" s="2491"/>
      <c r="AK979" s="2492"/>
      <c r="AL979" s="2492"/>
      <c r="AM979" s="2492"/>
      <c r="AN979" s="2492"/>
      <c r="AO979" s="2492"/>
      <c r="AP979" s="2492"/>
      <c r="AQ979" s="249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5" t="s">
        <v>1530</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705</v>
      </c>
      <c r="AH980" s="2458"/>
      <c r="AI980" s="125"/>
      <c r="AJ980" s="2486">
        <f>ROUND(IF(AG980="yes",AJ975*0.05,0),0)</f>
        <v>0</v>
      </c>
      <c r="AK980" s="2487"/>
      <c r="AL980" s="2487"/>
      <c r="AM980" s="2487"/>
      <c r="AN980" s="2487"/>
      <c r="AO980" s="2487"/>
      <c r="AP980" s="2487"/>
      <c r="AQ980" s="248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24" t="s">
        <v>1528</v>
      </c>
      <c r="E981" s="2525"/>
      <c r="F981" s="2525"/>
      <c r="G981" s="2525"/>
      <c r="H981" s="2525"/>
      <c r="I981" s="2525"/>
      <c r="J981" s="2525"/>
      <c r="K981" s="2525"/>
      <c r="L981" s="2525"/>
      <c r="M981" s="2525"/>
      <c r="N981" s="2525"/>
      <c r="O981" s="2525"/>
      <c r="P981" s="2525"/>
      <c r="Q981" s="2525"/>
      <c r="R981" s="2525"/>
      <c r="S981" s="2525"/>
      <c r="T981" s="2525"/>
      <c r="U981" s="2525"/>
      <c r="V981" s="2525"/>
      <c r="W981" s="2525"/>
      <c r="X981" s="2525"/>
      <c r="Y981" s="2525"/>
      <c r="Z981" s="2525"/>
      <c r="AA981" s="2525"/>
      <c r="AB981" s="2525"/>
      <c r="AC981" s="2525"/>
      <c r="AD981" s="2525"/>
      <c r="AE981" s="2526"/>
      <c r="AF981" s="110"/>
      <c r="AG981" s="112"/>
      <c r="AH981" s="112"/>
      <c r="AI981" s="121"/>
      <c r="AJ981" s="2489"/>
      <c r="AK981" s="2142"/>
      <c r="AL981" s="2142"/>
      <c r="AM981" s="2142"/>
      <c r="AN981" s="2142"/>
      <c r="AO981" s="2142"/>
      <c r="AP981" s="2142"/>
      <c r="AQ981" s="249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4"/>
      <c r="E982" s="2525"/>
      <c r="F982" s="2525"/>
      <c r="G982" s="2525"/>
      <c r="H982" s="2525"/>
      <c r="I982" s="2525"/>
      <c r="J982" s="2525"/>
      <c r="K982" s="2525"/>
      <c r="L982" s="2525"/>
      <c r="M982" s="2525"/>
      <c r="N982" s="2525"/>
      <c r="O982" s="2525"/>
      <c r="P982" s="2525"/>
      <c r="Q982" s="2525"/>
      <c r="R982" s="2525"/>
      <c r="S982" s="2525"/>
      <c r="T982" s="2525"/>
      <c r="U982" s="2525"/>
      <c r="V982" s="2525"/>
      <c r="W982" s="2525"/>
      <c r="X982" s="2525"/>
      <c r="Y982" s="2525"/>
      <c r="Z982" s="2525"/>
      <c r="AA982" s="2525"/>
      <c r="AB982" s="2525"/>
      <c r="AC982" s="2525"/>
      <c r="AD982" s="2525"/>
      <c r="AE982" s="2526"/>
      <c r="AF982" s="110"/>
      <c r="AG982" s="112"/>
      <c r="AH982" s="112"/>
      <c r="AI982" s="121"/>
      <c r="AJ982" s="2489"/>
      <c r="AK982" s="2142"/>
      <c r="AL982" s="2142"/>
      <c r="AM982" s="2142"/>
      <c r="AN982" s="2142"/>
      <c r="AO982" s="2142"/>
      <c r="AP982" s="2142"/>
      <c r="AQ982" s="249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4"/>
      <c r="E983" s="2525"/>
      <c r="F983" s="2525"/>
      <c r="G983" s="2525"/>
      <c r="H983" s="2525"/>
      <c r="I983" s="2525"/>
      <c r="J983" s="2525"/>
      <c r="K983" s="2525"/>
      <c r="L983" s="2525"/>
      <c r="M983" s="2525"/>
      <c r="N983" s="2525"/>
      <c r="O983" s="2525"/>
      <c r="P983" s="2525"/>
      <c r="Q983" s="2525"/>
      <c r="R983" s="2525"/>
      <c r="S983" s="2525"/>
      <c r="T983" s="2525"/>
      <c r="U983" s="2525"/>
      <c r="V983" s="2525"/>
      <c r="W983" s="2525"/>
      <c r="X983" s="2525"/>
      <c r="Y983" s="2525"/>
      <c r="Z983" s="2525"/>
      <c r="AA983" s="2525"/>
      <c r="AB983" s="2525"/>
      <c r="AC983" s="2525"/>
      <c r="AD983" s="2525"/>
      <c r="AE983" s="2526"/>
      <c r="AF983" s="110"/>
      <c r="AG983" s="112"/>
      <c r="AH983" s="112"/>
      <c r="AI983" s="121"/>
      <c r="AJ983" s="2489"/>
      <c r="AK983" s="2142"/>
      <c r="AL983" s="2142"/>
      <c r="AM983" s="2142"/>
      <c r="AN983" s="2142"/>
      <c r="AO983" s="2142"/>
      <c r="AP983" s="2142"/>
      <c r="AQ983" s="249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4"/>
      <c r="E984" s="2525"/>
      <c r="F984" s="2525"/>
      <c r="G984" s="2525"/>
      <c r="H984" s="2525"/>
      <c r="I984" s="2525"/>
      <c r="J984" s="2525"/>
      <c r="K984" s="2525"/>
      <c r="L984" s="2525"/>
      <c r="M984" s="2525"/>
      <c r="N984" s="2525"/>
      <c r="O984" s="2525"/>
      <c r="P984" s="2525"/>
      <c r="Q984" s="2525"/>
      <c r="R984" s="2525"/>
      <c r="S984" s="2525"/>
      <c r="T984" s="2525"/>
      <c r="U984" s="2525"/>
      <c r="V984" s="2525"/>
      <c r="W984" s="2525"/>
      <c r="X984" s="2525"/>
      <c r="Y984" s="2525"/>
      <c r="Z984" s="2525"/>
      <c r="AA984" s="2525"/>
      <c r="AB984" s="2525"/>
      <c r="AC984" s="2525"/>
      <c r="AD984" s="2525"/>
      <c r="AE984" s="2526"/>
      <c r="AF984" s="110"/>
      <c r="AG984" s="112"/>
      <c r="AH984" s="112"/>
      <c r="AI984" s="121"/>
      <c r="AJ984" s="2489"/>
      <c r="AK984" s="2142"/>
      <c r="AL984" s="2142"/>
      <c r="AM984" s="2142"/>
      <c r="AN984" s="2142"/>
      <c r="AO984" s="2142"/>
      <c r="AP984" s="2142"/>
      <c r="AQ984" s="249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0"/>
      <c r="E985" s="2531"/>
      <c r="F985" s="2531"/>
      <c r="G985" s="2531"/>
      <c r="H985" s="2531"/>
      <c r="I985" s="2531"/>
      <c r="J985" s="2531"/>
      <c r="K985" s="2531"/>
      <c r="L985" s="2531"/>
      <c r="M985" s="2531"/>
      <c r="N985" s="2531"/>
      <c r="O985" s="2531"/>
      <c r="P985" s="2531"/>
      <c r="Q985" s="2531"/>
      <c r="R985" s="2531"/>
      <c r="S985" s="2531"/>
      <c r="T985" s="2531"/>
      <c r="U985" s="2531"/>
      <c r="V985" s="2531"/>
      <c r="W985" s="2531"/>
      <c r="X985" s="2531"/>
      <c r="Y985" s="2531"/>
      <c r="Z985" s="2531"/>
      <c r="AA985" s="2531"/>
      <c r="AB985" s="2531"/>
      <c r="AC985" s="2531"/>
      <c r="AD985" s="2531"/>
      <c r="AE985" s="2532"/>
      <c r="AF985" s="115"/>
      <c r="AG985" s="11"/>
      <c r="AH985" s="11"/>
      <c r="AI985" s="116"/>
      <c r="AJ985" s="2491"/>
      <c r="AK985" s="2492"/>
      <c r="AL985" s="2492"/>
      <c r="AM985" s="2492"/>
      <c r="AN985" s="2492"/>
      <c r="AO985" s="2492"/>
      <c r="AP985" s="2492"/>
      <c r="AQ985" s="249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5" t="s">
        <v>2171</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705</v>
      </c>
      <c r="AH986" s="2458"/>
      <c r="AI986" s="125"/>
      <c r="AJ986" s="2486">
        <f>ROUND(IF(AG986="yes",AJ975*0.1,0),0)</f>
        <v>0</v>
      </c>
      <c r="AK986" s="2487"/>
      <c r="AL986" s="2487"/>
      <c r="AM986" s="2487"/>
      <c r="AN986" s="2487"/>
      <c r="AO986" s="2487"/>
      <c r="AP986" s="2487"/>
      <c r="AQ986" s="248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1529</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9"/>
      <c r="AK987" s="2142"/>
      <c r="AL987" s="2142"/>
      <c r="AM987" s="2142"/>
      <c r="AN987" s="2142"/>
      <c r="AO987" s="2142"/>
      <c r="AP987" s="2142"/>
      <c r="AQ987" s="2490"/>
      <c r="AR987" s="1583"/>
      <c r="AS987" s="1583"/>
      <c r="AT987" s="1583"/>
      <c r="AU987" s="1583"/>
      <c r="AV987" s="1583"/>
      <c r="AW987" s="1583"/>
      <c r="AX987" s="1583"/>
      <c r="AY987" s="1583"/>
      <c r="AZ987" s="61"/>
      <c r="BA987" s="1612">
        <f>G753+O796</f>
        <v>285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9"/>
      <c r="AK988" s="2142"/>
      <c r="AL988" s="2142"/>
      <c r="AM988" s="2142"/>
      <c r="AN988" s="2142"/>
      <c r="AO988" s="2142"/>
      <c r="AP988" s="2142"/>
      <c r="AQ988" s="249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91"/>
      <c r="AK989" s="2492"/>
      <c r="AL989" s="2492"/>
      <c r="AM989" s="2492"/>
      <c r="AN989" s="2492"/>
      <c r="AO989" s="2492"/>
      <c r="AP989" s="2492"/>
      <c r="AQ989" s="2493"/>
      <c r="AR989" s="1583"/>
      <c r="AS989" s="1583"/>
      <c r="AT989" s="1583"/>
      <c r="AU989" s="1583"/>
      <c r="AV989" s="1583"/>
      <c r="AW989" s="1583"/>
      <c r="AX989" s="1583"/>
      <c r="AY989" s="1583"/>
      <c r="AZ989" s="61"/>
      <c r="BA989" s="1611">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5" t="s">
        <v>1531</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705</v>
      </c>
      <c r="AH990" s="2458"/>
      <c r="AI990" s="125"/>
      <c r="AJ990" s="2486">
        <f>ROUND(IF(AG990="yes",AJ975*0.02,0),0)</f>
        <v>0</v>
      </c>
      <c r="AK990" s="2487"/>
      <c r="AL990" s="2487"/>
      <c r="AM990" s="2487"/>
      <c r="AN990" s="2487"/>
      <c r="AO990" s="2487"/>
      <c r="AP990" s="2487"/>
      <c r="AQ990" s="248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1532</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91"/>
      <c r="AK991" s="2492"/>
      <c r="AL991" s="2492"/>
      <c r="AM991" s="2492"/>
      <c r="AN991" s="2492"/>
      <c r="AO991" s="2492"/>
      <c r="AP991" s="2492"/>
      <c r="AQ991" s="249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5" t="s">
        <v>1533</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705</v>
      </c>
      <c r="AH992" s="2458"/>
      <c r="AI992" s="117"/>
      <c r="AJ992" s="2486">
        <f>ROUND(IF(AG992="yes",AJ975*0.02,0),0)</f>
        <v>0</v>
      </c>
      <c r="AK992" s="2487"/>
      <c r="AL992" s="2487"/>
      <c r="AM992" s="2487"/>
      <c r="AN992" s="2487"/>
      <c r="AO992" s="2487"/>
      <c r="AP992" s="2487"/>
      <c r="AQ992" s="248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8" t="s">
        <v>1534</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9"/>
      <c r="AK993" s="2142"/>
      <c r="AL993" s="2142"/>
      <c r="AM993" s="2142"/>
      <c r="AN993" s="2142"/>
      <c r="AO993" s="2142"/>
      <c r="AP993" s="2142"/>
      <c r="AQ993" s="249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91"/>
      <c r="AK994" s="2492"/>
      <c r="AL994" s="2492"/>
      <c r="AM994" s="2492"/>
      <c r="AN994" s="2492"/>
      <c r="AO994" s="2492"/>
      <c r="AP994" s="2492"/>
      <c r="AQ994" s="2493"/>
      <c r="AR994" s="1583"/>
      <c r="AS994" s="1583"/>
      <c r="AT994" s="1583"/>
      <c r="AU994" s="1583"/>
      <c r="AV994" s="1583"/>
      <c r="AW994" s="1583"/>
      <c r="AX994" s="1583"/>
      <c r="AY994" s="1583"/>
    </row>
    <row r="995" spans="1:96" s="719" customFormat="1" ht="12.75" customHeight="1">
      <c r="A995" s="51"/>
      <c r="B995" s="117"/>
      <c r="C995" s="118" t="s">
        <v>224</v>
      </c>
      <c r="D995" s="2497" t="s">
        <v>1535</v>
      </c>
      <c r="E995" s="2498"/>
      <c r="F995" s="2498"/>
      <c r="G995" s="2498"/>
      <c r="H995" s="2498"/>
      <c r="I995" s="2498"/>
      <c r="J995" s="2498"/>
      <c r="K995" s="2498"/>
      <c r="L995" s="2498"/>
      <c r="M995" s="2498"/>
      <c r="N995" s="2498"/>
      <c r="O995" s="2498"/>
      <c r="P995" s="2498"/>
      <c r="Q995" s="2498"/>
      <c r="R995" s="2498"/>
      <c r="S995" s="2498"/>
      <c r="T995" s="2498"/>
      <c r="U995" s="2498"/>
      <c r="V995" s="2498"/>
      <c r="W995" s="2498"/>
      <c r="X995" s="2498"/>
      <c r="Y995" s="2498"/>
      <c r="Z995" s="2498"/>
      <c r="AA995" s="2498"/>
      <c r="AB995" s="2498"/>
      <c r="AC995" s="2498"/>
      <c r="AD995" s="2498"/>
      <c r="AE995" s="2499"/>
      <c r="AF995" s="117"/>
      <c r="AG995" s="2457" t="s">
        <v>705</v>
      </c>
      <c r="AH995" s="2458"/>
      <c r="AI995" s="125"/>
      <c r="AJ995" s="2486">
        <f>IF(AG995="yes",AJ975*BA995,0)</f>
        <v>0</v>
      </c>
      <c r="AK995" s="2487"/>
      <c r="AL995" s="2487"/>
      <c r="AM995" s="2487"/>
      <c r="AN995" s="2487"/>
      <c r="AO995" s="2487"/>
      <c r="AP995" s="2487"/>
      <c r="AQ995" s="248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8" t="s">
        <v>1536</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9"/>
      <c r="AK996" s="2142"/>
      <c r="AL996" s="2142"/>
      <c r="AM996" s="2142"/>
      <c r="AN996" s="2142"/>
      <c r="AO996" s="2142"/>
      <c r="AP996" s="2142"/>
      <c r="AQ996" s="2490"/>
      <c r="AR996" s="1583"/>
      <c r="AS996" s="1583"/>
      <c r="AT996" s="1583"/>
      <c r="AU996" s="1583"/>
      <c r="AV996" s="1583"/>
      <c r="AW996" s="1583"/>
      <c r="AX996" s="1583"/>
      <c r="AY996" s="1583"/>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9"/>
      <c r="AK997" s="2142"/>
      <c r="AL997" s="2142"/>
      <c r="AM997" s="2142"/>
      <c r="AN997" s="2142"/>
      <c r="AO997" s="2142"/>
      <c r="AP997" s="2142"/>
      <c r="AQ997" s="2490"/>
      <c r="AR997" s="1583"/>
      <c r="AS997" s="1583"/>
      <c r="AT997" s="1583"/>
      <c r="AU997" s="1583"/>
      <c r="AV997" s="1583"/>
      <c r="AW997" s="1583"/>
      <c r="AX997" s="1583"/>
      <c r="AY997" s="1583"/>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91"/>
      <c r="AK998" s="2492"/>
      <c r="AL998" s="2492"/>
      <c r="AM998" s="2492"/>
      <c r="AN998" s="2492"/>
      <c r="AO998" s="2492"/>
      <c r="AP998" s="2492"/>
      <c r="AQ998" s="2493"/>
      <c r="AR998" s="1583"/>
      <c r="AS998" s="1583"/>
      <c r="AT998" s="1583"/>
      <c r="AU998" s="1583"/>
      <c r="AV998" s="1583"/>
      <c r="AW998" s="1583"/>
      <c r="AX998" s="1583"/>
      <c r="AY998" s="1583"/>
      <c r="BA998" s="320">
        <f>IF(A1050="Yes",0.02,0)</f>
        <v>0</v>
      </c>
    </row>
    <row r="999" spans="1:96" s="719" customFormat="1" ht="15" customHeight="1">
      <c r="A999" s="51"/>
      <c r="B999" s="117"/>
      <c r="C999" s="118" t="s">
        <v>229</v>
      </c>
      <c r="D999" s="2545" t="s">
        <v>1537</v>
      </c>
      <c r="E999" s="2546"/>
      <c r="F999" s="2546"/>
      <c r="G999" s="2546"/>
      <c r="H999" s="2546"/>
      <c r="I999" s="2546"/>
      <c r="J999" s="2546"/>
      <c r="K999" s="2546"/>
      <c r="L999" s="2546"/>
      <c r="M999" s="2546"/>
      <c r="N999" s="2546"/>
      <c r="O999" s="2546"/>
      <c r="P999" s="2546"/>
      <c r="Q999" s="2546"/>
      <c r="R999" s="2546"/>
      <c r="S999" s="2546"/>
      <c r="T999" s="2546"/>
      <c r="U999" s="2546"/>
      <c r="V999" s="2546"/>
      <c r="W999" s="2546"/>
      <c r="X999" s="2546"/>
      <c r="Y999" s="2546"/>
      <c r="Z999" s="2546"/>
      <c r="AA999" s="2546"/>
      <c r="AB999" s="2546"/>
      <c r="AC999" s="2546"/>
      <c r="AD999" s="2546"/>
      <c r="AE999" s="2547"/>
      <c r="AF999" s="117"/>
      <c r="AG999" s="2457" t="s">
        <v>705</v>
      </c>
      <c r="AH999" s="2458"/>
      <c r="AI999" s="125"/>
      <c r="AJ999" s="2500"/>
      <c r="AK999" s="2501"/>
      <c r="AL999" s="2501"/>
      <c r="AM999" s="2501"/>
      <c r="AN999" s="2501"/>
      <c r="AO999" s="2501"/>
      <c r="AP999" s="2501"/>
      <c r="AQ999" s="2502"/>
      <c r="AR999" s="1583"/>
      <c r="AS999" s="1583"/>
      <c r="AT999" s="1583"/>
      <c r="AU999" s="1583"/>
      <c r="AV999" s="1583"/>
      <c r="AW999" s="1583"/>
      <c r="AX999" s="1583"/>
      <c r="AY999" s="1583"/>
      <c r="BA999" s="320">
        <f>IF(A1056="Yes",0.04,0)</f>
        <v>0</v>
      </c>
      <c r="CR999" s="25"/>
    </row>
    <row r="1000" spans="1:96" ht="12.75">
      <c r="A1000" s="51"/>
      <c r="B1000" s="119"/>
      <c r="C1000" s="122"/>
      <c r="D1000" s="2548"/>
      <c r="E1000" s="2549"/>
      <c r="F1000" s="2549"/>
      <c r="G1000" s="2549"/>
      <c r="H1000" s="2549"/>
      <c r="I1000" s="2549"/>
      <c r="J1000" s="2549"/>
      <c r="K1000" s="2549"/>
      <c r="L1000" s="2549"/>
      <c r="M1000" s="2549"/>
      <c r="N1000" s="2549"/>
      <c r="O1000" s="2549"/>
      <c r="P1000" s="2549"/>
      <c r="Q1000" s="2549"/>
      <c r="R1000" s="2549"/>
      <c r="S1000" s="2549"/>
      <c r="T1000" s="2549"/>
      <c r="U1000" s="2549"/>
      <c r="V1000" s="2549"/>
      <c r="W1000" s="2549"/>
      <c r="X1000" s="2549"/>
      <c r="Y1000" s="2549"/>
      <c r="Z1000" s="2549"/>
      <c r="AA1000" s="2549"/>
      <c r="AB1000" s="2549"/>
      <c r="AC1000" s="2549"/>
      <c r="AD1000" s="2549"/>
      <c r="AE1000" s="2550"/>
      <c r="AF1000" s="2533">
        <f>IF(AG999="yes","Please Select Type and Enter Amount:",0)</f>
        <v>0</v>
      </c>
      <c r="AG1000" s="2534"/>
      <c r="AH1000" s="2534"/>
      <c r="AI1000" s="2535"/>
      <c r="AJ1000" s="2503"/>
      <c r="AK1000" s="2504"/>
      <c r="AL1000" s="2504"/>
      <c r="AM1000" s="2504"/>
      <c r="AN1000" s="2504"/>
      <c r="AO1000" s="2504"/>
      <c r="AP1000" s="2504"/>
      <c r="AQ1000" s="2505"/>
      <c r="AR1000" s="1583"/>
      <c r="AS1000" s="1583"/>
      <c r="AT1000" s="1583"/>
      <c r="AU1000" s="1583"/>
      <c r="AV1000" s="1583"/>
      <c r="AW1000" s="1583"/>
      <c r="AX1000" s="1583"/>
      <c r="AY1000" s="1583"/>
      <c r="BA1000" s="320">
        <f>IF(A1063="Yes",0.04,0)</f>
        <v>0</v>
      </c>
    </row>
    <row r="1001" spans="1:96" ht="12.75" customHeight="1">
      <c r="A1001" s="51"/>
      <c r="B1001" s="119"/>
      <c r="C1001" s="122"/>
      <c r="D1001" s="2448" t="s">
        <v>1538</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33"/>
      <c r="AG1001" s="2534"/>
      <c r="AH1001" s="2534"/>
      <c r="AI1001" s="2535"/>
      <c r="AJ1001" s="2503"/>
      <c r="AK1001" s="2504"/>
      <c r="AL1001" s="2504"/>
      <c r="AM1001" s="2504"/>
      <c r="AN1001" s="2504"/>
      <c r="AO1001" s="2504"/>
      <c r="AP1001" s="2504"/>
      <c r="AQ1001" s="2505"/>
      <c r="AR1001" s="1583"/>
      <c r="AS1001" s="1583"/>
      <c r="AT1001" s="1583"/>
      <c r="AU1001" s="1583"/>
      <c r="AV1001" s="1583"/>
      <c r="AW1001" s="1583"/>
      <c r="AX1001" s="1583"/>
      <c r="AY1001" s="1583"/>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33"/>
      <c r="AG1002" s="2534"/>
      <c r="AH1002" s="2534"/>
      <c r="AI1002" s="2535"/>
      <c r="AJ1002" s="2503"/>
      <c r="AK1002" s="2504"/>
      <c r="AL1002" s="2504"/>
      <c r="AM1002" s="2504"/>
      <c r="AN1002" s="2504"/>
      <c r="AO1002" s="2504"/>
      <c r="AP1002" s="2504"/>
      <c r="AQ1002" s="250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1" t="s">
        <v>625</v>
      </c>
      <c r="K1003" s="2552"/>
      <c r="L1003" s="2552"/>
      <c r="M1003" s="2552"/>
      <c r="N1003" s="2552"/>
      <c r="O1003" s="2552"/>
      <c r="P1003" s="2552"/>
      <c r="Q1003" s="2552"/>
      <c r="R1003" s="2552"/>
      <c r="S1003" s="2552"/>
      <c r="T1003" s="2552"/>
      <c r="U1003" s="2552"/>
      <c r="V1003" s="2552"/>
      <c r="W1003" s="2552"/>
      <c r="X1003" s="2552"/>
      <c r="Y1003" s="2552"/>
      <c r="Z1003" s="2552"/>
      <c r="AA1003" s="2552"/>
      <c r="AB1003" s="2552"/>
      <c r="AC1003" s="2552"/>
      <c r="AD1003" s="2552"/>
      <c r="AE1003" s="2553"/>
      <c r="AF1003" s="2536"/>
      <c r="AG1003" s="2537"/>
      <c r="AH1003" s="2537"/>
      <c r="AI1003" s="2538"/>
      <c r="AJ1003" s="2506"/>
      <c r="AK1003" s="2507"/>
      <c r="AL1003" s="2507"/>
      <c r="AM1003" s="2507"/>
      <c r="AN1003" s="2507"/>
      <c r="AO1003" s="2507"/>
      <c r="AP1003" s="2507"/>
      <c r="AQ1003" s="250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5" t="s">
        <v>1539</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577</v>
      </c>
      <c r="AH1004" s="2458"/>
      <c r="AI1004" s="125"/>
      <c r="AJ1004" s="2500">
        <f>'Sources and Uses Budget'!C85</f>
        <v>10829370</v>
      </c>
      <c r="AK1004" s="2501"/>
      <c r="AL1004" s="2501"/>
      <c r="AM1004" s="2501"/>
      <c r="AN1004" s="2501"/>
      <c r="AO1004" s="2501"/>
      <c r="AP1004" s="2501"/>
      <c r="AQ1004" s="2502"/>
      <c r="AR1004" s="1583"/>
      <c r="AS1004" s="1583"/>
      <c r="AT1004" s="1583"/>
      <c r="AU1004" s="1583"/>
      <c r="AV1004" s="1583"/>
      <c r="AW1004" s="1583"/>
      <c r="AX1004" s="1583"/>
      <c r="AY1004" s="1583"/>
      <c r="BA1004" s="320">
        <f>IF(A1078="Yes",0.02,0)</f>
        <v>0</v>
      </c>
    </row>
    <row r="1005" spans="1:96" ht="12.75" customHeight="1">
      <c r="A1005" s="51"/>
      <c r="B1005" s="110"/>
      <c r="C1005" s="111"/>
      <c r="D1005" s="2448" t="s">
        <v>2178</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39" t="str">
        <f>IF(AG1004="yes","Please Enter Amount:",0)</f>
        <v>Please Enter Amount:</v>
      </c>
      <c r="AG1005" s="2540"/>
      <c r="AH1005" s="2540"/>
      <c r="AI1005" s="2541"/>
      <c r="AJ1005" s="2503"/>
      <c r="AK1005" s="2504"/>
      <c r="AL1005" s="2504"/>
      <c r="AM1005" s="2504"/>
      <c r="AN1005" s="2504"/>
      <c r="AO1005" s="2504"/>
      <c r="AP1005" s="2504"/>
      <c r="AQ1005" s="2505"/>
      <c r="AR1005" s="1583"/>
      <c r="AS1005" s="1583"/>
      <c r="AT1005" s="1583"/>
      <c r="AU1005" s="1583"/>
      <c r="AV1005" s="1583"/>
      <c r="AW1005" s="1583"/>
      <c r="AX1005" s="1583"/>
      <c r="AY1005" s="1583"/>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39"/>
      <c r="AG1006" s="2540"/>
      <c r="AH1006" s="2540"/>
      <c r="AI1006" s="2541"/>
      <c r="AJ1006" s="2503"/>
      <c r="AK1006" s="2504"/>
      <c r="AL1006" s="2504"/>
      <c r="AM1006" s="2504"/>
      <c r="AN1006" s="2504"/>
      <c r="AO1006" s="2504"/>
      <c r="AP1006" s="2504"/>
      <c r="AQ1006" s="2505"/>
      <c r="AR1006" s="1583"/>
      <c r="AS1006" s="1583"/>
      <c r="AT1006" s="1583"/>
      <c r="AU1006" s="1583"/>
      <c r="AV1006" s="1583"/>
      <c r="AW1006" s="1583"/>
      <c r="AX1006" s="1583"/>
      <c r="AY1006" s="1583"/>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42"/>
      <c r="AG1007" s="2543"/>
      <c r="AH1007" s="2543"/>
      <c r="AI1007" s="2544"/>
      <c r="AJ1007" s="2506"/>
      <c r="AK1007" s="2507"/>
      <c r="AL1007" s="2507"/>
      <c r="AM1007" s="2507"/>
      <c r="AN1007" s="2507"/>
      <c r="AO1007" s="2507"/>
      <c r="AP1007" s="2507"/>
      <c r="AQ1007" s="2508"/>
      <c r="AR1007" s="1583"/>
      <c r="AS1007" s="1583"/>
      <c r="AT1007" s="1583"/>
      <c r="AU1007" s="1583"/>
      <c r="AV1007" s="1583"/>
      <c r="AW1007" s="1583"/>
      <c r="AX1007" s="1583"/>
      <c r="AY1007" s="1583"/>
    </row>
    <row r="1008" spans="1:96" s="719" customFormat="1" ht="12.75" customHeight="1">
      <c r="A1008" s="51"/>
      <c r="B1008" s="117"/>
      <c r="C1008" s="118" t="s">
        <v>240</v>
      </c>
      <c r="D1008" s="2497" t="s">
        <v>1540</v>
      </c>
      <c r="E1008" s="2498"/>
      <c r="F1008" s="2498"/>
      <c r="G1008" s="2498"/>
      <c r="H1008" s="2498"/>
      <c r="I1008" s="2498"/>
      <c r="J1008" s="2498"/>
      <c r="K1008" s="2498"/>
      <c r="L1008" s="2498"/>
      <c r="M1008" s="2498"/>
      <c r="N1008" s="2498"/>
      <c r="O1008" s="2498"/>
      <c r="P1008" s="2498"/>
      <c r="Q1008" s="2498"/>
      <c r="R1008" s="2498"/>
      <c r="S1008" s="2498"/>
      <c r="T1008" s="2498"/>
      <c r="U1008" s="2498"/>
      <c r="V1008" s="2498"/>
      <c r="W1008" s="2498"/>
      <c r="X1008" s="2498"/>
      <c r="Y1008" s="2498"/>
      <c r="Z1008" s="2498"/>
      <c r="AA1008" s="2498"/>
      <c r="AB1008" s="2498"/>
      <c r="AC1008" s="2498"/>
      <c r="AD1008" s="2498"/>
      <c r="AE1008" s="2499"/>
      <c r="AF1008" s="117"/>
      <c r="AG1008" s="2457" t="s">
        <v>705</v>
      </c>
      <c r="AH1008" s="2458"/>
      <c r="AI1008" s="125"/>
      <c r="AJ1008" s="2486">
        <f>ROUND(IF(AG1008="yes",(AJ975*0.1),0),0)</f>
        <v>0</v>
      </c>
      <c r="AK1008" s="2487"/>
      <c r="AL1008" s="2487"/>
      <c r="AM1008" s="2487"/>
      <c r="AN1008" s="2487"/>
      <c r="AO1008" s="2487"/>
      <c r="AP1008" s="2487"/>
      <c r="AQ1008" s="2488"/>
      <c r="AR1008" s="1583"/>
      <c r="AS1008" s="1583"/>
      <c r="AT1008" s="1583"/>
      <c r="AU1008" s="1583"/>
      <c r="AV1008" s="1583"/>
      <c r="AW1008" s="1583"/>
      <c r="AX1008" s="1583"/>
      <c r="AY1008" s="1583"/>
      <c r="CR1008" s="25"/>
    </row>
    <row r="1009" spans="1:96" ht="12.75" customHeight="1">
      <c r="A1009" s="51"/>
      <c r="B1009" s="110"/>
      <c r="C1009" s="111"/>
      <c r="D1009" s="2448" t="s">
        <v>1541</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9"/>
      <c r="AK1009" s="2142"/>
      <c r="AL1009" s="2142"/>
      <c r="AM1009" s="2142"/>
      <c r="AN1009" s="2142"/>
      <c r="AO1009" s="2142"/>
      <c r="AP1009" s="2142"/>
      <c r="AQ1009" s="2490"/>
      <c r="AR1009" s="1583"/>
      <c r="AS1009" s="1583"/>
      <c r="AT1009" s="1583"/>
      <c r="AU1009" s="1583"/>
      <c r="AV1009" s="1583"/>
      <c r="AW1009" s="1583"/>
      <c r="AX1009" s="1583"/>
      <c r="AY1009" s="1583"/>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91"/>
      <c r="AK1010" s="2492"/>
      <c r="AL1010" s="2492"/>
      <c r="AM1010" s="2492"/>
      <c r="AN1010" s="2492"/>
      <c r="AO1010" s="2492"/>
      <c r="AP1010" s="2492"/>
      <c r="AQ1010" s="2493"/>
      <c r="AR1010" s="1583"/>
      <c r="AS1010" s="1583"/>
      <c r="AT1010" s="1583"/>
      <c r="AU1010" s="1583"/>
      <c r="AV1010" s="1583"/>
      <c r="AW1010" s="1583"/>
      <c r="AX1010" s="1583"/>
      <c r="AY1010" s="1583"/>
    </row>
    <row r="1011" spans="1:96" s="719" customFormat="1" ht="12.75" customHeight="1">
      <c r="A1011" s="51"/>
      <c r="B1011" s="110"/>
      <c r="C1011" s="531" t="s">
        <v>724</v>
      </c>
      <c r="D1011" s="2445" t="s">
        <v>2174</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705</v>
      </c>
      <c r="AH1011" s="2458"/>
      <c r="AI1011" s="125"/>
      <c r="AJ1011" s="2486">
        <f>ROUND(IF(AG1011="yes",(AJ975*0.15),0),0)</f>
        <v>0</v>
      </c>
      <c r="AK1011" s="2487"/>
      <c r="AL1011" s="2487"/>
      <c r="AM1011" s="2487"/>
      <c r="AN1011" s="2487"/>
      <c r="AO1011" s="2487"/>
      <c r="AP1011" s="2487"/>
      <c r="AQ1011" s="2488"/>
      <c r="AR1011" s="1583"/>
      <c r="AS1011" s="1583"/>
      <c r="AT1011" s="1583"/>
      <c r="AU1011" s="1583"/>
      <c r="AV1011" s="1583"/>
      <c r="AW1011" s="1583"/>
      <c r="AX1011" s="1583"/>
      <c r="AY1011" s="1583"/>
      <c r="CR1011" s="25"/>
    </row>
    <row r="1012" spans="1:96" s="719" customFormat="1" ht="12.75" customHeight="1">
      <c r="A1012" s="51"/>
      <c r="B1012" s="110"/>
      <c r="C1012" s="111"/>
      <c r="D1012" s="2480" t="s">
        <v>2175</v>
      </c>
      <c r="E1012" s="2481"/>
      <c r="F1012" s="2481"/>
      <c r="G1012" s="2481"/>
      <c r="H1012" s="2481"/>
      <c r="I1012" s="2481"/>
      <c r="J1012" s="2481"/>
      <c r="K1012" s="2481"/>
      <c r="L1012" s="2481"/>
      <c r="M1012" s="2481"/>
      <c r="N1012" s="2481"/>
      <c r="O1012" s="2481"/>
      <c r="P1012" s="2481"/>
      <c r="Q1012" s="2481"/>
      <c r="R1012" s="2481"/>
      <c r="S1012" s="2481"/>
      <c r="T1012" s="2481"/>
      <c r="U1012" s="2481"/>
      <c r="V1012" s="2481"/>
      <c r="W1012" s="2481"/>
      <c r="X1012" s="2481"/>
      <c r="Y1012" s="2481"/>
      <c r="Z1012" s="2481"/>
      <c r="AA1012" s="2481"/>
      <c r="AB1012" s="2481"/>
      <c r="AC1012" s="2481"/>
      <c r="AD1012" s="2481"/>
      <c r="AE1012" s="2482"/>
      <c r="AF1012" s="1613"/>
      <c r="AG1012" s="1614"/>
      <c r="AH1012" s="1614"/>
      <c r="AI1012" s="1615"/>
      <c r="AJ1012" s="2489"/>
      <c r="AK1012" s="2142"/>
      <c r="AL1012" s="2142"/>
      <c r="AM1012" s="2142"/>
      <c r="AN1012" s="2142"/>
      <c r="AO1012" s="2142"/>
      <c r="AP1012" s="2142"/>
      <c r="AQ1012" s="2490"/>
      <c r="AR1012" s="1583"/>
      <c r="AS1012" s="1583"/>
      <c r="AT1012" s="1583"/>
      <c r="AU1012" s="1583"/>
      <c r="AV1012" s="1583"/>
      <c r="AW1012" s="1583"/>
      <c r="AX1012" s="1583"/>
      <c r="AY1012" s="1583"/>
      <c r="CR1012" s="25"/>
    </row>
    <row r="1013" spans="1:96" s="719" customFormat="1" ht="12.75" customHeight="1">
      <c r="A1013" s="51"/>
      <c r="B1013" s="110"/>
      <c r="C1013" s="111"/>
      <c r="D1013" s="2480"/>
      <c r="E1013" s="2481"/>
      <c r="F1013" s="2481"/>
      <c r="G1013" s="2481"/>
      <c r="H1013" s="2481"/>
      <c r="I1013" s="2481"/>
      <c r="J1013" s="2481"/>
      <c r="K1013" s="2481"/>
      <c r="L1013" s="2481"/>
      <c r="M1013" s="2481"/>
      <c r="N1013" s="2481"/>
      <c r="O1013" s="2481"/>
      <c r="P1013" s="2481"/>
      <c r="Q1013" s="2481"/>
      <c r="R1013" s="2481"/>
      <c r="S1013" s="2481"/>
      <c r="T1013" s="2481"/>
      <c r="U1013" s="2481"/>
      <c r="V1013" s="2481"/>
      <c r="W1013" s="2481"/>
      <c r="X1013" s="2481"/>
      <c r="Y1013" s="2481"/>
      <c r="Z1013" s="2481"/>
      <c r="AA1013" s="2481"/>
      <c r="AB1013" s="2481"/>
      <c r="AC1013" s="2481"/>
      <c r="AD1013" s="2481"/>
      <c r="AE1013" s="2482"/>
      <c r="AF1013" s="1613"/>
      <c r="AG1013" s="1614"/>
      <c r="AH1013" s="1614"/>
      <c r="AI1013" s="1615"/>
      <c r="AJ1013" s="2489"/>
      <c r="AK1013" s="2142"/>
      <c r="AL1013" s="2142"/>
      <c r="AM1013" s="2142"/>
      <c r="AN1013" s="2142"/>
      <c r="AO1013" s="2142"/>
      <c r="AP1013" s="2142"/>
      <c r="AQ1013" s="2490"/>
      <c r="AR1013" s="1583"/>
      <c r="AS1013" s="1583"/>
      <c r="AT1013" s="1583"/>
      <c r="AU1013" s="1583"/>
      <c r="AV1013" s="1583"/>
      <c r="AW1013" s="1583"/>
      <c r="AX1013" s="1583"/>
      <c r="AY1013" s="1583"/>
      <c r="CR1013" s="25"/>
    </row>
    <row r="1014" spans="1:96" s="719" customFormat="1" ht="12.75" customHeight="1">
      <c r="A1014" s="51"/>
      <c r="B1014" s="110"/>
      <c r="C1014" s="111"/>
      <c r="D1014" s="2483"/>
      <c r="E1014" s="2484"/>
      <c r="F1014" s="2484"/>
      <c r="G1014" s="2484"/>
      <c r="H1014" s="2484"/>
      <c r="I1014" s="2484"/>
      <c r="J1014" s="2484"/>
      <c r="K1014" s="2484"/>
      <c r="L1014" s="2484"/>
      <c r="M1014" s="2484"/>
      <c r="N1014" s="2484"/>
      <c r="O1014" s="2484"/>
      <c r="P1014" s="2484"/>
      <c r="Q1014" s="2484"/>
      <c r="R1014" s="2484"/>
      <c r="S1014" s="2484"/>
      <c r="T1014" s="2484"/>
      <c r="U1014" s="2484"/>
      <c r="V1014" s="2484"/>
      <c r="W1014" s="2484"/>
      <c r="X1014" s="2484"/>
      <c r="Y1014" s="2484"/>
      <c r="Z1014" s="2484"/>
      <c r="AA1014" s="2484"/>
      <c r="AB1014" s="2484"/>
      <c r="AC1014" s="2484"/>
      <c r="AD1014" s="2484"/>
      <c r="AE1014" s="2485"/>
      <c r="AF1014" s="1616"/>
      <c r="AG1014" s="1617"/>
      <c r="AH1014" s="1617"/>
      <c r="AI1014" s="1618"/>
      <c r="AJ1014" s="2491"/>
      <c r="AK1014" s="2492"/>
      <c r="AL1014" s="2492"/>
      <c r="AM1014" s="2492"/>
      <c r="AN1014" s="2492"/>
      <c r="AO1014" s="2492"/>
      <c r="AP1014" s="2492"/>
      <c r="AQ1014" s="2493"/>
      <c r="AR1014" s="1583"/>
      <c r="AS1014" s="1583"/>
      <c r="AT1014" s="1583"/>
      <c r="AU1014" s="1583"/>
      <c r="AV1014" s="1583"/>
      <c r="AW1014" s="1583"/>
      <c r="AX1014" s="1583"/>
      <c r="AY1014" s="1583"/>
      <c r="CR1014" s="25"/>
    </row>
    <row r="1015" spans="1:96" s="719" customFormat="1" ht="12.75" customHeight="1">
      <c r="A1015" s="51"/>
      <c r="B1015" s="110"/>
      <c r="C1015" s="531" t="s">
        <v>724</v>
      </c>
      <c r="D1015" s="2497" t="s">
        <v>2176</v>
      </c>
      <c r="E1015" s="2498"/>
      <c r="F1015" s="2498"/>
      <c r="G1015" s="2498"/>
      <c r="H1015" s="2498"/>
      <c r="I1015" s="2498"/>
      <c r="J1015" s="2498"/>
      <c r="K1015" s="2498"/>
      <c r="L1015" s="2498"/>
      <c r="M1015" s="2498"/>
      <c r="N1015" s="2498"/>
      <c r="O1015" s="2498"/>
      <c r="P1015" s="2498"/>
      <c r="Q1015" s="2498"/>
      <c r="R1015" s="2498"/>
      <c r="S1015" s="2498"/>
      <c r="T1015" s="2498"/>
      <c r="U1015" s="2498"/>
      <c r="V1015" s="2498"/>
      <c r="W1015" s="2498"/>
      <c r="X1015" s="2498"/>
      <c r="Y1015" s="2498"/>
      <c r="Z1015" s="2498"/>
      <c r="AA1015" s="2498"/>
      <c r="AB1015" s="2498"/>
      <c r="AC1015" s="2498"/>
      <c r="AD1015" s="2498"/>
      <c r="AE1015" s="2499"/>
      <c r="AF1015" s="110"/>
      <c r="AG1015" s="2459" t="s">
        <v>705</v>
      </c>
      <c r="AH1015" s="2460"/>
      <c r="AI1015" s="121"/>
      <c r="AJ1015" s="2486">
        <f>ROUND(IF(AG1015="yes",(AJ975*0.1),0),0)</f>
        <v>0</v>
      </c>
      <c r="AK1015" s="2487"/>
      <c r="AL1015" s="2487"/>
      <c r="AM1015" s="2487"/>
      <c r="AN1015" s="2487"/>
      <c r="AO1015" s="2487"/>
      <c r="AP1015" s="2487"/>
      <c r="AQ1015" s="2488"/>
      <c r="AR1015" s="1583"/>
      <c r="AS1015" s="1583"/>
      <c r="AT1015" s="1583"/>
      <c r="AU1015" s="1583"/>
      <c r="AV1015" s="1583"/>
      <c r="AW1015" s="1583"/>
      <c r="AX1015" s="1583"/>
      <c r="AY1015" s="1583"/>
      <c r="CR1015" s="25"/>
    </row>
    <row r="1016" spans="1:96" s="719" customFormat="1" ht="12.75" customHeight="1">
      <c r="A1016" s="51"/>
      <c r="B1016" s="110"/>
      <c r="C1016" s="111"/>
      <c r="D1016" s="2480" t="s">
        <v>2177</v>
      </c>
      <c r="E1016" s="2481"/>
      <c r="F1016" s="2481"/>
      <c r="G1016" s="2481"/>
      <c r="H1016" s="2481"/>
      <c r="I1016" s="2481"/>
      <c r="J1016" s="2481"/>
      <c r="K1016" s="2481"/>
      <c r="L1016" s="2481"/>
      <c r="M1016" s="2481"/>
      <c r="N1016" s="2481"/>
      <c r="O1016" s="2481"/>
      <c r="P1016" s="2481"/>
      <c r="Q1016" s="2481"/>
      <c r="R1016" s="2481"/>
      <c r="S1016" s="2481"/>
      <c r="T1016" s="2481"/>
      <c r="U1016" s="2481"/>
      <c r="V1016" s="2481"/>
      <c r="W1016" s="2481"/>
      <c r="X1016" s="2481"/>
      <c r="Y1016" s="2481"/>
      <c r="Z1016" s="2481"/>
      <c r="AA1016" s="2481"/>
      <c r="AB1016" s="2481"/>
      <c r="AC1016" s="2481"/>
      <c r="AD1016" s="2481"/>
      <c r="AE1016" s="2482"/>
      <c r="AF1016" s="110"/>
      <c r="AG1016" s="112"/>
      <c r="AH1016" s="112"/>
      <c r="AI1016" s="121"/>
      <c r="AJ1016" s="2489"/>
      <c r="AK1016" s="2142"/>
      <c r="AL1016" s="2142"/>
      <c r="AM1016" s="2142"/>
      <c r="AN1016" s="2142"/>
      <c r="AO1016" s="2142"/>
      <c r="AP1016" s="2142"/>
      <c r="AQ1016" s="2490"/>
      <c r="AR1016" s="1583"/>
      <c r="AS1016" s="1583"/>
      <c r="AT1016" s="1583"/>
      <c r="AU1016" s="1583"/>
      <c r="AV1016" s="1583"/>
      <c r="AW1016" s="1583"/>
      <c r="AX1016" s="1583"/>
      <c r="AY1016" s="1583"/>
      <c r="CR1016" s="25"/>
    </row>
    <row r="1017" spans="1:96" s="719" customFormat="1" ht="12.75" customHeight="1">
      <c r="A1017" s="51"/>
      <c r="B1017" s="110"/>
      <c r="C1017" s="111"/>
      <c r="D1017" s="2480"/>
      <c r="E1017" s="2481"/>
      <c r="F1017" s="2481"/>
      <c r="G1017" s="2481"/>
      <c r="H1017" s="2481"/>
      <c r="I1017" s="2481"/>
      <c r="J1017" s="2481"/>
      <c r="K1017" s="2481"/>
      <c r="L1017" s="2481"/>
      <c r="M1017" s="2481"/>
      <c r="N1017" s="2481"/>
      <c r="O1017" s="2481"/>
      <c r="P1017" s="2481"/>
      <c r="Q1017" s="2481"/>
      <c r="R1017" s="2481"/>
      <c r="S1017" s="2481"/>
      <c r="T1017" s="2481"/>
      <c r="U1017" s="2481"/>
      <c r="V1017" s="2481"/>
      <c r="W1017" s="2481"/>
      <c r="X1017" s="2481"/>
      <c r="Y1017" s="2481"/>
      <c r="Z1017" s="2481"/>
      <c r="AA1017" s="2481"/>
      <c r="AB1017" s="2481"/>
      <c r="AC1017" s="2481"/>
      <c r="AD1017" s="2481"/>
      <c r="AE1017" s="2482"/>
      <c r="AF1017" s="110"/>
      <c r="AG1017" s="112"/>
      <c r="AH1017" s="112"/>
      <c r="AI1017" s="121"/>
      <c r="AJ1017" s="2489"/>
      <c r="AK1017" s="2142"/>
      <c r="AL1017" s="2142"/>
      <c r="AM1017" s="2142"/>
      <c r="AN1017" s="2142"/>
      <c r="AO1017" s="2142"/>
      <c r="AP1017" s="2142"/>
      <c r="AQ1017" s="2490"/>
      <c r="AR1017" s="1583"/>
      <c r="AS1017" s="1583"/>
      <c r="AT1017" s="1583"/>
      <c r="AU1017" s="1583"/>
      <c r="AV1017" s="1583"/>
      <c r="AW1017" s="1583"/>
      <c r="AX1017" s="1583"/>
      <c r="AY1017" s="1583"/>
      <c r="CR1017" s="25"/>
    </row>
    <row r="1018" spans="1:96" s="719" customFormat="1" ht="12.75" customHeight="1">
      <c r="A1018" s="51"/>
      <c r="B1018" s="110"/>
      <c r="C1018" s="111"/>
      <c r="D1018" s="2480"/>
      <c r="E1018" s="2481"/>
      <c r="F1018" s="2481"/>
      <c r="G1018" s="2481"/>
      <c r="H1018" s="2481"/>
      <c r="I1018" s="2481"/>
      <c r="J1018" s="2481"/>
      <c r="K1018" s="2481"/>
      <c r="L1018" s="2481"/>
      <c r="M1018" s="2481"/>
      <c r="N1018" s="2481"/>
      <c r="O1018" s="2481"/>
      <c r="P1018" s="2481"/>
      <c r="Q1018" s="2481"/>
      <c r="R1018" s="2481"/>
      <c r="S1018" s="2481"/>
      <c r="T1018" s="2481"/>
      <c r="U1018" s="2481"/>
      <c r="V1018" s="2481"/>
      <c r="W1018" s="2481"/>
      <c r="X1018" s="2481"/>
      <c r="Y1018" s="2481"/>
      <c r="Z1018" s="2481"/>
      <c r="AA1018" s="2481"/>
      <c r="AB1018" s="2481"/>
      <c r="AC1018" s="2481"/>
      <c r="AD1018" s="2481"/>
      <c r="AE1018" s="2482"/>
      <c r="AF1018" s="110"/>
      <c r="AG1018" s="112"/>
      <c r="AH1018" s="112"/>
      <c r="AI1018" s="121"/>
      <c r="AJ1018" s="2489"/>
      <c r="AK1018" s="2142"/>
      <c r="AL1018" s="2142"/>
      <c r="AM1018" s="2142"/>
      <c r="AN1018" s="2142"/>
      <c r="AO1018" s="2142"/>
      <c r="AP1018" s="2142"/>
      <c r="AQ1018" s="2490"/>
      <c r="AR1018" s="1583"/>
      <c r="AS1018" s="1583"/>
      <c r="AT1018" s="1583"/>
      <c r="AU1018" s="1583"/>
      <c r="AV1018" s="1583"/>
      <c r="AW1018" s="1583"/>
      <c r="AX1018" s="1583"/>
      <c r="AY1018" s="1583"/>
      <c r="CR1018" s="25"/>
    </row>
    <row r="1019" spans="1:96" s="719" customFormat="1" ht="12.75" customHeight="1">
      <c r="A1019" s="51"/>
      <c r="B1019" s="110"/>
      <c r="C1019" s="111"/>
      <c r="D1019" s="2483"/>
      <c r="E1019" s="2484"/>
      <c r="F1019" s="2484"/>
      <c r="G1019" s="2484"/>
      <c r="H1019" s="2484"/>
      <c r="I1019" s="2484"/>
      <c r="J1019" s="2484"/>
      <c r="K1019" s="2484"/>
      <c r="L1019" s="2484"/>
      <c r="M1019" s="2484"/>
      <c r="N1019" s="2484"/>
      <c r="O1019" s="2484"/>
      <c r="P1019" s="2484"/>
      <c r="Q1019" s="2484"/>
      <c r="R1019" s="2484"/>
      <c r="S1019" s="2484"/>
      <c r="T1019" s="2484"/>
      <c r="U1019" s="2484"/>
      <c r="V1019" s="2484"/>
      <c r="W1019" s="2484"/>
      <c r="X1019" s="2484"/>
      <c r="Y1019" s="2484"/>
      <c r="Z1019" s="2484"/>
      <c r="AA1019" s="2484"/>
      <c r="AB1019" s="2484"/>
      <c r="AC1019" s="2484"/>
      <c r="AD1019" s="2484"/>
      <c r="AE1019" s="2485"/>
      <c r="AF1019" s="110"/>
      <c r="AG1019" s="112"/>
      <c r="AH1019" s="112"/>
      <c r="AI1019" s="121"/>
      <c r="AJ1019" s="2489"/>
      <c r="AK1019" s="2142"/>
      <c r="AL1019" s="2142"/>
      <c r="AM1019" s="2142"/>
      <c r="AN1019" s="2142"/>
      <c r="AO1019" s="2142"/>
      <c r="AP1019" s="2142"/>
      <c r="AQ1019" s="2490"/>
      <c r="AR1019" s="1583"/>
      <c r="AS1019" s="1583"/>
      <c r="AT1019" s="1583"/>
      <c r="AU1019" s="1583"/>
      <c r="AV1019" s="1583"/>
      <c r="AW1019" s="1583"/>
      <c r="AX1019" s="1583"/>
      <c r="AY1019" s="1583"/>
      <c r="CR1019" s="25"/>
    </row>
    <row r="1020" spans="1:96" s="719" customFormat="1" ht="12.75" customHeight="1">
      <c r="A1020" s="51"/>
      <c r="B1020" s="117"/>
      <c r="C1020" s="198" t="s">
        <v>1116</v>
      </c>
      <c r="D1020" s="2445" t="s">
        <v>1542</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577</v>
      </c>
      <c r="AH1020" s="2458"/>
      <c r="AI1020" s="125"/>
      <c r="AJ1020" s="2486">
        <f>ROUND(IF(AG1020="yes",(AJ975*0.1),0),0)</f>
        <v>11455236</v>
      </c>
      <c r="AK1020" s="2487"/>
      <c r="AL1020" s="2487"/>
      <c r="AM1020" s="2487"/>
      <c r="AN1020" s="2487"/>
      <c r="AO1020" s="2487"/>
      <c r="AP1020" s="2487"/>
      <c r="AQ1020" s="2488"/>
      <c r="AR1020" s="1583"/>
      <c r="AS1020" s="1583"/>
      <c r="AT1020" s="1583"/>
      <c r="AU1020" s="1583"/>
      <c r="AV1020" s="1583"/>
      <c r="AW1020" s="1583"/>
      <c r="AX1020" s="1583"/>
      <c r="AY1020" s="1583"/>
      <c r="CR1020" s="25"/>
    </row>
    <row r="1021" spans="1:96" ht="12.75" customHeight="1">
      <c r="A1021" s="51"/>
      <c r="B1021" s="110"/>
      <c r="C1021" s="111"/>
      <c r="D1021" s="2448" t="s">
        <v>1543</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9"/>
      <c r="AK1021" s="2142"/>
      <c r="AL1021" s="2142"/>
      <c r="AM1021" s="2142"/>
      <c r="AN1021" s="2142"/>
      <c r="AO1021" s="2142"/>
      <c r="AP1021" s="2142"/>
      <c r="AQ1021" s="2490"/>
      <c r="AR1021" s="1583"/>
      <c r="AS1021" s="1583"/>
      <c r="AT1021" s="1583"/>
      <c r="AU1021" s="1583"/>
      <c r="AV1021" s="1583"/>
      <c r="AW1021" s="1583"/>
      <c r="AX1021" s="1583"/>
      <c r="AY1021" s="1583"/>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9"/>
      <c r="AK1022" s="2142"/>
      <c r="AL1022" s="2142"/>
      <c r="AM1022" s="2142"/>
      <c r="AN1022" s="2142"/>
      <c r="AO1022" s="2142"/>
      <c r="AP1022" s="2142"/>
      <c r="AQ1022" s="2490"/>
      <c r="AR1022" s="1583"/>
      <c r="AS1022" s="1583"/>
      <c r="AT1022" s="1583"/>
      <c r="AU1022" s="1583"/>
      <c r="AV1022" s="1583"/>
      <c r="AW1022" s="1583"/>
      <c r="AX1022" s="1583"/>
      <c r="AY1022" s="1583"/>
    </row>
    <row r="1023" spans="1:96" s="682"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91"/>
      <c r="AK1023" s="2492"/>
      <c r="AL1023" s="2492"/>
      <c r="AM1023" s="2492"/>
      <c r="AN1023" s="2492"/>
      <c r="AO1023" s="2492"/>
      <c r="AP1023" s="2492"/>
      <c r="AQ1023" s="2493"/>
      <c r="AR1023" s="1583"/>
      <c r="AS1023" s="1583"/>
      <c r="AT1023" s="1583"/>
      <c r="AU1023" s="1583"/>
      <c r="AV1023" s="1583"/>
      <c r="AW1023" s="1583"/>
      <c r="AX1023" s="1583"/>
      <c r="AY1023" s="1583"/>
      <c r="CR1023" s="25"/>
    </row>
    <row r="1024" spans="1:96" ht="12.75" customHeight="1">
      <c r="A1024" s="51"/>
      <c r="B1024" s="117"/>
      <c r="C1024" s="198" t="s">
        <v>2172</v>
      </c>
      <c r="D1024" s="2497" t="s">
        <v>2393</v>
      </c>
      <c r="E1024" s="2498"/>
      <c r="F1024" s="2498"/>
      <c r="G1024" s="2498"/>
      <c r="H1024" s="2498"/>
      <c r="I1024" s="2498"/>
      <c r="J1024" s="2498"/>
      <c r="K1024" s="2498"/>
      <c r="L1024" s="2498"/>
      <c r="M1024" s="2498"/>
      <c r="N1024" s="2498"/>
      <c r="O1024" s="2498"/>
      <c r="P1024" s="2498"/>
      <c r="Q1024" s="2498"/>
      <c r="R1024" s="2498"/>
      <c r="S1024" s="2498"/>
      <c r="T1024" s="2498"/>
      <c r="U1024" s="2498"/>
      <c r="V1024" s="2498"/>
      <c r="W1024" s="2498"/>
      <c r="X1024" s="2498"/>
      <c r="Y1024" s="2498"/>
      <c r="Z1024" s="2498"/>
      <c r="AA1024" s="2498"/>
      <c r="AB1024" s="2498"/>
      <c r="AC1024" s="2498"/>
      <c r="AD1024" s="2498"/>
      <c r="AE1024" s="2499"/>
      <c r="AF1024" s="117"/>
      <c r="AG1024" s="2455" t="str">
        <f>IF(X1027&gt;0,"Yes","No")</f>
        <v>Yes</v>
      </c>
      <c r="AH1024" s="2456"/>
      <c r="AI1024" s="125"/>
      <c r="AJ1024" s="2468">
        <f>IF((X1027=0),0,BA989*AJ975)</f>
        <v>24055995.599999998</v>
      </c>
      <c r="AK1024" s="2469"/>
      <c r="AL1024" s="2469"/>
      <c r="AM1024" s="2469"/>
      <c r="AN1024" s="2469"/>
      <c r="AO1024" s="2469"/>
      <c r="AP1024" s="2469"/>
      <c r="AQ1024" s="2470"/>
      <c r="AR1024" s="1583"/>
      <c r="AS1024" s="1583"/>
      <c r="AT1024" s="1583"/>
      <c r="AU1024" s="1583"/>
      <c r="AV1024" s="1583"/>
      <c r="AW1024" s="1583"/>
      <c r="AX1024" s="1583"/>
      <c r="AY1024" s="1583"/>
    </row>
    <row r="1025" spans="1:96" ht="12.75" customHeight="1">
      <c r="A1025" s="51"/>
      <c r="B1025" s="110"/>
      <c r="C1025" s="702"/>
      <c r="D1025" s="2448" t="s">
        <v>1545</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3"/>
      <c r="AH1025" s="703"/>
      <c r="AI1025" s="121"/>
      <c r="AJ1025" s="2471"/>
      <c r="AK1025" s="2472"/>
      <c r="AL1025" s="2472"/>
      <c r="AM1025" s="2472"/>
      <c r="AN1025" s="2472"/>
      <c r="AO1025" s="2472"/>
      <c r="AP1025" s="2472"/>
      <c r="AQ1025" s="2473"/>
      <c r="AR1025" s="1583"/>
      <c r="AS1025" s="1583"/>
      <c r="AT1025" s="1583"/>
      <c r="AU1025" s="1583"/>
      <c r="AV1025" s="1583"/>
      <c r="AW1025" s="1583"/>
      <c r="AX1025" s="1583"/>
      <c r="AY1025" s="1583"/>
    </row>
    <row r="1026" spans="1:96" ht="12.75" customHeight="1">
      <c r="A1026" s="51"/>
      <c r="B1026" s="110"/>
      <c r="C1026" s="702"/>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3"/>
      <c r="AH1026" s="703"/>
      <c r="AI1026" s="121"/>
      <c r="AJ1026" s="2471"/>
      <c r="AK1026" s="2472"/>
      <c r="AL1026" s="2472"/>
      <c r="AM1026" s="2472"/>
      <c r="AN1026" s="2472"/>
      <c r="AO1026" s="2472"/>
      <c r="AP1026" s="2472"/>
      <c r="AQ1026" s="2473"/>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3">
        <f>BA987</f>
        <v>285</v>
      </c>
      <c r="J1027" s="2454"/>
      <c r="K1027" s="11"/>
      <c r="L1027" s="200"/>
      <c r="M1027" s="200"/>
      <c r="N1027" s="200"/>
      <c r="O1027" s="200"/>
      <c r="P1027" s="200"/>
      <c r="Q1027" s="200"/>
      <c r="R1027" s="200"/>
      <c r="S1027" s="200"/>
      <c r="T1027" s="200"/>
      <c r="U1027" s="200"/>
      <c r="V1027" s="201" t="s">
        <v>1051</v>
      </c>
      <c r="W1027" s="80"/>
      <c r="X1027" s="2451">
        <f>BG635</f>
        <v>60</v>
      </c>
      <c r="Y1027" s="2452"/>
      <c r="Z1027" s="80"/>
      <c r="AA1027" s="80"/>
      <c r="AB1027" s="80"/>
      <c r="AC1027" s="80"/>
      <c r="AD1027" s="80"/>
      <c r="AE1027" s="81"/>
      <c r="AF1027" s="1622"/>
      <c r="AG1027" s="1623"/>
      <c r="AH1027" s="1623"/>
      <c r="AI1027" s="1624"/>
      <c r="AJ1027" s="2474"/>
      <c r="AK1027" s="2475"/>
      <c r="AL1027" s="2475"/>
      <c r="AM1027" s="2475"/>
      <c r="AN1027" s="2475"/>
      <c r="AO1027" s="2475"/>
      <c r="AP1027" s="2475"/>
      <c r="AQ1027" s="2476"/>
      <c r="AR1027" s="1583"/>
      <c r="AS1027" s="1583"/>
      <c r="AT1027" s="1583"/>
      <c r="AU1027" s="1583"/>
      <c r="AV1027" s="1583"/>
      <c r="AW1027" s="1583"/>
      <c r="AX1027" s="1583"/>
      <c r="AY1027" s="1583"/>
      <c r="CR1027" s="25"/>
    </row>
    <row r="1028" spans="1:96" ht="12.75" customHeight="1">
      <c r="A1028" s="51"/>
      <c r="B1028" s="117"/>
      <c r="C1028" s="198" t="s">
        <v>2173</v>
      </c>
      <c r="D1028" s="2445" t="s">
        <v>2394</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8">
        <f>IF((X1031=0),0,(2*BA990)*AJ975)</f>
        <v>22910472</v>
      </c>
      <c r="AK1028" s="2469"/>
      <c r="AL1028" s="2469"/>
      <c r="AM1028" s="2469"/>
      <c r="AN1028" s="2469"/>
      <c r="AO1028" s="2469"/>
      <c r="AP1028" s="2469"/>
      <c r="AQ1028" s="2470"/>
      <c r="AR1028" s="1583"/>
      <c r="AS1028" s="1583"/>
      <c r="AT1028" s="1583"/>
      <c r="AU1028" s="1583"/>
      <c r="AV1028" s="1583"/>
      <c r="AW1028" s="1583"/>
      <c r="AX1028" s="1583"/>
      <c r="AY1028" s="1583"/>
    </row>
    <row r="1029" spans="1:96" ht="12.75" customHeight="1">
      <c r="A1029" s="51"/>
      <c r="B1029" s="110"/>
      <c r="C1029" s="702"/>
      <c r="D1029" s="2448" t="s">
        <v>1544</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3"/>
      <c r="AH1029" s="703"/>
      <c r="AI1029" s="121"/>
      <c r="AJ1029" s="2471"/>
      <c r="AK1029" s="2472"/>
      <c r="AL1029" s="2472"/>
      <c r="AM1029" s="2472"/>
      <c r="AN1029" s="2472"/>
      <c r="AO1029" s="2472"/>
      <c r="AP1029" s="2472"/>
      <c r="AQ1029" s="2473"/>
      <c r="AR1029" s="1583"/>
      <c r="AS1029" s="1583"/>
      <c r="AT1029" s="1583"/>
      <c r="AU1029" s="1583"/>
      <c r="AV1029" s="1583"/>
      <c r="AW1029" s="1583"/>
      <c r="AX1029" s="1583"/>
      <c r="AY1029" s="1583"/>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19"/>
      <c r="AG1030" s="1620"/>
      <c r="AH1030" s="1620"/>
      <c r="AI1030" s="1621"/>
      <c r="AJ1030" s="2471"/>
      <c r="AK1030" s="2472"/>
      <c r="AL1030" s="2472"/>
      <c r="AM1030" s="2472"/>
      <c r="AN1030" s="2472"/>
      <c r="AO1030" s="2472"/>
      <c r="AP1030" s="2472"/>
      <c r="AQ1030" s="2473"/>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3">
        <f>BA987</f>
        <v>285</v>
      </c>
      <c r="J1031" s="2454"/>
      <c r="K1031" s="51"/>
      <c r="L1031" s="200"/>
      <c r="M1031" s="200"/>
      <c r="N1031" s="200"/>
      <c r="O1031" s="200"/>
      <c r="P1031" s="200"/>
      <c r="Q1031" s="200"/>
      <c r="R1031" s="200"/>
      <c r="S1031" s="200"/>
      <c r="T1031" s="200"/>
      <c r="U1031" s="200"/>
      <c r="V1031" s="201" t="s">
        <v>1052</v>
      </c>
      <c r="X1031" s="2451">
        <f>BK635</f>
        <v>29</v>
      </c>
      <c r="Y1031" s="2452"/>
      <c r="AF1031" s="1622"/>
      <c r="AG1031" s="1623"/>
      <c r="AH1031" s="1623"/>
      <c r="AI1031" s="1624"/>
      <c r="AJ1031" s="2474"/>
      <c r="AK1031" s="2475"/>
      <c r="AL1031" s="2475"/>
      <c r="AM1031" s="2475"/>
      <c r="AN1031" s="2475"/>
      <c r="AO1031" s="2475"/>
      <c r="AP1031" s="2475"/>
      <c r="AQ1031" s="2476"/>
      <c r="AR1031" s="1583"/>
      <c r="AS1031" s="1583"/>
      <c r="AT1031" s="1583"/>
      <c r="AU1031" s="1583"/>
      <c r="AV1031" s="1583"/>
      <c r="AW1031" s="1583"/>
      <c r="AX1031" s="1583"/>
      <c r="AY1031" s="1583"/>
      <c r="CR1031" s="25"/>
    </row>
    <row r="1032" spans="1:96" ht="12.75" customHeight="1">
      <c r="A1032" s="51"/>
      <c r="B1032" s="158"/>
      <c r="C1032" s="159"/>
      <c r="D1032" s="2443" t="s">
        <v>545</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7">
        <f>SUM(AJ975:AQ1031)</f>
        <v>183803433.59999999</v>
      </c>
      <c r="AK1032" s="2478"/>
      <c r="AL1032" s="2478"/>
      <c r="AM1032" s="2478"/>
      <c r="AN1032" s="2478"/>
      <c r="AO1032" s="2478"/>
      <c r="AP1032" s="2478"/>
      <c r="AQ1032" s="247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43" t="s">
        <v>1931</v>
      </c>
      <c r="C1034" s="2143"/>
      <c r="D1034" s="2143"/>
      <c r="E1034" s="2143"/>
      <c r="F1034" s="2143"/>
      <c r="G1034" s="2143"/>
      <c r="H1034" s="2143"/>
      <c r="I1034" s="2143"/>
      <c r="J1034" s="2143"/>
      <c r="K1034" s="2143"/>
      <c r="L1034" s="2143"/>
      <c r="M1034" s="2143"/>
      <c r="N1034" s="2143"/>
      <c r="O1034" s="2143"/>
      <c r="P1034" s="2143"/>
      <c r="Q1034" s="2143"/>
      <c r="R1034" s="2143"/>
      <c r="S1034" s="2143"/>
      <c r="T1034" s="2143"/>
      <c r="U1034" s="2143"/>
      <c r="V1034" s="2143"/>
      <c r="W1034" s="2143"/>
      <c r="X1034" s="2143"/>
      <c r="Y1034" s="214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8"/>
      <c r="Y1035" s="2378"/>
      <c r="Z1035" s="2378"/>
      <c r="AA1035" s="2378"/>
      <c r="AB1035" s="2378"/>
      <c r="AC1035" s="2378"/>
      <c r="AD1035" s="2136">
        <f>R971</f>
        <v>387200</v>
      </c>
      <c r="AE1035" s="2137"/>
      <c r="AF1035" s="2137"/>
      <c r="AG1035" s="2137"/>
      <c r="AH1035" s="2137"/>
      <c r="AI1035" s="2137"/>
      <c r="AJ1035" s="2137"/>
      <c r="AK1035" s="213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9"/>
      <c r="Y1036" s="2379"/>
      <c r="Z1036" s="2379"/>
      <c r="AA1036" s="2379"/>
      <c r="AB1036" s="2379"/>
      <c r="AC1036" s="2379"/>
      <c r="AD1036" s="2142">
        <f>MEDIAN((BR809:BR866))</f>
        <v>364800</v>
      </c>
      <c r="AE1036" s="2142"/>
      <c r="AF1036" s="2142"/>
      <c r="AG1036" s="2142"/>
      <c r="AH1036" s="2142"/>
      <c r="AI1036" s="2142"/>
      <c r="AJ1036" s="2142"/>
      <c r="AK1036" s="214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8" t="s">
        <v>1933</v>
      </c>
      <c r="C1037" s="2138"/>
      <c r="D1037" s="2138"/>
      <c r="E1037" s="2138"/>
      <c r="F1037" s="2138"/>
      <c r="G1037" s="2138"/>
      <c r="H1037" s="2138"/>
      <c r="I1037" s="2138"/>
      <c r="J1037" s="2138"/>
      <c r="K1037" s="2138"/>
      <c r="L1037" s="2138"/>
      <c r="M1037" s="2138"/>
      <c r="N1037" s="2138"/>
      <c r="O1037" s="2138"/>
      <c r="P1037" s="2138"/>
      <c r="Q1037" s="2138"/>
      <c r="R1037" s="2138"/>
      <c r="S1037" s="2138"/>
      <c r="T1037" s="2138"/>
      <c r="U1037" s="2138"/>
      <c r="V1037" s="2138"/>
      <c r="W1037" s="2138"/>
      <c r="X1037" s="2138"/>
      <c r="Y1037" s="2138"/>
      <c r="Z1037" s="1416"/>
      <c r="AA1037" s="1416"/>
      <c r="AB1037" s="1416"/>
      <c r="AC1037" s="1416"/>
      <c r="AD1037" s="2133">
        <f>IF(((AD1035-AD1036)/AD1036)&gt;0.3,0.3,((AD1035-AD1036)/AD1036))</f>
        <v>6.1403508771929821E-2</v>
      </c>
      <c r="AE1037" s="2134"/>
      <c r="AF1037" s="2134"/>
      <c r="AG1037" s="2134"/>
      <c r="AH1037" s="2134"/>
      <c r="AI1037" s="2134"/>
      <c r="AJ1037" s="2134"/>
      <c r="AK1037" s="21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76">
        <f>IF(ISNA(IF((AJ999&gt;(AJ975*0.15)),"(f) cannot be greater than 15% of unadjusted eligible basis.",0)),"",(IF((AJ999&gt;(AJ975*0.15)),"(f) cannot be greater than 15% of unadjusted eligible basis.",0)))</f>
        <v>0</v>
      </c>
      <c r="C1039" s="2376"/>
      <c r="D1039" s="2376"/>
      <c r="E1039" s="2376"/>
      <c r="F1039" s="2376"/>
      <c r="G1039" s="2376"/>
      <c r="H1039" s="2376"/>
      <c r="I1039" s="2376"/>
      <c r="J1039" s="2376"/>
      <c r="K1039" s="2376"/>
      <c r="L1039" s="2376"/>
      <c r="M1039" s="2376"/>
      <c r="N1039" s="2376"/>
      <c r="O1039" s="2376"/>
      <c r="P1039" s="2376"/>
      <c r="Q1039" s="2376"/>
      <c r="R1039" s="2376"/>
      <c r="S1039" s="2376"/>
      <c r="T1039" s="2376"/>
      <c r="U1039" s="2376"/>
      <c r="V1039" s="2376"/>
      <c r="W1039" s="2376"/>
      <c r="X1039" s="2376"/>
      <c r="Y1039" s="2376"/>
      <c r="Z1039" s="2376"/>
      <c r="AA1039" s="2376"/>
      <c r="AB1039" s="2376"/>
      <c r="AC1039" s="2376"/>
      <c r="AD1039" s="2376"/>
      <c r="AE1039" s="2376"/>
      <c r="AF1039" s="2376"/>
      <c r="AG1039" s="2376"/>
      <c r="AH1039" s="2376"/>
      <c r="AI1039" s="2376"/>
      <c r="AJ1039" s="2376"/>
      <c r="AK1039" s="237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87" t="s">
        <v>851</v>
      </c>
      <c r="B1040" s="2387"/>
      <c r="C1040" s="2387"/>
      <c r="D1040" s="2387"/>
      <c r="E1040" s="2387"/>
      <c r="F1040" s="2387"/>
      <c r="G1040" s="2387"/>
      <c r="H1040" s="2387"/>
      <c r="I1040" s="2387"/>
      <c r="J1040" s="2387"/>
      <c r="K1040" s="2387"/>
      <c r="L1040" s="2387"/>
      <c r="M1040" s="2387"/>
      <c r="N1040" s="2387"/>
      <c r="O1040" s="2387"/>
      <c r="P1040" s="2387"/>
      <c r="Q1040" s="2387"/>
      <c r="R1040" s="2387"/>
      <c r="S1040" s="2387"/>
      <c r="T1040" s="2387"/>
      <c r="U1040" s="2387"/>
      <c r="V1040" s="2387"/>
      <c r="W1040" s="2387"/>
      <c r="X1040" s="2387"/>
      <c r="Y1040" s="2387"/>
      <c r="Z1040" s="2387"/>
      <c r="AA1040" s="2387"/>
      <c r="AB1040" s="2387"/>
      <c r="AC1040" s="2387"/>
      <c r="AD1040" s="2387"/>
      <c r="AE1040" s="2387"/>
      <c r="AF1040" s="2387"/>
      <c r="AG1040" s="2387"/>
      <c r="AH1040" s="2387"/>
      <c r="AI1040" s="2387"/>
      <c r="AJ1040" s="2387"/>
      <c r="AK1040" s="2387"/>
      <c r="AL1040" s="238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9" t="s">
        <v>625</v>
      </c>
      <c r="B1044" s="2029"/>
      <c r="C1044" s="13">
        <v>1</v>
      </c>
      <c r="D1044" s="1884" t="s">
        <v>1222</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9" t="s">
        <v>625</v>
      </c>
      <c r="B1050" s="2029"/>
      <c r="C1050" s="13">
        <v>2</v>
      </c>
      <c r="D1050" s="1884" t="s">
        <v>1221</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29" t="s">
        <v>625</v>
      </c>
      <c r="B1056" s="2029"/>
      <c r="C1056" s="13">
        <v>3</v>
      </c>
      <c r="D1056" s="1884" t="s">
        <v>1527</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29" t="s">
        <v>625</v>
      </c>
      <c r="B1063" s="2029"/>
      <c r="C1063" s="13">
        <v>4</v>
      </c>
      <c r="D1063" s="1884" t="s">
        <v>1207</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29" t="s">
        <v>625</v>
      </c>
      <c r="B1066" s="2029"/>
      <c r="C1066" s="13">
        <v>5</v>
      </c>
      <c r="D1066" s="1884" t="s">
        <v>1416</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29" t="s">
        <v>625</v>
      </c>
      <c r="B1071" s="2029"/>
      <c r="C1071" s="13">
        <v>6</v>
      </c>
      <c r="D1071" s="1884" t="s">
        <v>1208</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29" t="s">
        <v>625</v>
      </c>
      <c r="B1074" s="2029"/>
      <c r="C1074" s="318">
        <v>7</v>
      </c>
      <c r="D1074" s="1884" t="s">
        <v>1210</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29" t="s">
        <v>625</v>
      </c>
      <c r="B1078" s="2029"/>
      <c r="C1078" s="318">
        <v>8</v>
      </c>
      <c r="D1078" s="2377" t="s">
        <v>2168</v>
      </c>
      <c r="E1078" s="2377"/>
      <c r="F1078" s="2377"/>
      <c r="G1078" s="2377"/>
      <c r="H1078" s="2377"/>
      <c r="I1078" s="2377"/>
      <c r="J1078" s="2377"/>
      <c r="K1078" s="2377"/>
      <c r="L1078" s="2377"/>
      <c r="M1078" s="2377"/>
      <c r="N1078" s="2377"/>
      <c r="O1078" s="2377"/>
      <c r="P1078" s="2377"/>
      <c r="Q1078" s="2377"/>
      <c r="R1078" s="2377"/>
      <c r="S1078" s="2377"/>
      <c r="T1078" s="2377"/>
      <c r="U1078" s="2377"/>
      <c r="V1078" s="2377"/>
      <c r="W1078" s="2377"/>
      <c r="X1078" s="2377"/>
      <c r="Y1078" s="2377"/>
      <c r="Z1078" s="2377"/>
      <c r="AA1078" s="2377"/>
      <c r="AB1078" s="2377"/>
      <c r="AC1078" s="2377"/>
      <c r="AD1078" s="2377"/>
      <c r="AE1078" s="2377"/>
      <c r="AF1078" s="2377"/>
      <c r="AG1078" s="2377"/>
      <c r="AH1078" s="2377"/>
      <c r="AI1078" s="2377"/>
      <c r="AJ1078" s="2377"/>
      <c r="AK1078" s="2377"/>
    </row>
    <row r="1079" spans="1:96" ht="12.6" customHeight="1">
      <c r="A1079" s="235"/>
      <c r="B1079" s="235"/>
      <c r="C1079" s="318"/>
      <c r="D1079" s="2377"/>
      <c r="E1079" s="2377"/>
      <c r="F1079" s="2377"/>
      <c r="G1079" s="2377"/>
      <c r="H1079" s="2377"/>
      <c r="I1079" s="2377"/>
      <c r="J1079" s="2377"/>
      <c r="K1079" s="2377"/>
      <c r="L1079" s="2377"/>
      <c r="M1079" s="2377"/>
      <c r="N1079" s="2377"/>
      <c r="O1079" s="2377"/>
      <c r="P1079" s="2377"/>
      <c r="Q1079" s="2377"/>
      <c r="R1079" s="2377"/>
      <c r="S1079" s="2377"/>
      <c r="T1079" s="2377"/>
      <c r="U1079" s="2377"/>
      <c r="V1079" s="2377"/>
      <c r="W1079" s="2377"/>
      <c r="X1079" s="2377"/>
      <c r="Y1079" s="2377"/>
      <c r="Z1079" s="2377"/>
      <c r="AA1079" s="2377"/>
      <c r="AB1079" s="2377"/>
      <c r="AC1079" s="2377"/>
      <c r="AD1079" s="2377"/>
      <c r="AE1079" s="2377"/>
      <c r="AF1079" s="2377"/>
      <c r="AG1079" s="2377"/>
      <c r="AH1079" s="2377"/>
      <c r="AI1079" s="2377"/>
      <c r="AJ1079" s="2377"/>
      <c r="AK1079" s="2377"/>
    </row>
    <row r="1080" spans="1:96" ht="12.6" customHeight="1">
      <c r="A1080" s="235"/>
      <c r="B1080" s="235"/>
      <c r="C1080" s="318"/>
      <c r="D1080" s="2377"/>
      <c r="E1080" s="2377"/>
      <c r="F1080" s="2377"/>
      <c r="G1080" s="2377"/>
      <c r="H1080" s="2377"/>
      <c r="I1080" s="2377"/>
      <c r="J1080" s="2377"/>
      <c r="K1080" s="2377"/>
      <c r="L1080" s="2377"/>
      <c r="M1080" s="2377"/>
      <c r="N1080" s="2377"/>
      <c r="O1080" s="2377"/>
      <c r="P1080" s="2377"/>
      <c r="Q1080" s="2377"/>
      <c r="R1080" s="2377"/>
      <c r="S1080" s="2377"/>
      <c r="T1080" s="2377"/>
      <c r="U1080" s="2377"/>
      <c r="V1080" s="2377"/>
      <c r="W1080" s="2377"/>
      <c r="X1080" s="2377"/>
      <c r="Y1080" s="2377"/>
      <c r="Z1080" s="2377"/>
      <c r="AA1080" s="2377"/>
      <c r="AB1080" s="2377"/>
      <c r="AC1080" s="2377"/>
      <c r="AD1080" s="2377"/>
      <c r="AE1080" s="2377"/>
      <c r="AF1080" s="2377"/>
      <c r="AG1080" s="2377"/>
      <c r="AH1080" s="2377"/>
      <c r="AI1080" s="2377"/>
      <c r="AJ1080" s="2377"/>
      <c r="AK1080" s="2377"/>
      <c r="AL1080" s="682"/>
    </row>
    <row r="1081" spans="1:96" ht="12" customHeight="1">
      <c r="A1081" s="62"/>
      <c r="B1081" s="66"/>
      <c r="C1081" s="318"/>
      <c r="D1081" s="2377"/>
      <c r="E1081" s="2377"/>
      <c r="F1081" s="2377"/>
      <c r="G1081" s="2377"/>
      <c r="H1081" s="2377"/>
      <c r="I1081" s="2377"/>
      <c r="J1081" s="2377"/>
      <c r="K1081" s="2377"/>
      <c r="L1081" s="2377"/>
      <c r="M1081" s="2377"/>
      <c r="N1081" s="2377"/>
      <c r="O1081" s="2377"/>
      <c r="P1081" s="2377"/>
      <c r="Q1081" s="2377"/>
      <c r="R1081" s="2377"/>
      <c r="S1081" s="2377"/>
      <c r="T1081" s="2377"/>
      <c r="U1081" s="2377"/>
      <c r="V1081" s="2377"/>
      <c r="W1081" s="2377"/>
      <c r="X1081" s="2377"/>
      <c r="Y1081" s="2377"/>
      <c r="Z1081" s="2377"/>
      <c r="AA1081" s="2377"/>
      <c r="AB1081" s="2377"/>
      <c r="AC1081" s="2377"/>
      <c r="AD1081" s="2377"/>
      <c r="AE1081" s="2377"/>
      <c r="AF1081" s="2377"/>
      <c r="AG1081" s="2377"/>
      <c r="AH1081" s="2377"/>
      <c r="AI1081" s="2377"/>
      <c r="AJ1081" s="2377"/>
      <c r="AK1081" s="2377"/>
    </row>
    <row r="1082" spans="1:96" ht="12.6" customHeight="1">
      <c r="A1082" s="2029" t="s">
        <v>625</v>
      </c>
      <c r="B1082" s="2029"/>
      <c r="C1082" s="318">
        <v>9</v>
      </c>
      <c r="D1082" s="1884" t="s">
        <v>1209</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EM659:EQ659"/>
    <mergeCell ref="ER659:EV659"/>
    <mergeCell ref="ER651:EV651"/>
    <mergeCell ref="AG667:AH667"/>
    <mergeCell ref="Z669:AK669"/>
    <mergeCell ref="AM741:AO741"/>
    <mergeCell ref="Y729:AB729"/>
    <mergeCell ref="AC733:AG73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S651:CW651"/>
    <mergeCell ref="CH663:CL663"/>
    <mergeCell ref="AM743:AO743"/>
    <mergeCell ref="CM655:CQ655"/>
    <mergeCell ref="CM656:CQ656"/>
    <mergeCell ref="CM657:CQ657"/>
    <mergeCell ref="CM658:CQ658"/>
    <mergeCell ref="BS657:BW657"/>
    <mergeCell ref="AM733:AO733"/>
    <mergeCell ref="AM729:AO729"/>
    <mergeCell ref="CH652:CL652"/>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C651:EG651"/>
    <mergeCell ref="EH654:EL654"/>
    <mergeCell ref="DX659:EB659"/>
    <mergeCell ref="EC659:EG659"/>
    <mergeCell ref="EH659:EL659"/>
    <mergeCell ref="DH650:DL650"/>
    <mergeCell ref="DM650:DQ650"/>
    <mergeCell ref="DR650:DV650"/>
    <mergeCell ref="CC650:CG650"/>
    <mergeCell ref="DR660:DV660"/>
    <mergeCell ref="CS658:CW658"/>
    <mergeCell ref="BN650:BR650"/>
    <mergeCell ref="CM651:CQ651"/>
    <mergeCell ref="DH655:DL655"/>
    <mergeCell ref="DM655:DQ655"/>
    <mergeCell ref="DR655:DV655"/>
    <mergeCell ref="CS656:CW656"/>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DH649:DL649"/>
    <mergeCell ref="DM649:DQ649"/>
    <mergeCell ref="DR649:DV649"/>
    <mergeCell ref="CM650:CQ650"/>
    <mergeCell ref="CM649:CQ649"/>
    <mergeCell ref="BX650:CB650"/>
    <mergeCell ref="DC633:DG633"/>
    <mergeCell ref="CS633:CW633"/>
    <mergeCell ref="CX633:DB633"/>
    <mergeCell ref="CM654:CQ654"/>
    <mergeCell ref="DR654:DV654"/>
    <mergeCell ref="BX654:CB654"/>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49:CW649"/>
    <mergeCell ref="CH650:CL650"/>
    <mergeCell ref="CS653:CW653"/>
    <mergeCell ref="CX653:DB653"/>
    <mergeCell ref="CX649:DB649"/>
    <mergeCell ref="CH649:CL649"/>
    <mergeCell ref="BS650:BW650"/>
    <mergeCell ref="BX649:CB649"/>
    <mergeCell ref="BS649:BW649"/>
    <mergeCell ref="BS653:BW653"/>
    <mergeCell ref="DC649:DG649"/>
    <mergeCell ref="AO649:AS649"/>
    <mergeCell ref="B651:AN651"/>
    <mergeCell ref="B650:AN650"/>
    <mergeCell ref="BS655:BW655"/>
    <mergeCell ref="CH654:CL654"/>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3:Y573"/>
    <mergeCell ref="O634:Q636"/>
    <mergeCell ref="R634:T636"/>
    <mergeCell ref="B634:N636"/>
    <mergeCell ref="CS634:CW634"/>
    <mergeCell ref="CX634:DB634"/>
    <mergeCell ref="CX621:DB621"/>
    <mergeCell ref="CS622:CW622"/>
    <mergeCell ref="CX622:DB622"/>
    <mergeCell ref="CS611:CW611"/>
    <mergeCell ref="CX609:DB609"/>
    <mergeCell ref="M584:R584"/>
    <mergeCell ref="Z614:AK614"/>
    <mergeCell ref="P623:R623"/>
    <mergeCell ref="CS635:CW635"/>
    <mergeCell ref="CX635:DB635"/>
    <mergeCell ref="CS620:CW620"/>
    <mergeCell ref="CS630:CW630"/>
    <mergeCell ref="CX630:DB630"/>
    <mergeCell ref="AO645:AS645"/>
    <mergeCell ref="AO643:AS643"/>
    <mergeCell ref="CM641:CQ641"/>
    <mergeCell ref="CM642:CQ642"/>
    <mergeCell ref="CM648:CQ648"/>
    <mergeCell ref="BS648:BW648"/>
    <mergeCell ref="BX648:CB648"/>
    <mergeCell ref="BX641:CB641"/>
    <mergeCell ref="X646:AB646"/>
    <mergeCell ref="X647:AB647"/>
    <mergeCell ref="R642:T642"/>
    <mergeCell ref="U641:W641"/>
    <mergeCell ref="U640:W640"/>
    <mergeCell ref="AO638:AS638"/>
    <mergeCell ref="AO641:AS641"/>
    <mergeCell ref="AK648:AN648"/>
    <mergeCell ref="AF638:AJ638"/>
    <mergeCell ref="R647:T647"/>
    <mergeCell ref="R648:T648"/>
    <mergeCell ref="X638:AB638"/>
    <mergeCell ref="AO647:AS647"/>
    <mergeCell ref="AC639:AE639"/>
    <mergeCell ref="AO642:AS642"/>
    <mergeCell ref="CH642:CL642"/>
    <mergeCell ref="BN648:BR648"/>
    <mergeCell ref="BN641:BR641"/>
    <mergeCell ref="AK647:AN647"/>
    <mergeCell ref="AO644:AS644"/>
    <mergeCell ref="BS641:BW641"/>
    <mergeCell ref="CH644:CL644"/>
    <mergeCell ref="CM644:CQ644"/>
    <mergeCell ref="CC640:CG640"/>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X644:AB644"/>
    <mergeCell ref="X645:AB645"/>
    <mergeCell ref="X639:AB639"/>
    <mergeCell ref="X640:AB640"/>
    <mergeCell ref="X641:AB641"/>
    <mergeCell ref="X642:AB642"/>
    <mergeCell ref="X643:AB643"/>
    <mergeCell ref="U637:W637"/>
    <mergeCell ref="AF643:AJ643"/>
    <mergeCell ref="AO640:AS640"/>
    <mergeCell ref="AF644:AJ644"/>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AF639:AJ639"/>
    <mergeCell ref="CS648:CW648"/>
    <mergeCell ref="CX648:DB648"/>
    <mergeCell ref="DC648:DG648"/>
    <mergeCell ref="DX646:EB646"/>
    <mergeCell ref="X648:AB648"/>
    <mergeCell ref="AF645:AJ64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M655:EQ655"/>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R643:EV643"/>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AJ972:AQ972"/>
    <mergeCell ref="O958:P958"/>
    <mergeCell ref="F959:L959"/>
    <mergeCell ref="R968:AA968"/>
    <mergeCell ref="AB968:AI968"/>
    <mergeCell ref="AB969:AI969"/>
    <mergeCell ref="AB970:AI970"/>
    <mergeCell ref="AB971:AI971"/>
    <mergeCell ref="AB972:AI972"/>
    <mergeCell ref="AB973:AI973"/>
    <mergeCell ref="C823:H823"/>
    <mergeCell ref="C824:H824"/>
    <mergeCell ref="B751:F751"/>
    <mergeCell ref="AG821:AJ822"/>
    <mergeCell ref="W852:AC852"/>
    <mergeCell ref="O749:S749"/>
    <mergeCell ref="O750:S750"/>
    <mergeCell ref="K751:N751"/>
    <mergeCell ref="K752:N752"/>
    <mergeCell ref="AA929:AF929"/>
    <mergeCell ref="F913:T914"/>
    <mergeCell ref="U917:Z917"/>
    <mergeCell ref="U927:Z927"/>
    <mergeCell ref="U923:Z923"/>
    <mergeCell ref="AA916:AF916"/>
    <mergeCell ref="AH793:AL793"/>
    <mergeCell ref="AC796:AG796"/>
    <mergeCell ref="J793:N793"/>
    <mergeCell ref="AH795:AL795"/>
    <mergeCell ref="W873:AC873"/>
    <mergeCell ref="T856:V856"/>
    <mergeCell ref="T858:V858"/>
    <mergeCell ref="W865:AC865"/>
    <mergeCell ref="W850:AC850"/>
    <mergeCell ref="M875:V875"/>
    <mergeCell ref="AC892:AH892"/>
    <mergeCell ref="U921:Z921"/>
    <mergeCell ref="AA920:AF920"/>
    <mergeCell ref="AB914:AE914"/>
    <mergeCell ref="AA924:AF924"/>
    <mergeCell ref="B752:F752"/>
    <mergeCell ref="AC772:AG772"/>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D1011:AE1011"/>
    <mergeCell ref="D1012:AE1014"/>
    <mergeCell ref="AJ1011:AQ1014"/>
    <mergeCell ref="AJ977:AQ979"/>
    <mergeCell ref="AJ986:AQ989"/>
    <mergeCell ref="AJ990:AQ991"/>
    <mergeCell ref="AJ992:AQ994"/>
    <mergeCell ref="AJ995:AQ998"/>
    <mergeCell ref="AJ1004:AQ1007"/>
    <mergeCell ref="AJ1008:AQ1010"/>
    <mergeCell ref="D1008:AE1008"/>
    <mergeCell ref="B974:AA974"/>
    <mergeCell ref="O774:S774"/>
    <mergeCell ref="T745:X745"/>
    <mergeCell ref="T746:X746"/>
    <mergeCell ref="B749:F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B750:F750"/>
    <mergeCell ref="W860:AC860"/>
    <mergeCell ref="M859:V859"/>
    <mergeCell ref="AA951:AG951"/>
    <mergeCell ref="W864:AC864"/>
    <mergeCell ref="M940:S940"/>
    <mergeCell ref="AA933:AF933"/>
    <mergeCell ref="AA919:AF919"/>
    <mergeCell ref="Y828:AB828"/>
    <mergeCell ref="M942:S942"/>
    <mergeCell ref="AC749:AG749"/>
    <mergeCell ref="AA932:AF932"/>
    <mergeCell ref="M951:S951"/>
    <mergeCell ref="O791:S791"/>
    <mergeCell ref="T750:X750"/>
    <mergeCell ref="T751:X751"/>
    <mergeCell ref="AC741:AG741"/>
    <mergeCell ref="K740:N740"/>
    <mergeCell ref="AA952:AG952"/>
    <mergeCell ref="AE939:AK939"/>
    <mergeCell ref="O747:S747"/>
    <mergeCell ref="O748:S748"/>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Y744:AB744"/>
    <mergeCell ref="B748:F748"/>
    <mergeCell ref="J791:N791"/>
    <mergeCell ref="AC786:AG786"/>
    <mergeCell ref="AH748:AL748"/>
    <mergeCell ref="K748:N748"/>
    <mergeCell ref="K749:N749"/>
    <mergeCell ref="K741:N741"/>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T744:X744"/>
    <mergeCell ref="T753:X753"/>
    <mergeCell ref="Y747:AB747"/>
    <mergeCell ref="AH794:AL794"/>
    <mergeCell ref="M957:S957"/>
    <mergeCell ref="M956:S956"/>
    <mergeCell ref="M945:S945"/>
    <mergeCell ref="AA957:AG957"/>
    <mergeCell ref="I933:T933"/>
    <mergeCell ref="M939:S939"/>
    <mergeCell ref="AA927:AF927"/>
    <mergeCell ref="M946:S946"/>
    <mergeCell ref="T747:X747"/>
    <mergeCell ref="T748:X748"/>
    <mergeCell ref="T749:X749"/>
    <mergeCell ref="T752:X752"/>
    <mergeCell ref="Z811:AE811"/>
    <mergeCell ref="O746:S746"/>
    <mergeCell ref="M944:S944"/>
    <mergeCell ref="Z898:AE898"/>
    <mergeCell ref="AC751:AG751"/>
    <mergeCell ref="AC752:AG752"/>
    <mergeCell ref="Z812:AE812"/>
    <mergeCell ref="W843:AC843"/>
    <mergeCell ref="M955:S955"/>
    <mergeCell ref="AH753:AL753"/>
    <mergeCell ref="X776:AB776"/>
    <mergeCell ref="X768:AB771"/>
    <mergeCell ref="AC792:AG792"/>
    <mergeCell ref="AE944:AK944"/>
    <mergeCell ref="AE945:AK945"/>
    <mergeCell ref="AC788:AG788"/>
    <mergeCell ref="AC789:AG789"/>
    <mergeCell ref="M828:P828"/>
    <mergeCell ref="C835:AJ835"/>
    <mergeCell ref="Z814:AE814"/>
    <mergeCell ref="X775:AB775"/>
    <mergeCell ref="AC748:AG748"/>
    <mergeCell ref="AC882:AH882"/>
    <mergeCell ref="AA954:AG954"/>
    <mergeCell ref="W868:AC868"/>
    <mergeCell ref="I934:T934"/>
    <mergeCell ref="E883:AB883"/>
    <mergeCell ref="U928:Z928"/>
    <mergeCell ref="U827:X827"/>
    <mergeCell ref="Y746:AB746"/>
    <mergeCell ref="AF755:AH75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Z696:AK696"/>
    <mergeCell ref="Z695:AK695"/>
    <mergeCell ref="K734:N734"/>
    <mergeCell ref="K735:N735"/>
    <mergeCell ref="AH729:AL729"/>
    <mergeCell ref="G687:R687"/>
    <mergeCell ref="Y730:AB730"/>
    <mergeCell ref="Z688:AK688"/>
    <mergeCell ref="G695:R695"/>
    <mergeCell ref="H698:R698"/>
    <mergeCell ref="AC735:AG735"/>
    <mergeCell ref="T729:X729"/>
    <mergeCell ref="T730:X730"/>
    <mergeCell ref="AH728:AL728"/>
    <mergeCell ref="AH739:AL739"/>
    <mergeCell ref="AC739:AG739"/>
    <mergeCell ref="AC728:AG728"/>
    <mergeCell ref="G678:R678"/>
    <mergeCell ref="AC736:AG736"/>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P689:R689"/>
    <mergeCell ref="AE712:AF712"/>
    <mergeCell ref="AC730:AG730"/>
    <mergeCell ref="AC731:AG731"/>
    <mergeCell ref="T728:X728"/>
    <mergeCell ref="G653:R653"/>
    <mergeCell ref="N659:O659"/>
    <mergeCell ref="Z680:AK680"/>
    <mergeCell ref="G665:L665"/>
    <mergeCell ref="Z665:AE665"/>
    <mergeCell ref="AG683:AH683"/>
    <mergeCell ref="AM736:AO736"/>
    <mergeCell ref="AM739:AO739"/>
    <mergeCell ref="Y737:AB737"/>
    <mergeCell ref="AM737:AO737"/>
    <mergeCell ref="G679:R679"/>
    <mergeCell ref="AA666:AK666"/>
    <mergeCell ref="Z673:AE673"/>
    <mergeCell ref="W713:AK713"/>
    <mergeCell ref="G688:R688"/>
    <mergeCell ref="G673:L673"/>
    <mergeCell ref="Z687:AK687"/>
    <mergeCell ref="G693:R693"/>
    <mergeCell ref="AI681:AK681"/>
    <mergeCell ref="G744:J744"/>
    <mergeCell ref="Y742:AB742"/>
    <mergeCell ref="Y741:AB741"/>
    <mergeCell ref="K728:N728"/>
    <mergeCell ref="K729:N729"/>
    <mergeCell ref="O744:S744"/>
    <mergeCell ref="T738:X738"/>
    <mergeCell ref="G696:R696"/>
    <mergeCell ref="N699:O699"/>
    <mergeCell ref="AC742:AG742"/>
    <mergeCell ref="Y740:AB740"/>
    <mergeCell ref="Y736:AB736"/>
    <mergeCell ref="K742:N742"/>
    <mergeCell ref="T741:X741"/>
    <mergeCell ref="T742:X742"/>
    <mergeCell ref="AE708:AI708"/>
    <mergeCell ref="AE704:AF704"/>
    <mergeCell ref="Z685:AK685"/>
    <mergeCell ref="P681:R681"/>
    <mergeCell ref="AC743:AG743"/>
    <mergeCell ref="AC744:AG744"/>
    <mergeCell ref="AH744:AL744"/>
    <mergeCell ref="T739:X739"/>
    <mergeCell ref="T740:X740"/>
    <mergeCell ref="AC740:AG740"/>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45:AB745"/>
    <mergeCell ref="AH749:AL749"/>
    <mergeCell ref="AC795:AG795"/>
    <mergeCell ref="AC787:AG787"/>
    <mergeCell ref="AC737:AG737"/>
    <mergeCell ref="AM740:AO740"/>
    <mergeCell ref="A1078:B1078"/>
    <mergeCell ref="G743:J743"/>
    <mergeCell ref="A1071:B1071"/>
    <mergeCell ref="J788:N788"/>
    <mergeCell ref="O788:S788"/>
    <mergeCell ref="AH745:AL745"/>
    <mergeCell ref="AH746:AL746"/>
    <mergeCell ref="O793:S793"/>
    <mergeCell ref="J790:N790"/>
    <mergeCell ref="Y748:AB748"/>
    <mergeCell ref="M869:V869"/>
    <mergeCell ref="T794:W794"/>
    <mergeCell ref="O776:S776"/>
    <mergeCell ref="D1044:AK1049"/>
    <mergeCell ref="D1050:AK1055"/>
    <mergeCell ref="D1056:AK1062"/>
    <mergeCell ref="D1063:AK1065"/>
    <mergeCell ref="D1066:AK1070"/>
    <mergeCell ref="D1071:AK1073"/>
    <mergeCell ref="K743:N743"/>
    <mergeCell ref="T743:X743"/>
    <mergeCell ref="Y799:AC799"/>
    <mergeCell ref="J782:N785"/>
    <mergeCell ref="AJ974:AQ974"/>
    <mergeCell ref="W863:AC863"/>
    <mergeCell ref="W877:AC877"/>
    <mergeCell ref="A1066:B1066"/>
    <mergeCell ref="A1040:AL1040"/>
    <mergeCell ref="A1063:B1063"/>
    <mergeCell ref="A1056:B1056"/>
    <mergeCell ref="AC821:AF822"/>
    <mergeCell ref="A1050:B1050"/>
    <mergeCell ref="A1044:B104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O739:S739"/>
    <mergeCell ref="A963:AS964"/>
    <mergeCell ref="O742:S742"/>
    <mergeCell ref="O743:S743"/>
    <mergeCell ref="K750:N750"/>
    <mergeCell ref="T768:W771"/>
    <mergeCell ref="X774:AB774"/>
    <mergeCell ref="BG851:BL851"/>
    <mergeCell ref="BI844:BL844"/>
    <mergeCell ref="CX651:DB651"/>
    <mergeCell ref="DC651:DG65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BS625:BW625"/>
    <mergeCell ref="BX625:CB625"/>
    <mergeCell ref="CC625:CG625"/>
    <mergeCell ref="BS627:BW627"/>
    <mergeCell ref="BG626:BH626"/>
    <mergeCell ref="CC628:CG628"/>
    <mergeCell ref="BX640:CB640"/>
    <mergeCell ref="BX635:CB635"/>
    <mergeCell ref="CC635:CG635"/>
    <mergeCell ref="CM633:CQ633"/>
    <mergeCell ref="CM634:CQ634"/>
    <mergeCell ref="CM635:CQ635"/>
    <mergeCell ref="CM640:CQ640"/>
    <mergeCell ref="CH633:CL633"/>
    <mergeCell ref="CM625:CQ625"/>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DR611:DV611"/>
    <mergeCell ref="DM612:DQ612"/>
    <mergeCell ref="DM614:DQ614"/>
    <mergeCell ref="DC622:DG622"/>
    <mergeCell ref="DH622:DL622"/>
    <mergeCell ref="DC621:DG621"/>
    <mergeCell ref="DM623:DQ623"/>
    <mergeCell ref="DR623:DV623"/>
    <mergeCell ref="DH619:DL619"/>
    <mergeCell ref="DM621:DQ621"/>
    <mergeCell ref="DR621:DV621"/>
    <mergeCell ref="CX620:DB620"/>
    <mergeCell ref="DC620:DG620"/>
    <mergeCell ref="DH620:DL620"/>
    <mergeCell ref="DM619:DQ619"/>
    <mergeCell ref="DR619:DV619"/>
    <mergeCell ref="DM620:DQ620"/>
    <mergeCell ref="DR620:DV620"/>
    <mergeCell ref="CS619:CW619"/>
    <mergeCell ref="CX619:DB619"/>
    <mergeCell ref="DC619:DG619"/>
    <mergeCell ref="CS621:CW621"/>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BN628:BR628"/>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G582:L582"/>
    <mergeCell ref="G597:R597"/>
    <mergeCell ref="G588:R588"/>
    <mergeCell ref="G657:L657"/>
    <mergeCell ref="AG699:AH699"/>
    <mergeCell ref="AE703:AF703"/>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G697:L697"/>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CS613:CW613"/>
    <mergeCell ref="CS626:CW626"/>
    <mergeCell ref="G661:R661"/>
    <mergeCell ref="AC734:AG734"/>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G672:R672"/>
    <mergeCell ref="P665:R665"/>
    <mergeCell ref="Z677:AK677"/>
    <mergeCell ref="Z672:AK672"/>
    <mergeCell ref="Z663:AK663"/>
    <mergeCell ref="AI665:AK665"/>
    <mergeCell ref="N675:O675"/>
    <mergeCell ref="H682:R682"/>
    <mergeCell ref="G686:R686"/>
    <mergeCell ref="G670:R670"/>
    <mergeCell ref="N667:O667"/>
    <mergeCell ref="Z670:AK670"/>
    <mergeCell ref="G671:R671"/>
    <mergeCell ref="N683:O683"/>
    <mergeCell ref="Z689:AE689"/>
    <mergeCell ref="H690:R690"/>
    <mergeCell ref="K731:N731"/>
    <mergeCell ref="P657:R657"/>
    <mergeCell ref="AI657:AK657"/>
    <mergeCell ref="P673:R673"/>
    <mergeCell ref="G669:R669"/>
    <mergeCell ref="AI689:AK68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G728:J728"/>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AC724:AG727"/>
    <mergeCell ref="R715:T715"/>
    <mergeCell ref="G724:J727"/>
    <mergeCell ref="K724:N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T732:X732"/>
    <mergeCell ref="T733:X733"/>
    <mergeCell ref="T734:X734"/>
    <mergeCell ref="K736:N736"/>
    <mergeCell ref="B732:F732"/>
    <mergeCell ref="T737:X737"/>
    <mergeCell ref="G739:J739"/>
    <mergeCell ref="O734:S734"/>
    <mergeCell ref="G741:J741"/>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W876:AC876"/>
    <mergeCell ref="M873:V873"/>
    <mergeCell ref="W875:AC875"/>
    <mergeCell ref="U932:Z932"/>
    <mergeCell ref="U926:Z926"/>
    <mergeCell ref="AA926:AF926"/>
    <mergeCell ref="AA915:AF915"/>
    <mergeCell ref="Z896:AE896"/>
    <mergeCell ref="W870:AC870"/>
    <mergeCell ref="W851:AC851"/>
    <mergeCell ref="AC884:AH884"/>
    <mergeCell ref="W872:AC87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Z804:AE804"/>
    <mergeCell ref="M821:P822"/>
    <mergeCell ref="X791:AB791"/>
    <mergeCell ref="X792:AB79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Q824:T824"/>
    <mergeCell ref="Z805:AE805"/>
    <mergeCell ref="J787:N787"/>
    <mergeCell ref="T793:W793"/>
    <mergeCell ref="X790:AB790"/>
    <mergeCell ref="AM738:AO738"/>
    <mergeCell ref="H330:M330"/>
    <mergeCell ref="H340:R340"/>
    <mergeCell ref="H337:R337"/>
    <mergeCell ref="P344:AE344"/>
    <mergeCell ref="H322:M322"/>
    <mergeCell ref="AA340:AK340"/>
    <mergeCell ref="AA334:AK334"/>
    <mergeCell ref="R643:T643"/>
    <mergeCell ref="R644:T644"/>
    <mergeCell ref="AO651:AS651"/>
    <mergeCell ref="G654:R654"/>
    <mergeCell ref="Z655:AK655"/>
    <mergeCell ref="Z657:AE657"/>
    <mergeCell ref="Z662:AK662"/>
    <mergeCell ref="G685:R685"/>
    <mergeCell ref="AA658:AK658"/>
    <mergeCell ref="H658:R658"/>
    <mergeCell ref="M357:N357"/>
    <mergeCell ref="P417:R417"/>
    <mergeCell ref="P343:AE343"/>
    <mergeCell ref="AI330:AK330"/>
    <mergeCell ref="AA329:AK329"/>
    <mergeCell ref="AA337:AK337"/>
    <mergeCell ref="M354:N354"/>
    <mergeCell ref="AG389:AJ389"/>
    <mergeCell ref="J384:U384"/>
    <mergeCell ref="V380:W380"/>
    <mergeCell ref="AC346:AE346"/>
    <mergeCell ref="Q390:U390"/>
    <mergeCell ref="Y724:AB727"/>
    <mergeCell ref="O729:S729"/>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M824:P824"/>
    <mergeCell ref="J795:N795"/>
    <mergeCell ref="O795:S795"/>
    <mergeCell ref="O796:S796"/>
    <mergeCell ref="T792:W792"/>
    <mergeCell ref="AC745:AG745"/>
    <mergeCell ref="AC746:AG746"/>
    <mergeCell ref="AC747:AG747"/>
    <mergeCell ref="O790:S790"/>
    <mergeCell ref="Z815:AE815"/>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S391:U391"/>
    <mergeCell ref="R410:S410"/>
    <mergeCell ref="C572:P572"/>
    <mergeCell ref="C571:P571"/>
    <mergeCell ref="O637:Q637"/>
    <mergeCell ref="O640:Q640"/>
    <mergeCell ref="O641:Q641"/>
    <mergeCell ref="O642:Q642"/>
    <mergeCell ref="C637:N637"/>
    <mergeCell ref="C638:N638"/>
    <mergeCell ref="C639:N639"/>
    <mergeCell ref="C640:N640"/>
    <mergeCell ref="C641:N641"/>
    <mergeCell ref="C642:N642"/>
    <mergeCell ref="B649:AN649"/>
    <mergeCell ref="O153:AH153"/>
    <mergeCell ref="O154:AH154"/>
    <mergeCell ref="O156:AH156"/>
    <mergeCell ref="O157:X157"/>
    <mergeCell ref="P290:R290"/>
    <mergeCell ref="AA296:AK296"/>
    <mergeCell ref="L273:AJ273"/>
    <mergeCell ref="M251:AE251"/>
    <mergeCell ref="O158:R158"/>
    <mergeCell ref="W159:X159"/>
    <mergeCell ref="H323:M323"/>
    <mergeCell ref="H318:R318"/>
    <mergeCell ref="AA320:AK320"/>
    <mergeCell ref="H324:R324"/>
    <mergeCell ref="N371:Q371"/>
    <mergeCell ref="X180:Y180"/>
    <mergeCell ref="AC244:AE244"/>
    <mergeCell ref="M245:AE245"/>
    <mergeCell ref="W244:X244"/>
    <mergeCell ref="J174:Z174"/>
    <mergeCell ref="M233:T233"/>
    <mergeCell ref="W233:X233"/>
    <mergeCell ref="M263:AE263"/>
    <mergeCell ref="AA264:AK264"/>
    <mergeCell ref="T190:AE190"/>
    <mergeCell ref="M262:R262"/>
    <mergeCell ref="M264:T264"/>
    <mergeCell ref="H294:R294"/>
    <mergeCell ref="H295:R295"/>
    <mergeCell ref="V275:W275"/>
    <mergeCell ref="H334:R334"/>
    <mergeCell ref="AA318:AK318"/>
    <mergeCell ref="P338:R338"/>
    <mergeCell ref="N362:O362"/>
    <mergeCell ref="M356:N356"/>
    <mergeCell ref="H319:R319"/>
    <mergeCell ref="P345:AE345"/>
    <mergeCell ref="C643:N643"/>
    <mergeCell ref="C644:N644"/>
    <mergeCell ref="C645:N645"/>
    <mergeCell ref="C646:N646"/>
    <mergeCell ref="R646:T646"/>
    <mergeCell ref="U634:W636"/>
    <mergeCell ref="G621:R621"/>
    <mergeCell ref="H600:R600"/>
    <mergeCell ref="Q388:U388"/>
    <mergeCell ref="P346:Z346"/>
    <mergeCell ref="AJ356:AK356"/>
    <mergeCell ref="AA332:AK332"/>
    <mergeCell ref="H338:M338"/>
    <mergeCell ref="A478:AL479"/>
    <mergeCell ref="AC536:AF536"/>
    <mergeCell ref="AD484:AH485"/>
    <mergeCell ref="B501:P502"/>
    <mergeCell ref="AC518:AF518"/>
    <mergeCell ref="AE401:AJ401"/>
    <mergeCell ref="AC511:AK511"/>
    <mergeCell ref="Y488:AC488"/>
    <mergeCell ref="AH518:AK518"/>
    <mergeCell ref="AD487:AH487"/>
    <mergeCell ref="P342:AE342"/>
    <mergeCell ref="H320:R320"/>
    <mergeCell ref="H321:R321"/>
    <mergeCell ref="AA330:AF33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AA338:AF338"/>
    <mergeCell ref="Y132:AK132"/>
    <mergeCell ref="A11:AL11"/>
    <mergeCell ref="O155:AH155"/>
    <mergeCell ref="A169:AL170"/>
    <mergeCell ref="H297:R297"/>
    <mergeCell ref="T189:AE189"/>
    <mergeCell ref="T194:U194"/>
    <mergeCell ref="E187:AE188"/>
    <mergeCell ref="I189:P189"/>
    <mergeCell ref="Y198:Z198"/>
    <mergeCell ref="U175:V175"/>
    <mergeCell ref="I184:AE184"/>
    <mergeCell ref="AI178:AK178"/>
    <mergeCell ref="O159:T159"/>
    <mergeCell ref="AH253:AK253"/>
    <mergeCell ref="AH261:AK261"/>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AA289:AK289"/>
    <mergeCell ref="M231:AK231"/>
    <mergeCell ref="M232:AE232"/>
    <mergeCell ref="N191:AE192"/>
    <mergeCell ref="D210:M210"/>
    <mergeCell ref="AI227:AJ227"/>
    <mergeCell ref="AI225:AJ225"/>
    <mergeCell ref="M234:AE234"/>
    <mergeCell ref="AF242:AK242"/>
    <mergeCell ref="T195:U195"/>
    <mergeCell ref="D219:Z219"/>
    <mergeCell ref="AC233:AE233"/>
    <mergeCell ref="U246:W246"/>
    <mergeCell ref="M236:AE236"/>
    <mergeCell ref="AI226:AJ226"/>
    <mergeCell ref="M259:AE259"/>
    <mergeCell ref="M261:AE261"/>
    <mergeCell ref="H289:R289"/>
    <mergeCell ref="D204:M204"/>
    <mergeCell ref="R177:S177"/>
    <mergeCell ref="U235:W235"/>
    <mergeCell ref="Z254:AE254"/>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H311:R311"/>
    <mergeCell ref="H304:R304"/>
    <mergeCell ref="AA299:AF299"/>
    <mergeCell ref="H305:R305"/>
    <mergeCell ref="AA313:AK313"/>
    <mergeCell ref="AA310:AK310"/>
    <mergeCell ref="AA305:AK305"/>
    <mergeCell ref="AA302:AK302"/>
    <mergeCell ref="D269:H269"/>
    <mergeCell ref="X269:AC269"/>
    <mergeCell ref="H290:M290"/>
    <mergeCell ref="H314:M314"/>
    <mergeCell ref="H287:R287"/>
    <mergeCell ref="H303:R303"/>
    <mergeCell ref="A281:AL282"/>
    <mergeCell ref="H292:R292"/>
    <mergeCell ref="H302:R302"/>
    <mergeCell ref="AI298:AK298"/>
    <mergeCell ref="H296:R296"/>
    <mergeCell ref="AA307:AF307"/>
    <mergeCell ref="AA311:AK311"/>
    <mergeCell ref="AI306:AK306"/>
    <mergeCell ref="AA288:AK288"/>
    <mergeCell ref="AA286:AK286"/>
    <mergeCell ref="AA287:AK287"/>
    <mergeCell ref="U262:W262"/>
    <mergeCell ref="AA298:AF298"/>
    <mergeCell ref="T266:X266"/>
    <mergeCell ref="P314:R314"/>
    <mergeCell ref="Z262:AE262"/>
    <mergeCell ref="H310:R310"/>
    <mergeCell ref="H307:M307"/>
    <mergeCell ref="P306:R306"/>
    <mergeCell ref="H286:R286"/>
    <mergeCell ref="H288:R288"/>
    <mergeCell ref="AA237:AK237"/>
    <mergeCell ref="T193:AI193"/>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16:AK316"/>
    <mergeCell ref="AA324:AK324"/>
    <mergeCell ref="H313:R313"/>
    <mergeCell ref="AA315:AF315"/>
    <mergeCell ref="H316:R316"/>
    <mergeCell ref="L275:S275"/>
    <mergeCell ref="L277:Q277"/>
    <mergeCell ref="AA295:AK295"/>
    <mergeCell ref="M244:T244"/>
    <mergeCell ref="D207:M207"/>
    <mergeCell ref="Z246:AE246"/>
    <mergeCell ref="U254:W254"/>
    <mergeCell ref="P298:R298"/>
    <mergeCell ref="H413:AE414"/>
    <mergeCell ref="D436:AF43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L278:AD278"/>
    <mergeCell ref="M260:T260"/>
    <mergeCell ref="W260:X260"/>
    <mergeCell ref="C124:K124"/>
    <mergeCell ref="O160:T160"/>
    <mergeCell ref="O161:AH161"/>
    <mergeCell ref="D164:AH164"/>
    <mergeCell ref="P423:Q423"/>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B529:H531"/>
    <mergeCell ref="AC537:AF537"/>
    <mergeCell ref="AH540:AK540"/>
    <mergeCell ref="AC543:AF543"/>
    <mergeCell ref="AH543:AK543"/>
    <mergeCell ref="AC532:AF532"/>
    <mergeCell ref="D468:V468"/>
    <mergeCell ref="T488:X488"/>
    <mergeCell ref="AD490:AH490"/>
    <mergeCell ref="AC516:AF516"/>
    <mergeCell ref="AC539:AF539"/>
    <mergeCell ref="AC535:AF535"/>
    <mergeCell ref="B515:H520"/>
    <mergeCell ref="AH517:AK517"/>
    <mergeCell ref="AH549:AK549"/>
    <mergeCell ref="AH550:AK550"/>
    <mergeCell ref="Q428:R428"/>
    <mergeCell ref="AG441:AJ441"/>
    <mergeCell ref="D466:V466"/>
    <mergeCell ref="H616:R616"/>
    <mergeCell ref="P615:R615"/>
    <mergeCell ref="AA608:AK608"/>
    <mergeCell ref="N370:Q370"/>
    <mergeCell ref="V381:W381"/>
    <mergeCell ref="AF417:AH417"/>
    <mergeCell ref="Y363:Z363"/>
    <mergeCell ref="AG379:AH379"/>
    <mergeCell ref="N377:P377"/>
    <mergeCell ref="Y484:AC485"/>
    <mergeCell ref="Q566:S566"/>
    <mergeCell ref="AI563:AL563"/>
    <mergeCell ref="A556:AS557"/>
    <mergeCell ref="AC553:AF553"/>
    <mergeCell ref="I391:N391"/>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D437:AF437"/>
    <mergeCell ref="AD376:AE376"/>
    <mergeCell ref="J385:U385"/>
    <mergeCell ref="AC541:AF541"/>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X620:CB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24:BJ624"/>
    <mergeCell ref="BG622:BH622"/>
    <mergeCell ref="BK622:BL622"/>
    <mergeCell ref="BG624:BH624"/>
    <mergeCell ref="BG628:BH628"/>
    <mergeCell ref="BI628:BJ628"/>
    <mergeCell ref="BK628:BL628"/>
    <mergeCell ref="BS628:BW628"/>
    <mergeCell ref="BX628:CB628"/>
    <mergeCell ref="BE629:BF629"/>
    <mergeCell ref="BI625:BJ625"/>
    <mergeCell ref="BK625:BL625"/>
    <mergeCell ref="BG625:BH625"/>
    <mergeCell ref="BG629:BH629"/>
    <mergeCell ref="BX623:CB623"/>
    <mergeCell ref="BE628:BF628"/>
    <mergeCell ref="BE627:BF627"/>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4:BW624"/>
    <mergeCell ref="BX624:CB624"/>
    <mergeCell ref="BS622:BW622"/>
    <mergeCell ref="BX622:CB622"/>
    <mergeCell ref="CH626:CL626"/>
    <mergeCell ref="CM632:CQ632"/>
    <mergeCell ref="CH632:CL632"/>
    <mergeCell ref="BX632:CB632"/>
    <mergeCell ref="BN632:BR632"/>
    <mergeCell ref="BS632:BW632"/>
    <mergeCell ref="BG631:BH631"/>
    <mergeCell ref="BI631:BJ631"/>
    <mergeCell ref="BK631:BL631"/>
    <mergeCell ref="BK632:BL632"/>
    <mergeCell ref="BN631:BR631"/>
    <mergeCell ref="BS631:BW631"/>
    <mergeCell ref="BG627:BH627"/>
    <mergeCell ref="BI630:BJ630"/>
    <mergeCell ref="BK630:BL630"/>
    <mergeCell ref="BN630:BR630"/>
    <mergeCell ref="BS630:BW630"/>
    <mergeCell ref="BI627:BJ627"/>
    <mergeCell ref="BK627:BL627"/>
    <mergeCell ref="BI626:BJ626"/>
    <mergeCell ref="BK626:BL626"/>
    <mergeCell ref="BX627:CB627"/>
    <mergeCell ref="BS626:BW626"/>
    <mergeCell ref="CM636:CQ636"/>
    <mergeCell ref="CC633:CG633"/>
    <mergeCell ref="BX642:CB642"/>
    <mergeCell ref="BX643:CB643"/>
    <mergeCell ref="CC643:CG643"/>
    <mergeCell ref="CH643:CL643"/>
    <mergeCell ref="CM643:CQ643"/>
    <mergeCell ref="BN642:BR642"/>
    <mergeCell ref="BN643:BR643"/>
    <mergeCell ref="BN644:BR644"/>
    <mergeCell ref="BS644:BW644"/>
    <mergeCell ref="BX626:CB626"/>
    <mergeCell ref="CC626:CG626"/>
    <mergeCell ref="BN627:BR627"/>
    <mergeCell ref="CH628:CL628"/>
    <mergeCell ref="BN629:BR629"/>
    <mergeCell ref="BN635:BR635"/>
    <mergeCell ref="BS635:BW63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BX633:CB633"/>
    <mergeCell ref="CH653:CL653"/>
    <mergeCell ref="BX663:CB663"/>
    <mergeCell ref="CH640:CL640"/>
    <mergeCell ref="CH655:CL655"/>
    <mergeCell ref="CH656:CL656"/>
    <mergeCell ref="CH657:CL657"/>
    <mergeCell ref="CH627:CL627"/>
    <mergeCell ref="BX630:CB630"/>
    <mergeCell ref="BN655:BR655"/>
    <mergeCell ref="BN656:BR656"/>
    <mergeCell ref="BN657:BR657"/>
    <mergeCell ref="BN658:BR658"/>
    <mergeCell ref="BS658:BW658"/>
    <mergeCell ref="BX658:CB658"/>
    <mergeCell ref="CC658:CG658"/>
    <mergeCell ref="CH658:CL658"/>
    <mergeCell ref="BS642:BW642"/>
    <mergeCell ref="BS643:BW643"/>
    <mergeCell ref="BX644:CB644"/>
    <mergeCell ref="CC644:CG644"/>
    <mergeCell ref="CC642:CG642"/>
    <mergeCell ref="CH641:CL641"/>
    <mergeCell ref="BX656:CB656"/>
    <mergeCell ref="BX657:CB657"/>
    <mergeCell ref="CC652:CG652"/>
    <mergeCell ref="CC653:CG653"/>
    <mergeCell ref="CC655:CG655"/>
    <mergeCell ref="CC656:CG656"/>
    <mergeCell ref="CC657:CG657"/>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K634:BL634"/>
    <mergeCell ref="BN634:BR634"/>
    <mergeCell ref="BG635:BH635"/>
    <mergeCell ref="BK635:BL635"/>
    <mergeCell ref="BG632:BH632"/>
    <mergeCell ref="BI632:BJ632"/>
    <mergeCell ref="BE617:BF617"/>
    <mergeCell ref="BN617:BR617"/>
    <mergeCell ref="BN622:BR622"/>
    <mergeCell ref="BN623:BR623"/>
    <mergeCell ref="AH534:AK534"/>
    <mergeCell ref="AM573:AS573"/>
    <mergeCell ref="AM568:AS568"/>
    <mergeCell ref="AC540:AF540"/>
    <mergeCell ref="O541:AA541"/>
    <mergeCell ref="Y489:AC489"/>
    <mergeCell ref="T484:X485"/>
    <mergeCell ref="Y487:AC487"/>
    <mergeCell ref="AH516:AK516"/>
    <mergeCell ref="AH529:AK529"/>
    <mergeCell ref="AC520:AF520"/>
    <mergeCell ref="AH528:AK528"/>
    <mergeCell ref="AH533:AK533"/>
    <mergeCell ref="AC529:AF529"/>
    <mergeCell ref="AH527:AK527"/>
    <mergeCell ref="AC528:AF528"/>
    <mergeCell ref="T568:V568"/>
    <mergeCell ref="T489:X489"/>
    <mergeCell ref="AD494:AH494"/>
    <mergeCell ref="AC514:AF514"/>
    <mergeCell ref="AH512:AK512"/>
    <mergeCell ref="Q501:R502"/>
    <mergeCell ref="Z566:AD566"/>
    <mergeCell ref="Y494:AC494"/>
    <mergeCell ref="AH515:AK515"/>
    <mergeCell ref="AH554:AK554"/>
    <mergeCell ref="W566:Y566"/>
    <mergeCell ref="AI564:AL564"/>
    <mergeCell ref="AM572:AS572"/>
    <mergeCell ref="AC531:AF531"/>
    <mergeCell ref="AC519:AF519"/>
    <mergeCell ref="AH519:AK519"/>
    <mergeCell ref="AC530:AF530"/>
    <mergeCell ref="T566:V566"/>
    <mergeCell ref="AE564:AH564"/>
    <mergeCell ref="L520:AB520"/>
    <mergeCell ref="C568:P568"/>
    <mergeCell ref="AE568:AH568"/>
    <mergeCell ref="AI568:AL568"/>
    <mergeCell ref="T567:V567"/>
    <mergeCell ref="W564:Y564"/>
    <mergeCell ref="W565:Y565"/>
    <mergeCell ref="Q571:S571"/>
    <mergeCell ref="Q572:S572"/>
    <mergeCell ref="W571:Y571"/>
    <mergeCell ref="O532:AA532"/>
    <mergeCell ref="AI567:AL567"/>
    <mergeCell ref="AE571:AH571"/>
    <mergeCell ref="AH544:AK544"/>
    <mergeCell ref="AH538:AK538"/>
    <mergeCell ref="AH532:AK532"/>
    <mergeCell ref="AH531:AK531"/>
    <mergeCell ref="W572:Y572"/>
    <mergeCell ref="AH539:AK539"/>
    <mergeCell ref="O544:AA544"/>
    <mergeCell ref="AC549:AF549"/>
    <mergeCell ref="W563:Y563"/>
    <mergeCell ref="AH542:AK542"/>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AI570:AL570"/>
    <mergeCell ref="AE574:AH574"/>
    <mergeCell ref="AH553:AK553"/>
    <mergeCell ref="AC547:AF547"/>
    <mergeCell ref="AE563:AH563"/>
    <mergeCell ref="AM574:AS574"/>
    <mergeCell ref="Z563:AD563"/>
    <mergeCell ref="AC546:AF546"/>
    <mergeCell ref="AC542:AF542"/>
    <mergeCell ref="O538:AA538"/>
    <mergeCell ref="AH546:AK546"/>
    <mergeCell ref="AH541:AK541"/>
    <mergeCell ref="C570:P570"/>
    <mergeCell ref="AM564:AS564"/>
    <mergeCell ref="G604:R604"/>
    <mergeCell ref="W569:Y569"/>
    <mergeCell ref="W574:Y574"/>
    <mergeCell ref="W575:Y575"/>
    <mergeCell ref="Q573:S573"/>
    <mergeCell ref="Q574:S574"/>
    <mergeCell ref="Q575:S575"/>
    <mergeCell ref="Z581:AK581"/>
    <mergeCell ref="AI582:AK582"/>
    <mergeCell ref="Z589:AK589"/>
    <mergeCell ref="P591:R591"/>
    <mergeCell ref="Z590:AK590"/>
    <mergeCell ref="AG601:AH601"/>
    <mergeCell ref="C567:P567"/>
    <mergeCell ref="Z567:AD567"/>
    <mergeCell ref="T563:V563"/>
    <mergeCell ref="G595:R595"/>
    <mergeCell ref="AG585:AH585"/>
    <mergeCell ref="AI566:AL566"/>
    <mergeCell ref="W568:Y568"/>
    <mergeCell ref="Q567:S567"/>
    <mergeCell ref="Q568:S568"/>
    <mergeCell ref="Q564:S564"/>
    <mergeCell ref="G589:R589"/>
    <mergeCell ref="G590:R590"/>
    <mergeCell ref="BE619:BF619"/>
    <mergeCell ref="P599:R599"/>
    <mergeCell ref="BE614:BF614"/>
    <mergeCell ref="G611:R611"/>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Z582:AE582"/>
    <mergeCell ref="BE611:BF611"/>
    <mergeCell ref="AA600:AK600"/>
    <mergeCell ref="Z603:AK603"/>
    <mergeCell ref="BE610:BF610"/>
    <mergeCell ref="H583:R583"/>
    <mergeCell ref="AG593:AH593"/>
    <mergeCell ref="AI591:AK591"/>
    <mergeCell ref="AM563:AS563"/>
    <mergeCell ref="AM567:AS567"/>
    <mergeCell ref="Z607:AE607"/>
    <mergeCell ref="AM565:AS565"/>
    <mergeCell ref="Z605:AK605"/>
    <mergeCell ref="Z591:AE591"/>
    <mergeCell ref="Z596:AK596"/>
    <mergeCell ref="W861:AC861"/>
    <mergeCell ref="AC773:AG773"/>
    <mergeCell ref="AC774:AG774"/>
    <mergeCell ref="AM575:AS575"/>
    <mergeCell ref="AI565:AL565"/>
    <mergeCell ref="AE566:AH566"/>
    <mergeCell ref="AM566:AS566"/>
    <mergeCell ref="D405:AJ406"/>
    <mergeCell ref="S404:AJ404"/>
    <mergeCell ref="Z574:AD574"/>
    <mergeCell ref="Z575:AD575"/>
    <mergeCell ref="Q497:AK497"/>
    <mergeCell ref="AC525:AF525"/>
    <mergeCell ref="AH525:AK525"/>
    <mergeCell ref="AD486:AH486"/>
    <mergeCell ref="Y490:AC490"/>
    <mergeCell ref="AD488:AH488"/>
    <mergeCell ref="AC533:AF533"/>
    <mergeCell ref="T494:X494"/>
    <mergeCell ref="T565:V565"/>
    <mergeCell ref="Q500:AK500"/>
    <mergeCell ref="Q499:AK499"/>
    <mergeCell ref="Q498:AK498"/>
    <mergeCell ref="Q503:AK503"/>
    <mergeCell ref="Q506:AK506"/>
    <mergeCell ref="Q505:AK505"/>
    <mergeCell ref="Q504:AK504"/>
    <mergeCell ref="C566:P566"/>
    <mergeCell ref="C573:P573"/>
    <mergeCell ref="C574:P574"/>
    <mergeCell ref="C575:P575"/>
    <mergeCell ref="G607:L607"/>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T569:V569"/>
    <mergeCell ref="T570:V570"/>
    <mergeCell ref="Q563:S563"/>
    <mergeCell ref="W567:Y567"/>
    <mergeCell ref="AC554:AF554"/>
    <mergeCell ref="Q569:S569"/>
    <mergeCell ref="Q570:S570"/>
    <mergeCell ref="Q565:S565"/>
    <mergeCell ref="Z578:AK578"/>
    <mergeCell ref="Z580:AK580"/>
    <mergeCell ref="B576:AL576"/>
    <mergeCell ref="C565:P565"/>
    <mergeCell ref="W866:AC866"/>
    <mergeCell ref="AC883:AH883"/>
    <mergeCell ref="Z899:AE899"/>
    <mergeCell ref="AD495:AH495"/>
    <mergeCell ref="Y495:AC495"/>
    <mergeCell ref="T495:X495"/>
    <mergeCell ref="W857:AC857"/>
    <mergeCell ref="AC782:AG785"/>
    <mergeCell ref="X793:AB793"/>
    <mergeCell ref="T795:W795"/>
    <mergeCell ref="X773:AB773"/>
    <mergeCell ref="AI599:AK599"/>
    <mergeCell ref="Z587:AK587"/>
    <mergeCell ref="G612:R612"/>
    <mergeCell ref="Z598:AK598"/>
    <mergeCell ref="Z597:AK597"/>
    <mergeCell ref="AE575:AH575"/>
    <mergeCell ref="Z613:AK613"/>
    <mergeCell ref="Z622:AK622"/>
    <mergeCell ref="Z620:AK620"/>
    <mergeCell ref="G623:L623"/>
    <mergeCell ref="G622:R622"/>
    <mergeCell ref="Z621:AK621"/>
    <mergeCell ref="AG609:AH609"/>
    <mergeCell ref="Z599:AE599"/>
    <mergeCell ref="Z606:AK606"/>
    <mergeCell ref="AF584:AK584"/>
    <mergeCell ref="Z595:AK595"/>
    <mergeCell ref="N593:O593"/>
    <mergeCell ref="G603:R603"/>
    <mergeCell ref="AA616:AK616"/>
    <mergeCell ref="G615:L615"/>
    <mergeCell ref="X787:AB787"/>
    <mergeCell ref="X788:AB788"/>
    <mergeCell ref="X789:AB789"/>
    <mergeCell ref="AC768:AG771"/>
    <mergeCell ref="AA592:AK592"/>
    <mergeCell ref="AI607:AK607"/>
    <mergeCell ref="AG617:AH617"/>
    <mergeCell ref="M507:P507"/>
    <mergeCell ref="AH507:AK507"/>
    <mergeCell ref="AC517:AF517"/>
    <mergeCell ref="AH520:AK520"/>
    <mergeCell ref="Y492:AC492"/>
    <mergeCell ref="W570:Y570"/>
    <mergeCell ref="AG442:AJ442"/>
    <mergeCell ref="AG445:AJ445"/>
    <mergeCell ref="AG446:AJ446"/>
    <mergeCell ref="AG447:AJ447"/>
    <mergeCell ref="AG448:AJ448"/>
    <mergeCell ref="T573:V573"/>
    <mergeCell ref="Z571:AD571"/>
    <mergeCell ref="T575:V575"/>
    <mergeCell ref="C564:P564"/>
    <mergeCell ref="AI573:AL573"/>
    <mergeCell ref="AI575:AL575"/>
    <mergeCell ref="AI574:AL574"/>
    <mergeCell ref="D467:V467"/>
    <mergeCell ref="AH552:AK552"/>
    <mergeCell ref="AC552:AF552"/>
    <mergeCell ref="AC551:AF551"/>
    <mergeCell ref="B532:H554"/>
    <mergeCell ref="B526:H528"/>
    <mergeCell ref="D438:AF438"/>
    <mergeCell ref="N585:O585"/>
    <mergeCell ref="G579:R579"/>
    <mergeCell ref="T571:V571"/>
    <mergeCell ref="T572:V572"/>
    <mergeCell ref="AH536:AK536"/>
    <mergeCell ref="AH537:AK537"/>
    <mergeCell ref="T564:V564"/>
    <mergeCell ref="B563:P563"/>
    <mergeCell ref="C569:P56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E616:BF616"/>
    <mergeCell ref="BE625:BF625"/>
    <mergeCell ref="BS652:BW652"/>
    <mergeCell ref="BX655:CB655"/>
    <mergeCell ref="AH513:AK513"/>
    <mergeCell ref="J387:U387"/>
    <mergeCell ref="AG394:AJ394"/>
    <mergeCell ref="AI391:AJ391"/>
    <mergeCell ref="AG392:AJ392"/>
    <mergeCell ref="AG390:AJ390"/>
    <mergeCell ref="BE615:BF615"/>
    <mergeCell ref="AC522:AF522"/>
    <mergeCell ref="AH522:AK522"/>
    <mergeCell ref="AC524:AF524"/>
    <mergeCell ref="AH524:AK524"/>
    <mergeCell ref="Z564:AD564"/>
    <mergeCell ref="Z565:AD565"/>
    <mergeCell ref="AC521:AF521"/>
    <mergeCell ref="AM570:AS570"/>
    <mergeCell ref="Z579:AK579"/>
    <mergeCell ref="Z572:AD572"/>
    <mergeCell ref="Z573:AD573"/>
    <mergeCell ref="P348:AE348"/>
    <mergeCell ref="AC369:AF369"/>
    <mergeCell ref="P347:Z347"/>
    <mergeCell ref="N372:AF373"/>
    <mergeCell ref="X772:AB772"/>
    <mergeCell ref="D445:AF445"/>
    <mergeCell ref="D446:AF446"/>
    <mergeCell ref="AG440:AJ440"/>
    <mergeCell ref="W417:Y417"/>
    <mergeCell ref="D447:AF447"/>
    <mergeCell ref="AG444:AJ444"/>
    <mergeCell ref="T772:W772"/>
    <mergeCell ref="D439:AF439"/>
    <mergeCell ref="AG437:AJ437"/>
    <mergeCell ref="AE423:AF423"/>
    <mergeCell ref="AG393:AJ393"/>
    <mergeCell ref="AJ354:AK354"/>
    <mergeCell ref="A350:AL351"/>
    <mergeCell ref="AC384:AJ384"/>
    <mergeCell ref="AG376:AH376"/>
    <mergeCell ref="E417:G417"/>
    <mergeCell ref="AD410:AE410"/>
    <mergeCell ref="D444:AF444"/>
    <mergeCell ref="B513:H514"/>
    <mergeCell ref="AI615:AK615"/>
    <mergeCell ref="T490:X490"/>
    <mergeCell ref="J386:U386"/>
    <mergeCell ref="AC385:AJ385"/>
    <mergeCell ref="T491:X491"/>
    <mergeCell ref="Q392:U392"/>
    <mergeCell ref="Y491:AC491"/>
    <mergeCell ref="AH521:AK521"/>
    <mergeCell ref="BE618:BF618"/>
    <mergeCell ref="S401:U401"/>
    <mergeCell ref="F426:AH427"/>
    <mergeCell ref="D448:AF448"/>
    <mergeCell ref="T492:X492"/>
    <mergeCell ref="D470:V470"/>
    <mergeCell ref="D464:V464"/>
    <mergeCell ref="W467:Y467"/>
    <mergeCell ref="AG400:AJ400"/>
    <mergeCell ref="AG438:AJ438"/>
    <mergeCell ref="AG443:AJ443"/>
    <mergeCell ref="AC453:AF453"/>
    <mergeCell ref="Z433:AA433"/>
    <mergeCell ref="AD411:AE411"/>
    <mergeCell ref="D441:AF441"/>
    <mergeCell ref="K403:AJ403"/>
    <mergeCell ref="K402:AJ402"/>
    <mergeCell ref="AD489:AH489"/>
    <mergeCell ref="W466:Y466"/>
    <mergeCell ref="AD491:AH491"/>
    <mergeCell ref="W470:Y470"/>
    <mergeCell ref="W465:Y465"/>
    <mergeCell ref="T483:AH483"/>
    <mergeCell ref="W471:Y471"/>
    <mergeCell ref="E419:AJ419"/>
    <mergeCell ref="P424:Q424"/>
    <mergeCell ref="I417:K417"/>
    <mergeCell ref="Z431:AA431"/>
    <mergeCell ref="AC455:AF455"/>
    <mergeCell ref="D443:AF443"/>
    <mergeCell ref="S412:T412"/>
    <mergeCell ref="AE424:AF424"/>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9" t="s">
        <v>655</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392</v>
      </c>
      <c r="D2" s="208" t="s">
        <v>391</v>
      </c>
      <c r="E2" s="208" t="s">
        <v>25</v>
      </c>
      <c r="F2" s="209" t="str">
        <f>Application!B637&amp;Application!C637</f>
        <v>1)Citibank -Tranche A - Tax-Exempt</v>
      </c>
      <c r="G2" s="209" t="str">
        <f>Application!B638&amp;Application!C638</f>
        <v>2)USA Properties Fund, Inc.- Tax Exempt B Bond</v>
      </c>
      <c r="H2" s="209" t="str">
        <f>Application!B639&amp;Application!C639</f>
        <v>3)0</v>
      </c>
      <c r="I2" s="209" t="str">
        <f>Application!B640&amp;Application!C640</f>
        <v>4)Riverside Charitable Corp-Equity Investment</v>
      </c>
      <c r="J2" s="209" t="str">
        <f>Application!B641&amp;Application!C641</f>
        <v>5)NOI during Construction</v>
      </c>
      <c r="K2" s="209" t="str">
        <f>Application!B642&amp;Application!C642</f>
        <v>6)USA Multi-Family Development, Inc.</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800000</v>
      </c>
      <c r="C4" s="217">
        <v>800000</v>
      </c>
      <c r="D4" s="217"/>
      <c r="E4" s="217">
        <f>C4</f>
        <v>800000</v>
      </c>
      <c r="F4" s="217"/>
      <c r="G4" s="217"/>
      <c r="H4" s="217"/>
      <c r="I4" s="217"/>
      <c r="J4" s="217"/>
      <c r="K4" s="217"/>
      <c r="L4" s="217"/>
      <c r="M4" s="217"/>
      <c r="N4" s="217"/>
      <c r="O4" s="217"/>
      <c r="P4" s="217"/>
      <c r="Q4" s="217"/>
      <c r="R4" s="879">
        <f>SUM(E4:Q4)</f>
        <v>800000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800000</v>
      </c>
      <c r="C8" s="216">
        <f t="shared" ref="C8:Q8" si="0">SUM(C4:C7)</f>
        <v>800000</v>
      </c>
      <c r="D8" s="216">
        <f t="shared" si="0"/>
        <v>0</v>
      </c>
      <c r="E8" s="216">
        <f t="shared" si="0"/>
        <v>800000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800000</v>
      </c>
      <c r="C12" s="216">
        <f t="shared" si="2"/>
        <v>800000</v>
      </c>
      <c r="D12" s="216">
        <f t="shared" si="2"/>
        <v>0</v>
      </c>
      <c r="E12" s="216">
        <f t="shared" si="2"/>
        <v>800000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800000</v>
      </c>
      <c r="S12" s="218"/>
      <c r="T12" s="218"/>
      <c r="U12" s="213"/>
    </row>
    <row r="13" spans="1:21" s="214" customFormat="1">
      <c r="A13" s="449" t="s">
        <v>970</v>
      </c>
      <c r="B13" s="216">
        <f>SUM(C13+D13)</f>
        <v>61341</v>
      </c>
      <c r="C13" s="217">
        <v>61341</v>
      </c>
      <c r="D13" s="217"/>
      <c r="E13" s="217"/>
      <c r="F13" s="217">
        <f>C13</f>
        <v>61341</v>
      </c>
      <c r="G13" s="217"/>
      <c r="H13" s="217"/>
      <c r="I13" s="217"/>
      <c r="J13" s="217"/>
      <c r="K13" s="217"/>
      <c r="L13" s="217"/>
      <c r="M13" s="217"/>
      <c r="N13" s="217"/>
      <c r="O13" s="217"/>
      <c r="P13" s="217"/>
      <c r="Q13" s="217"/>
      <c r="R13" s="879">
        <f>SUM(E13:Q13)</f>
        <v>61341</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f>C20</f>
        <v>0</v>
      </c>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7495488</v>
      </c>
      <c r="C29" s="217">
        <v>7495488</v>
      </c>
      <c r="D29" s="217"/>
      <c r="E29" s="217"/>
      <c r="F29" s="217">
        <f>C29-G29-H29</f>
        <v>5495488</v>
      </c>
      <c r="G29" s="217">
        <v>2000000</v>
      </c>
      <c r="H29" s="217"/>
      <c r="I29" s="217"/>
      <c r="J29" s="217"/>
      <c r="K29" s="217"/>
      <c r="L29" s="217"/>
      <c r="M29" s="217"/>
      <c r="N29" s="217"/>
      <c r="O29" s="217"/>
      <c r="P29" s="217"/>
      <c r="Q29" s="217"/>
      <c r="R29" s="879">
        <f t="shared" ref="R29:R37" si="7">SUM(E29:Q29)</f>
        <v>7495488</v>
      </c>
      <c r="S29" s="217">
        <f>R29</f>
        <v>7495488</v>
      </c>
      <c r="T29" s="217"/>
      <c r="U29" s="213"/>
    </row>
    <row r="30" spans="1:21" s="214" customFormat="1">
      <c r="A30" s="215" t="s">
        <v>633</v>
      </c>
      <c r="B30" s="216">
        <f t="shared" si="6"/>
        <v>39167654</v>
      </c>
      <c r="C30" s="217">
        <f>1225576+940784+37001294</f>
        <v>39167654</v>
      </c>
      <c r="D30" s="217"/>
      <c r="E30" s="217">
        <f>C30-F30</f>
        <v>5139483</v>
      </c>
      <c r="F30" s="217">
        <f>39585000-5556829</f>
        <v>34028171</v>
      </c>
      <c r="G30" s="217"/>
      <c r="H30" s="217"/>
      <c r="I30" s="217"/>
      <c r="J30" s="217"/>
      <c r="K30" s="217"/>
      <c r="L30" s="217"/>
      <c r="M30" s="217"/>
      <c r="N30" s="217"/>
      <c r="O30" s="217"/>
      <c r="P30" s="217"/>
      <c r="Q30" s="217"/>
      <c r="R30" s="879">
        <f t="shared" si="7"/>
        <v>39167654</v>
      </c>
      <c r="S30" s="217">
        <f t="shared" ref="S30:S36" si="8">R30</f>
        <v>39167654</v>
      </c>
      <c r="T30" s="217"/>
      <c r="U30" s="213"/>
    </row>
    <row r="31" spans="1:21" s="214" customFormat="1">
      <c r="A31" s="215" t="s">
        <v>634</v>
      </c>
      <c r="B31" s="216">
        <f t="shared" si="6"/>
        <v>1927296</v>
      </c>
      <c r="C31" s="217">
        <v>1927296</v>
      </c>
      <c r="D31" s="217"/>
      <c r="E31" s="217">
        <f>C31</f>
        <v>1927296</v>
      </c>
      <c r="F31" s="217"/>
      <c r="G31" s="217"/>
      <c r="H31" s="217"/>
      <c r="I31" s="217"/>
      <c r="J31" s="217"/>
      <c r="K31" s="217"/>
      <c r="L31" s="217"/>
      <c r="M31" s="217"/>
      <c r="N31" s="217"/>
      <c r="O31" s="217"/>
      <c r="P31" s="217"/>
      <c r="Q31" s="217"/>
      <c r="R31" s="879">
        <f t="shared" si="7"/>
        <v>1927296</v>
      </c>
      <c r="S31" s="217">
        <f t="shared" si="8"/>
        <v>1927296</v>
      </c>
      <c r="T31" s="217"/>
      <c r="U31" s="213"/>
    </row>
    <row r="32" spans="1:21" s="214" customFormat="1">
      <c r="A32" s="215" t="s">
        <v>142</v>
      </c>
      <c r="B32" s="216">
        <f t="shared" si="6"/>
        <v>2397882</v>
      </c>
      <c r="C32" s="217">
        <f>4795764/2</f>
        <v>2397882</v>
      </c>
      <c r="D32" s="217"/>
      <c r="E32" s="217">
        <f>C32</f>
        <v>2397882</v>
      </c>
      <c r="F32" s="217"/>
      <c r="G32" s="217"/>
      <c r="H32" s="217"/>
      <c r="I32" s="217"/>
      <c r="J32" s="217"/>
      <c r="K32" s="217"/>
      <c r="L32" s="217"/>
      <c r="M32" s="217"/>
      <c r="N32" s="217"/>
      <c r="O32" s="217"/>
      <c r="P32" s="217"/>
      <c r="Q32" s="217"/>
      <c r="R32" s="879">
        <f t="shared" si="7"/>
        <v>2397882</v>
      </c>
      <c r="S32" s="217">
        <f t="shared" si="8"/>
        <v>2397882</v>
      </c>
      <c r="T32" s="217"/>
      <c r="U32" s="213"/>
    </row>
    <row r="33" spans="1:21" s="214" customFormat="1">
      <c r="A33" s="215" t="s">
        <v>143</v>
      </c>
      <c r="B33" s="216">
        <f t="shared" si="6"/>
        <v>2397882</v>
      </c>
      <c r="C33" s="217">
        <f>C32</f>
        <v>2397882</v>
      </c>
      <c r="D33" s="217"/>
      <c r="E33" s="217">
        <f>C33</f>
        <v>2397882</v>
      </c>
      <c r="F33" s="217"/>
      <c r="G33" s="217"/>
      <c r="H33" s="217"/>
      <c r="I33" s="217"/>
      <c r="J33" s="217"/>
      <c r="K33" s="217"/>
      <c r="L33" s="217"/>
      <c r="M33" s="217"/>
      <c r="N33" s="217"/>
      <c r="O33" s="217"/>
      <c r="P33" s="217"/>
      <c r="Q33" s="217"/>
      <c r="R33" s="879">
        <f t="shared" si="7"/>
        <v>2397882</v>
      </c>
      <c r="S33" s="217">
        <f t="shared" si="8"/>
        <v>2397882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880872</v>
      </c>
      <c r="C35" s="217">
        <v>880872</v>
      </c>
      <c r="D35" s="217"/>
      <c r="E35" s="217">
        <f>C35</f>
        <v>880872</v>
      </c>
      <c r="F35" s="217"/>
      <c r="G35" s="217"/>
      <c r="H35" s="217"/>
      <c r="I35" s="217"/>
      <c r="J35" s="217"/>
      <c r="K35" s="217"/>
      <c r="L35" s="217"/>
      <c r="M35" s="217"/>
      <c r="N35" s="217"/>
      <c r="O35" s="217"/>
      <c r="P35" s="217"/>
      <c r="Q35" s="217"/>
      <c r="R35" s="879">
        <f t="shared" si="7"/>
        <v>880872</v>
      </c>
      <c r="S35" s="217">
        <f t="shared" si="8"/>
        <v>880872</v>
      </c>
      <c r="T35" s="217"/>
      <c r="U35" s="213"/>
    </row>
    <row r="36" spans="1:21" s="214" customFormat="1">
      <c r="A36" s="1809" t="s">
        <v>1993</v>
      </c>
      <c r="B36" s="216">
        <f t="shared" si="6"/>
        <v>50400</v>
      </c>
      <c r="C36" s="217">
        <v>50400</v>
      </c>
      <c r="D36" s="217"/>
      <c r="E36" s="217">
        <f>C36</f>
        <v>50400</v>
      </c>
      <c r="F36" s="217"/>
      <c r="G36" s="217"/>
      <c r="H36" s="217"/>
      <c r="I36" s="217"/>
      <c r="J36" s="217"/>
      <c r="K36" s="217"/>
      <c r="L36" s="217"/>
      <c r="M36" s="217"/>
      <c r="N36" s="217"/>
      <c r="O36" s="217"/>
      <c r="P36" s="217"/>
      <c r="Q36" s="217"/>
      <c r="R36" s="879">
        <f t="shared" si="7"/>
        <v>50400</v>
      </c>
      <c r="S36" s="217">
        <f t="shared" si="8"/>
        <v>50400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54317474</v>
      </c>
      <c r="C38" s="216">
        <f>SUM(C29:C37)</f>
        <v>54317474</v>
      </c>
      <c r="D38" s="216">
        <f t="shared" ref="D38:Q38" si="9">SUM(D29:D37)</f>
        <v>0</v>
      </c>
      <c r="E38" s="216">
        <f t="shared" si="9"/>
        <v>12793815</v>
      </c>
      <c r="F38" s="216">
        <f t="shared" si="9"/>
        <v>39523659</v>
      </c>
      <c r="G38" s="216">
        <f t="shared" si="9"/>
        <v>2000000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54317474</v>
      </c>
      <c r="S38" s="220">
        <f>SUM(S29:S37)</f>
        <v>54317474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1826589</v>
      </c>
      <c r="C40" s="217">
        <f>379799+1947806-C43</f>
        <v>1826589</v>
      </c>
      <c r="D40" s="217"/>
      <c r="E40" s="217">
        <f>C40</f>
        <v>1826589</v>
      </c>
      <c r="F40" s="217"/>
      <c r="G40" s="217"/>
      <c r="H40" s="217"/>
      <c r="I40" s="217"/>
      <c r="J40" s="217"/>
      <c r="K40" s="217"/>
      <c r="L40" s="217"/>
      <c r="M40" s="217"/>
      <c r="N40" s="217"/>
      <c r="O40" s="217"/>
      <c r="P40" s="217"/>
      <c r="Q40" s="217"/>
      <c r="R40" s="879">
        <f>SUM(E40:Q40)</f>
        <v>1826589</v>
      </c>
      <c r="S40" s="217">
        <f>R40</f>
        <v>1826589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1826589</v>
      </c>
      <c r="C42" s="216">
        <f>SUM(C39:C41)</f>
        <v>1826589</v>
      </c>
      <c r="D42" s="216">
        <f>SUM(D39:D41)</f>
        <v>0</v>
      </c>
      <c r="E42" s="216">
        <f t="shared" ref="E42:T42" si="10">SUM(E40:E41)</f>
        <v>1826589</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1826589</v>
      </c>
      <c r="S42" s="220">
        <f t="shared" si="10"/>
        <v>1826589</v>
      </c>
      <c r="T42" s="220">
        <f t="shared" si="10"/>
        <v>0</v>
      </c>
      <c r="U42" s="213"/>
    </row>
    <row r="43" spans="1:21" s="214" customFormat="1">
      <c r="A43" s="219" t="s">
        <v>153</v>
      </c>
      <c r="B43" s="216">
        <f>SUM(C43:D43)</f>
        <v>501016</v>
      </c>
      <c r="C43" s="217">
        <v>501016</v>
      </c>
      <c r="D43" s="217"/>
      <c r="E43" s="217">
        <f>C43</f>
        <v>501016</v>
      </c>
      <c r="F43" s="217"/>
      <c r="G43" s="217"/>
      <c r="H43" s="217"/>
      <c r="I43" s="217"/>
      <c r="J43" s="217"/>
      <c r="K43" s="217"/>
      <c r="L43" s="217"/>
      <c r="M43" s="217"/>
      <c r="N43" s="217"/>
      <c r="O43" s="217"/>
      <c r="P43" s="217"/>
      <c r="Q43" s="217"/>
      <c r="R43" s="879">
        <f>SUM(E43:Q43)</f>
        <v>501016</v>
      </c>
      <c r="S43" s="217">
        <f>R43</f>
        <v>501016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3183036</v>
      </c>
      <c r="C45" s="217">
        <f>2518036+665000</f>
        <v>3183036</v>
      </c>
      <c r="D45" s="217"/>
      <c r="E45" s="217">
        <f>C45</f>
        <v>3183036</v>
      </c>
      <c r="F45" s="217"/>
      <c r="G45" s="217"/>
      <c r="H45" s="217"/>
      <c r="I45" s="217"/>
      <c r="J45" s="217"/>
      <c r="K45" s="217"/>
      <c r="L45" s="217"/>
      <c r="M45" s="217"/>
      <c r="N45" s="217"/>
      <c r="O45" s="217"/>
      <c r="P45" s="217"/>
      <c r="Q45" s="217"/>
      <c r="R45" s="879">
        <f t="shared" ref="R45:R53" si="12">SUM(E45:Q45)</f>
        <v>3183036</v>
      </c>
      <c r="S45" s="217">
        <f>R45</f>
        <v>3183036</v>
      </c>
      <c r="T45" s="217"/>
      <c r="U45" s="213"/>
    </row>
    <row r="46" spans="1:21" s="214" customFormat="1">
      <c r="A46" s="215" t="s">
        <v>156</v>
      </c>
      <c r="B46" s="216">
        <f t="shared" si="11"/>
        <v>55877</v>
      </c>
      <c r="C46" s="217">
        <v>55877</v>
      </c>
      <c r="D46" s="217"/>
      <c r="E46" s="217">
        <f>C46</f>
        <v>55877</v>
      </c>
      <c r="F46" s="217"/>
      <c r="G46" s="217"/>
      <c r="H46" s="217"/>
      <c r="I46" s="217"/>
      <c r="J46" s="217"/>
      <c r="K46" s="217"/>
      <c r="L46" s="217"/>
      <c r="M46" s="217"/>
      <c r="N46" s="217"/>
      <c r="O46" s="217"/>
      <c r="P46" s="217"/>
      <c r="Q46" s="217"/>
      <c r="R46" s="879">
        <f t="shared" si="12"/>
        <v>55877</v>
      </c>
      <c r="S46" s="217">
        <f>R46</f>
        <v>55877</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9">
        <f t="shared" si="12"/>
        <v>0</v>
      </c>
      <c r="S49" s="217"/>
      <c r="T49" s="217"/>
      <c r="U49" s="213"/>
    </row>
    <row r="50" spans="1:21" s="214" customFormat="1">
      <c r="A50" s="215" t="s">
        <v>161</v>
      </c>
      <c r="B50" s="216">
        <f t="shared" si="11"/>
        <v>57500</v>
      </c>
      <c r="C50" s="217">
        <v>57500</v>
      </c>
      <c r="D50" s="217"/>
      <c r="E50" s="217">
        <f>C50</f>
        <v>57500</v>
      </c>
      <c r="F50" s="217"/>
      <c r="G50" s="217"/>
      <c r="H50" s="217"/>
      <c r="I50" s="217"/>
      <c r="J50" s="217"/>
      <c r="K50" s="217"/>
      <c r="L50" s="217"/>
      <c r="M50" s="217"/>
      <c r="N50" s="217"/>
      <c r="O50" s="217"/>
      <c r="P50" s="217"/>
      <c r="Q50" s="217"/>
      <c r="R50" s="879">
        <f t="shared" si="12"/>
        <v>57500</v>
      </c>
      <c r="S50" s="217">
        <f>R50</f>
        <v>57500</v>
      </c>
      <c r="T50" s="217"/>
      <c r="U50" s="213"/>
    </row>
    <row r="51" spans="1:21" s="214" customFormat="1">
      <c r="A51" s="440" t="s">
        <v>159</v>
      </c>
      <c r="B51" s="216">
        <f t="shared" si="11"/>
        <v>620358</v>
      </c>
      <c r="C51" s="217">
        <v>620358</v>
      </c>
      <c r="D51" s="217"/>
      <c r="E51" s="217">
        <f>C51</f>
        <v>620358</v>
      </c>
      <c r="F51" s="217"/>
      <c r="G51" s="217"/>
      <c r="H51" s="217"/>
      <c r="I51" s="217"/>
      <c r="J51" s="217"/>
      <c r="K51" s="217"/>
      <c r="L51" s="217"/>
      <c r="M51" s="217"/>
      <c r="N51" s="217"/>
      <c r="O51" s="217"/>
      <c r="P51" s="217"/>
      <c r="Q51" s="217"/>
      <c r="R51" s="879">
        <f t="shared" si="12"/>
        <v>620358</v>
      </c>
      <c r="S51" s="217">
        <f>R51</f>
        <v>620358</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9">
        <f t="shared" si="12"/>
        <v>0</v>
      </c>
      <c r="S52" s="217"/>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9">
        <f t="shared" si="12"/>
        <v>0</v>
      </c>
      <c r="S53" s="217"/>
      <c r="T53" s="217"/>
      <c r="U53" s="213"/>
    </row>
    <row r="54" spans="1:21" s="224" customFormat="1">
      <c r="A54" s="219" t="s">
        <v>162</v>
      </c>
      <c r="B54" s="220">
        <f>SUM(C54:D54)</f>
        <v>3916771</v>
      </c>
      <c r="C54" s="220">
        <f t="shared" ref="C54:T54" si="13">SUM(C45:C53)</f>
        <v>3916771</v>
      </c>
      <c r="D54" s="220">
        <f t="shared" si="13"/>
        <v>0</v>
      </c>
      <c r="E54" s="220">
        <f t="shared" si="13"/>
        <v>3916771</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3916771</v>
      </c>
      <c r="S54" s="220">
        <f t="shared" si="13"/>
        <v>3916771</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519123</v>
      </c>
      <c r="C56" s="217">
        <f>399123+120000</f>
        <v>519123</v>
      </c>
      <c r="D56" s="217"/>
      <c r="E56" s="217">
        <f>C56</f>
        <v>519123</v>
      </c>
      <c r="F56" s="217"/>
      <c r="G56" s="217"/>
      <c r="H56" s="217"/>
      <c r="I56" s="217"/>
      <c r="J56" s="217"/>
      <c r="K56" s="217"/>
      <c r="L56" s="217"/>
      <c r="M56" s="217"/>
      <c r="N56" s="217"/>
      <c r="O56" s="217"/>
      <c r="P56" s="217"/>
      <c r="Q56" s="217"/>
      <c r="R56" s="879">
        <f t="shared" ref="R56:R61" si="15">SUM(E56:Q56)</f>
        <v>519123</v>
      </c>
      <c r="S56" s="218"/>
      <c r="T56" s="218"/>
      <c r="U56" s="213"/>
    </row>
    <row r="57" spans="1:21" s="303" customFormat="1">
      <c r="A57" s="297" t="s">
        <v>157</v>
      </c>
      <c r="B57" s="304">
        <f t="shared" si="14"/>
        <v>315300</v>
      </c>
      <c r="C57" s="301">
        <v>315300</v>
      </c>
      <c r="D57" s="301"/>
      <c r="E57" s="301">
        <f>C57</f>
        <v>315300</v>
      </c>
      <c r="F57" s="301"/>
      <c r="G57" s="301"/>
      <c r="H57" s="301"/>
      <c r="I57" s="301"/>
      <c r="J57" s="301"/>
      <c r="K57" s="301"/>
      <c r="L57" s="301"/>
      <c r="M57" s="301"/>
      <c r="N57" s="301"/>
      <c r="O57" s="301"/>
      <c r="P57" s="301"/>
      <c r="Q57" s="301"/>
      <c r="R57" s="879">
        <f t="shared" si="15"/>
        <v>315300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2536</v>
      </c>
      <c r="B61" s="216">
        <f t="shared" si="14"/>
        <v>75000</v>
      </c>
      <c r="C61" s="217">
        <v>75000</v>
      </c>
      <c r="D61" s="217"/>
      <c r="E61" s="217">
        <f>C61</f>
        <v>75000</v>
      </c>
      <c r="F61" s="217"/>
      <c r="G61" s="217"/>
      <c r="H61" s="217"/>
      <c r="I61" s="217"/>
      <c r="J61" s="217"/>
      <c r="K61" s="217"/>
      <c r="L61" s="217"/>
      <c r="M61" s="217"/>
      <c r="N61" s="217"/>
      <c r="O61" s="217"/>
      <c r="P61" s="217"/>
      <c r="Q61" s="217"/>
      <c r="R61" s="879">
        <f t="shared" si="15"/>
        <v>75000</v>
      </c>
      <c r="S61" s="218"/>
      <c r="T61" s="218"/>
      <c r="U61" s="213"/>
    </row>
    <row r="62" spans="1:21" s="214" customFormat="1" ht="13.7" customHeight="1">
      <c r="A62" s="219" t="s">
        <v>309</v>
      </c>
      <c r="B62" s="216">
        <f>SUM(C62:D62)</f>
        <v>909423</v>
      </c>
      <c r="C62" s="216">
        <f t="shared" ref="C62:R62" si="16">SUM(C56:C61)</f>
        <v>909423</v>
      </c>
      <c r="D62" s="216">
        <f t="shared" si="16"/>
        <v>0</v>
      </c>
      <c r="E62" s="216">
        <f t="shared" si="16"/>
        <v>909423</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909423</v>
      </c>
      <c r="S62" s="218"/>
      <c r="T62" s="218"/>
      <c r="U62" s="213"/>
    </row>
    <row r="63" spans="1:21" s="214" customFormat="1">
      <c r="A63" s="225" t="s">
        <v>310</v>
      </c>
      <c r="B63" s="216">
        <f t="shared" ref="B63:R63" si="17">SUM(B8+B11+B13+B14+B15+B26+B27+B38+B42+B43+B54+B62)</f>
        <v>62332614</v>
      </c>
      <c r="C63" s="216">
        <f t="shared" si="17"/>
        <v>62332614</v>
      </c>
      <c r="D63" s="216">
        <f t="shared" si="17"/>
        <v>0</v>
      </c>
      <c r="E63" s="216">
        <f t="shared" si="17"/>
        <v>20747614</v>
      </c>
      <c r="F63" s="216">
        <f t="shared" si="17"/>
        <v>39585000</v>
      </c>
      <c r="G63" s="216">
        <f t="shared" si="17"/>
        <v>2000000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62332614</v>
      </c>
      <c r="S63" s="216">
        <f>SUM(S10+S13+S14+S15+S26+S27+S38+S42+S43+S54)</f>
        <v>60561850</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57"/>
      <c r="B69" s="216">
        <f t="shared" si="18"/>
        <v>0</v>
      </c>
      <c r="C69" s="217"/>
      <c r="D69" s="217"/>
      <c r="E69" s="217"/>
      <c r="F69" s="217"/>
      <c r="G69" s="217"/>
      <c r="H69" s="217"/>
      <c r="I69" s="217"/>
      <c r="J69" s="217"/>
      <c r="K69" s="217"/>
      <c r="L69" s="217"/>
      <c r="M69" s="217"/>
      <c r="N69" s="217"/>
      <c r="O69" s="217"/>
      <c r="P69" s="217"/>
      <c r="Q69" s="217"/>
      <c r="R69" s="879">
        <f>SUM(E69:Q69)</f>
        <v>0</v>
      </c>
      <c r="S69" s="217">
        <f>R69</f>
        <v>0</v>
      </c>
      <c r="T69" s="217"/>
      <c r="U69" s="213"/>
    </row>
    <row r="70" spans="1:21" s="214" customFormat="1">
      <c r="A70" s="219" t="s">
        <v>1998</v>
      </c>
      <c r="B70" s="216">
        <f>SUM(C70:D70)</f>
        <v>0</v>
      </c>
      <c r="C70" s="216">
        <f>SUM(C65:C69)</f>
        <v>0</v>
      </c>
      <c r="D70" s="216">
        <f>SUM(D65:D69)</f>
        <v>0</v>
      </c>
      <c r="E70" s="216">
        <f t="shared" ref="E70:T70" si="20">SUM(E65:E69)</f>
        <v>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0</v>
      </c>
      <c r="S70" s="220">
        <f t="shared" si="20"/>
        <v>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876915</v>
      </c>
      <c r="C75" s="217">
        <v>876915</v>
      </c>
      <c r="D75" s="217"/>
      <c r="E75" s="217">
        <f>C75</f>
        <v>876915</v>
      </c>
      <c r="F75" s="217"/>
      <c r="G75" s="217"/>
      <c r="H75" s="217"/>
      <c r="I75" s="217"/>
      <c r="J75" s="217"/>
      <c r="K75" s="217"/>
      <c r="L75" s="217"/>
      <c r="M75" s="217"/>
      <c r="N75" s="217"/>
      <c r="O75" s="217"/>
      <c r="P75" s="217"/>
      <c r="Q75" s="217"/>
      <c r="R75" s="879">
        <f>SUM(E75:Q75)</f>
        <v>876915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876915</v>
      </c>
      <c r="C77" s="216">
        <f>SUM(C72:C76)</f>
        <v>876915</v>
      </c>
      <c r="D77" s="216">
        <f>SUM(D72:D76)</f>
        <v>0</v>
      </c>
      <c r="E77" s="216">
        <f t="shared" ref="E77:Q77" si="21">SUM(E72:E76)</f>
        <v>876915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876915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5338620</v>
      </c>
      <c r="C79" s="217">
        <v>5338620</v>
      </c>
      <c r="D79" s="217"/>
      <c r="E79" s="217">
        <f>C79</f>
        <v>5338620</v>
      </c>
      <c r="F79" s="217"/>
      <c r="G79" s="217"/>
      <c r="H79" s="217"/>
      <c r="I79" s="217"/>
      <c r="J79" s="217"/>
      <c r="K79" s="217"/>
      <c r="L79" s="217"/>
      <c r="M79" s="217"/>
      <c r="N79" s="217"/>
      <c r="O79" s="217"/>
      <c r="P79" s="217"/>
      <c r="Q79" s="217"/>
      <c r="R79" s="879">
        <f>SUM(E79:Q79)</f>
        <v>5338620</v>
      </c>
      <c r="S79" s="217">
        <f>R79</f>
        <v>5338620</v>
      </c>
      <c r="T79" s="217"/>
      <c r="U79" s="213"/>
    </row>
    <row r="80" spans="1:21" s="214" customFormat="1">
      <c r="A80" s="440" t="s">
        <v>61</v>
      </c>
      <c r="B80" s="216">
        <f>SUM(C80:D80)</f>
        <v>329937</v>
      </c>
      <c r="C80" s="217">
        <v>329937</v>
      </c>
      <c r="D80" s="217"/>
      <c r="E80" s="217">
        <f>C80</f>
        <v>329937</v>
      </c>
      <c r="F80" s="217"/>
      <c r="G80" s="217"/>
      <c r="H80" s="217"/>
      <c r="I80" s="217"/>
      <c r="J80" s="217"/>
      <c r="K80" s="217"/>
      <c r="L80" s="217"/>
      <c r="M80" s="217"/>
      <c r="N80" s="217"/>
      <c r="O80" s="217"/>
      <c r="P80" s="217"/>
      <c r="Q80" s="217"/>
      <c r="R80" s="879">
        <f>SUM(E80:Q80)</f>
        <v>329937</v>
      </c>
      <c r="S80" s="217">
        <f>R80</f>
        <v>329937</v>
      </c>
      <c r="T80" s="217"/>
      <c r="U80" s="213"/>
    </row>
    <row r="81" spans="1:21" s="214" customFormat="1">
      <c r="A81" s="219" t="s">
        <v>1418</v>
      </c>
      <c r="B81" s="216">
        <f>SUM(C81:D81)</f>
        <v>5668557</v>
      </c>
      <c r="C81" s="859">
        <f>SUM(C79:C80)</f>
        <v>5668557</v>
      </c>
      <c r="D81" s="859">
        <f t="shared" ref="D81:T81" si="22">SUM(D79:D80)</f>
        <v>0</v>
      </c>
      <c r="E81" s="859">
        <f t="shared" si="22"/>
        <v>5668557</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5668557</v>
      </c>
      <c r="S81" s="859">
        <f t="shared" si="22"/>
        <v>5668557</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166649</v>
      </c>
      <c r="C83" s="217">
        <v>166649</v>
      </c>
      <c r="D83" s="217"/>
      <c r="E83" s="217">
        <f t="shared" ref="E83:E91" si="24">C83</f>
        <v>166649</v>
      </c>
      <c r="F83" s="217"/>
      <c r="G83" s="217"/>
      <c r="H83" s="217"/>
      <c r="I83" s="217"/>
      <c r="J83" s="217"/>
      <c r="K83" s="217"/>
      <c r="L83" s="217"/>
      <c r="M83" s="217"/>
      <c r="N83" s="217"/>
      <c r="O83" s="217"/>
      <c r="P83" s="217"/>
      <c r="Q83" s="217"/>
      <c r="R83" s="879">
        <f t="shared" ref="R83:R95" si="25">SUM(E83:Q83)</f>
        <v>166649</v>
      </c>
      <c r="S83" s="218"/>
      <c r="T83" s="218"/>
      <c r="U83" s="213"/>
    </row>
    <row r="84" spans="1:21" s="214" customFormat="1">
      <c r="A84" s="215" t="s">
        <v>824</v>
      </c>
      <c r="B84" s="216">
        <f t="shared" si="23"/>
        <v>0</v>
      </c>
      <c r="C84" s="217"/>
      <c r="D84" s="217"/>
      <c r="E84" s="217">
        <f t="shared" si="24"/>
        <v>0</v>
      </c>
      <c r="F84" s="217"/>
      <c r="G84" s="217"/>
      <c r="H84" s="217"/>
      <c r="I84" s="217"/>
      <c r="J84" s="217"/>
      <c r="K84" s="217"/>
      <c r="L84" s="217"/>
      <c r="M84" s="217"/>
      <c r="N84" s="217"/>
      <c r="O84" s="217"/>
      <c r="P84" s="217"/>
      <c r="Q84" s="217"/>
      <c r="R84" s="879">
        <f t="shared" si="25"/>
        <v>0</v>
      </c>
      <c r="S84" s="217"/>
      <c r="T84" s="217"/>
      <c r="U84" s="213"/>
    </row>
    <row r="85" spans="1:21" s="214" customFormat="1">
      <c r="A85" s="215" t="s">
        <v>825</v>
      </c>
      <c r="B85" s="216">
        <f t="shared" si="23"/>
        <v>10829370</v>
      </c>
      <c r="C85" s="217">
        <v>10829370</v>
      </c>
      <c r="D85" s="217"/>
      <c r="E85" s="217">
        <f t="shared" si="24"/>
        <v>10829370</v>
      </c>
      <c r="F85" s="217"/>
      <c r="G85" s="217"/>
      <c r="H85" s="217"/>
      <c r="I85" s="217"/>
      <c r="J85" s="217"/>
      <c r="K85" s="217"/>
      <c r="L85" s="217"/>
      <c r="M85" s="217"/>
      <c r="N85" s="217"/>
      <c r="O85" s="217"/>
      <c r="P85" s="217"/>
      <c r="Q85" s="217"/>
      <c r="R85" s="879">
        <f t="shared" si="25"/>
        <v>10829370</v>
      </c>
      <c r="S85" s="217">
        <f>R85</f>
        <v>10829370</v>
      </c>
      <c r="T85" s="217"/>
      <c r="U85" s="213"/>
    </row>
    <row r="86" spans="1:21" s="214" customFormat="1">
      <c r="A86" s="215" t="s">
        <v>826</v>
      </c>
      <c r="B86" s="216">
        <f t="shared" si="23"/>
        <v>946637</v>
      </c>
      <c r="C86" s="217">
        <v>946637</v>
      </c>
      <c r="D86" s="217"/>
      <c r="E86" s="217">
        <f t="shared" si="24"/>
        <v>946637</v>
      </c>
      <c r="F86" s="217"/>
      <c r="G86" s="217"/>
      <c r="H86" s="217"/>
      <c r="I86" s="217"/>
      <c r="J86" s="217"/>
      <c r="K86" s="217"/>
      <c r="L86" s="217"/>
      <c r="M86" s="217"/>
      <c r="N86" s="217"/>
      <c r="O86" s="217"/>
      <c r="P86" s="217"/>
      <c r="Q86" s="217"/>
      <c r="R86" s="879">
        <f t="shared" si="25"/>
        <v>946637</v>
      </c>
      <c r="S86" s="217">
        <f>R86</f>
        <v>946637</v>
      </c>
      <c r="T86" s="217"/>
      <c r="U86" s="213"/>
    </row>
    <row r="87" spans="1:21" s="214" customFormat="1">
      <c r="A87" s="215" t="s">
        <v>827</v>
      </c>
      <c r="B87" s="216">
        <f t="shared" si="23"/>
        <v>1035000</v>
      </c>
      <c r="C87" s="217">
        <v>1035000</v>
      </c>
      <c r="D87" s="217"/>
      <c r="E87" s="217">
        <f t="shared" si="24"/>
        <v>1035000</v>
      </c>
      <c r="F87" s="217"/>
      <c r="G87" s="217"/>
      <c r="H87" s="217"/>
      <c r="I87" s="217"/>
      <c r="J87" s="217"/>
      <c r="K87" s="217"/>
      <c r="L87" s="217"/>
      <c r="M87" s="217"/>
      <c r="N87" s="217"/>
      <c r="O87" s="217"/>
      <c r="P87" s="217"/>
      <c r="Q87" s="217"/>
      <c r="R87" s="879">
        <f t="shared" si="25"/>
        <v>1035000</v>
      </c>
      <c r="S87" s="217">
        <f>R87</f>
        <v>1035000</v>
      </c>
      <c r="T87" s="217"/>
      <c r="U87" s="213"/>
    </row>
    <row r="88" spans="1:21" s="214" customFormat="1">
      <c r="A88" s="215" t="s">
        <v>828</v>
      </c>
      <c r="B88" s="216">
        <f t="shared" si="23"/>
        <v>50000</v>
      </c>
      <c r="C88" s="217">
        <v>50000</v>
      </c>
      <c r="D88" s="217"/>
      <c r="E88" s="217">
        <f t="shared" si="24"/>
        <v>50000</v>
      </c>
      <c r="F88" s="217"/>
      <c r="G88" s="217"/>
      <c r="H88" s="217"/>
      <c r="I88" s="217"/>
      <c r="J88" s="217"/>
      <c r="K88" s="217"/>
      <c r="L88" s="217"/>
      <c r="M88" s="217"/>
      <c r="N88" s="217"/>
      <c r="O88" s="217"/>
      <c r="P88" s="217"/>
      <c r="Q88" s="217"/>
      <c r="R88" s="879">
        <f t="shared" si="25"/>
        <v>50000</v>
      </c>
      <c r="S88" s="218"/>
      <c r="T88" s="218"/>
      <c r="U88" s="213"/>
    </row>
    <row r="89" spans="1:21" s="214" customFormat="1">
      <c r="A89" s="215" t="s">
        <v>829</v>
      </c>
      <c r="B89" s="216">
        <f t="shared" si="23"/>
        <v>460000</v>
      </c>
      <c r="C89" s="217">
        <f>410000+50000</f>
        <v>460000</v>
      </c>
      <c r="D89" s="217"/>
      <c r="E89" s="217">
        <f t="shared" si="24"/>
        <v>460000</v>
      </c>
      <c r="F89" s="217"/>
      <c r="G89" s="217"/>
      <c r="H89" s="217"/>
      <c r="I89" s="217"/>
      <c r="J89" s="217"/>
      <c r="K89" s="217"/>
      <c r="L89" s="217"/>
      <c r="M89" s="217"/>
      <c r="N89" s="217"/>
      <c r="O89" s="217"/>
      <c r="P89" s="217"/>
      <c r="Q89" s="217"/>
      <c r="R89" s="879">
        <f t="shared" si="25"/>
        <v>460000</v>
      </c>
      <c r="S89" s="217">
        <f>R89</f>
        <v>460000</v>
      </c>
      <c r="T89" s="217"/>
      <c r="U89" s="213"/>
    </row>
    <row r="90" spans="1:21" s="214" customFormat="1">
      <c r="A90" s="215" t="s">
        <v>830</v>
      </c>
      <c r="B90" s="216">
        <f t="shared" si="23"/>
        <v>20000</v>
      </c>
      <c r="C90" s="217">
        <v>20000</v>
      </c>
      <c r="D90" s="217"/>
      <c r="E90" s="217">
        <f t="shared" si="24"/>
        <v>20000</v>
      </c>
      <c r="F90" s="217"/>
      <c r="G90" s="217"/>
      <c r="H90" s="217"/>
      <c r="I90" s="217"/>
      <c r="J90" s="217"/>
      <c r="K90" s="217"/>
      <c r="L90" s="217"/>
      <c r="M90" s="217"/>
      <c r="N90" s="217"/>
      <c r="O90" s="217"/>
      <c r="P90" s="217"/>
      <c r="Q90" s="217"/>
      <c r="R90" s="879">
        <f t="shared" si="25"/>
        <v>20000</v>
      </c>
      <c r="S90" s="217">
        <f>R90</f>
        <v>20000</v>
      </c>
      <c r="T90" s="217"/>
      <c r="U90" s="213"/>
    </row>
    <row r="91" spans="1:21" s="214" customFormat="1">
      <c r="A91" s="1810" t="s">
        <v>390</v>
      </c>
      <c r="B91" s="216">
        <f t="shared" si="23"/>
        <v>25000</v>
      </c>
      <c r="C91" s="217">
        <v>25000</v>
      </c>
      <c r="D91" s="217"/>
      <c r="E91" s="217">
        <f t="shared" si="24"/>
        <v>25000</v>
      </c>
      <c r="F91" s="217"/>
      <c r="G91" s="217"/>
      <c r="H91" s="217"/>
      <c r="I91" s="217"/>
      <c r="J91" s="217"/>
      <c r="K91" s="217"/>
      <c r="L91" s="217"/>
      <c r="M91" s="217"/>
      <c r="N91" s="217"/>
      <c r="O91" s="217"/>
      <c r="P91" s="217"/>
      <c r="Q91" s="217"/>
      <c r="R91" s="879">
        <f t="shared" si="25"/>
        <v>25000</v>
      </c>
      <c r="S91" s="217">
        <f>R91</f>
        <v>25000</v>
      </c>
      <c r="T91" s="217"/>
      <c r="U91" s="213"/>
    </row>
    <row r="92" spans="1:21" s="214" customFormat="1">
      <c r="A92" s="1809" t="s">
        <v>1420</v>
      </c>
      <c r="B92" s="216">
        <f t="shared" si="23"/>
        <v>0</v>
      </c>
      <c r="C92" s="217"/>
      <c r="D92" s="217"/>
      <c r="E92" s="217"/>
      <c r="F92" s="217"/>
      <c r="G92" s="217"/>
      <c r="H92" s="217"/>
      <c r="I92" s="217"/>
      <c r="J92" s="217"/>
      <c r="K92" s="217"/>
      <c r="L92" s="217"/>
      <c r="M92" s="217"/>
      <c r="N92" s="217"/>
      <c r="O92" s="217"/>
      <c r="P92" s="217"/>
      <c r="Q92" s="217"/>
      <c r="R92" s="879">
        <f t="shared" si="25"/>
        <v>0</v>
      </c>
      <c r="S92" s="217"/>
      <c r="T92" s="217"/>
      <c r="U92" s="213"/>
    </row>
    <row r="93" spans="1:21" s="214" customFormat="1">
      <c r="A93" s="222" t="s">
        <v>35</v>
      </c>
      <c r="B93" s="216">
        <f t="shared" si="23"/>
        <v>0</v>
      </c>
      <c r="C93" s="217"/>
      <c r="D93" s="217"/>
      <c r="E93" s="217"/>
      <c r="F93" s="217"/>
      <c r="G93" s="217"/>
      <c r="H93" s="217"/>
      <c r="I93" s="217"/>
      <c r="J93" s="217"/>
      <c r="K93" s="217"/>
      <c r="L93" s="217"/>
      <c r="M93" s="217"/>
      <c r="N93" s="217"/>
      <c r="O93" s="217"/>
      <c r="P93" s="217"/>
      <c r="Q93" s="217"/>
      <c r="R93" s="879">
        <f t="shared" si="25"/>
        <v>0</v>
      </c>
      <c r="S93" s="217"/>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9">
        <f t="shared" si="25"/>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9">
        <f t="shared" si="25"/>
        <v>0</v>
      </c>
      <c r="S95" s="217"/>
      <c r="T95" s="217"/>
      <c r="U95" s="213"/>
    </row>
    <row r="96" spans="1:21" s="214" customFormat="1">
      <c r="A96" s="219" t="s">
        <v>831</v>
      </c>
      <c r="B96" s="216">
        <f>SUM(C96:D96)</f>
        <v>13532656</v>
      </c>
      <c r="C96" s="216">
        <f t="shared" ref="C96:R96" si="26">SUM(C83:C95)</f>
        <v>13532656</v>
      </c>
      <c r="D96" s="216">
        <f t="shared" si="26"/>
        <v>0</v>
      </c>
      <c r="E96" s="216">
        <f t="shared" si="26"/>
        <v>13532656</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13532656</v>
      </c>
      <c r="S96" s="220">
        <f>SUM(S84:S87,S89:S95)</f>
        <v>13316007</v>
      </c>
      <c r="T96" s="216">
        <f>SUM(T84:T87,T89:T95)</f>
        <v>0</v>
      </c>
      <c r="U96" s="213"/>
    </row>
    <row r="97" spans="1:21" s="214" customFormat="1">
      <c r="A97" s="219" t="s">
        <v>832</v>
      </c>
      <c r="B97" s="216">
        <f>SUM(C97:D97)</f>
        <v>82410742</v>
      </c>
      <c r="C97" s="216">
        <f t="shared" ref="C97:R97" si="27">SUM(C63+C70+C77+C81+C96)</f>
        <v>82410742</v>
      </c>
      <c r="D97" s="216">
        <f t="shared" si="27"/>
        <v>0</v>
      </c>
      <c r="E97" s="216">
        <f t="shared" si="27"/>
        <v>40825742</v>
      </c>
      <c r="F97" s="216">
        <f t="shared" si="27"/>
        <v>39585000</v>
      </c>
      <c r="G97" s="216">
        <f t="shared" si="27"/>
        <v>2000000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82410742</v>
      </c>
      <c r="S97" s="216">
        <f>SUM(S63+S70+S81+S96)</f>
        <v>79546414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11931962</v>
      </c>
      <c r="C99" s="1702">
        <v>11931962</v>
      </c>
      <c r="D99" s="1702"/>
      <c r="E99" s="1702">
        <f>C99-I99-J99-K99</f>
        <v>3166886</v>
      </c>
      <c r="F99" s="217"/>
      <c r="G99" s="217"/>
      <c r="H99" s="217"/>
      <c r="I99" s="217">
        <v>3815000</v>
      </c>
      <c r="J99" s="217">
        <f>Application!AO641</f>
        <v>1150076</v>
      </c>
      <c r="K99" s="217">
        <f>Application!AO642</f>
        <v>3800000</v>
      </c>
      <c r="L99" s="217"/>
      <c r="M99" s="217"/>
      <c r="N99" s="217"/>
      <c r="O99" s="217"/>
      <c r="P99" s="217"/>
      <c r="Q99" s="217"/>
      <c r="R99" s="879">
        <f t="shared" ref="R99:R103" si="28">SUM(E99:Q99)</f>
        <v>11931962</v>
      </c>
      <c r="S99" s="217">
        <f>R99</f>
        <v>11931962</v>
      </c>
      <c r="T99" s="217"/>
      <c r="U99" s="213"/>
    </row>
    <row r="100" spans="1:21" s="214" customFormat="1">
      <c r="A100" s="440" t="s">
        <v>1999</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2000</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836</v>
      </c>
      <c r="B104" s="216">
        <f>SUM(C104:D104)</f>
        <v>11931962</v>
      </c>
      <c r="C104" s="216">
        <f>SUM(C99:C103)</f>
        <v>11931962</v>
      </c>
      <c r="D104" s="216">
        <f t="shared" ref="D104:T104" si="30">SUM(D99:D103)</f>
        <v>0</v>
      </c>
      <c r="E104" s="216">
        <f t="shared" si="30"/>
        <v>3166886</v>
      </c>
      <c r="F104" s="216">
        <f t="shared" si="30"/>
        <v>0</v>
      </c>
      <c r="G104" s="216">
        <f t="shared" si="30"/>
        <v>0</v>
      </c>
      <c r="H104" s="216">
        <f t="shared" si="30"/>
        <v>0</v>
      </c>
      <c r="I104" s="216">
        <f t="shared" si="30"/>
        <v>3815000</v>
      </c>
      <c r="J104" s="216">
        <f t="shared" si="30"/>
        <v>1150076</v>
      </c>
      <c r="K104" s="216">
        <f t="shared" si="30"/>
        <v>3800000</v>
      </c>
      <c r="L104" s="216">
        <f t="shared" si="30"/>
        <v>0</v>
      </c>
      <c r="M104" s="216">
        <f t="shared" si="30"/>
        <v>0</v>
      </c>
      <c r="N104" s="216">
        <f t="shared" si="30"/>
        <v>0</v>
      </c>
      <c r="O104" s="216">
        <f t="shared" si="30"/>
        <v>0</v>
      </c>
      <c r="P104" s="216">
        <f t="shared" si="30"/>
        <v>0</v>
      </c>
      <c r="Q104" s="216">
        <f t="shared" si="30"/>
        <v>0</v>
      </c>
      <c r="R104" s="534">
        <f t="shared" si="30"/>
        <v>11931962</v>
      </c>
      <c r="S104" s="220">
        <f t="shared" si="30"/>
        <v>11931962</v>
      </c>
      <c r="T104" s="220">
        <f t="shared" si="30"/>
        <v>0</v>
      </c>
      <c r="U104" s="213"/>
    </row>
    <row r="105" spans="1:21" s="214" customFormat="1">
      <c r="A105" s="219" t="s">
        <v>837</v>
      </c>
      <c r="B105" s="220">
        <f>SUM(C105:D105)</f>
        <v>94342704</v>
      </c>
      <c r="C105" s="220">
        <f t="shared" ref="C105:R105" si="31">SUM(C97+C104)</f>
        <v>94342704</v>
      </c>
      <c r="D105" s="220">
        <f t="shared" si="31"/>
        <v>0</v>
      </c>
      <c r="E105" s="220">
        <f t="shared" si="31"/>
        <v>43992628</v>
      </c>
      <c r="F105" s="220">
        <f t="shared" si="31"/>
        <v>39585000</v>
      </c>
      <c r="G105" s="220">
        <f t="shared" si="31"/>
        <v>2000000</v>
      </c>
      <c r="H105" s="220">
        <f t="shared" si="31"/>
        <v>0</v>
      </c>
      <c r="I105" s="220">
        <f t="shared" si="31"/>
        <v>3815000</v>
      </c>
      <c r="J105" s="220">
        <f t="shared" si="31"/>
        <v>1150076</v>
      </c>
      <c r="K105" s="220">
        <f t="shared" si="31"/>
        <v>3800000</v>
      </c>
      <c r="L105" s="220">
        <f t="shared" si="31"/>
        <v>0</v>
      </c>
      <c r="M105" s="220">
        <f t="shared" si="31"/>
        <v>0</v>
      </c>
      <c r="N105" s="220">
        <f t="shared" si="31"/>
        <v>0</v>
      </c>
      <c r="O105" s="220">
        <f t="shared" si="31"/>
        <v>0</v>
      </c>
      <c r="P105" s="220">
        <f t="shared" si="31"/>
        <v>0</v>
      </c>
      <c r="Q105" s="220">
        <f t="shared" si="31"/>
        <v>0</v>
      </c>
      <c r="R105" s="534">
        <f t="shared" si="31"/>
        <v>94342704</v>
      </c>
      <c r="S105" s="220">
        <f>S97+S104</f>
        <v>91478376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91478376</v>
      </c>
      <c r="T107" s="234">
        <f>T105+T106</f>
        <v>0</v>
      </c>
    </row>
    <row r="108" spans="1:21" s="300" customFormat="1">
      <c r="A108" s="233" t="s">
        <v>943</v>
      </c>
      <c r="B108" s="228"/>
      <c r="C108" s="228"/>
      <c r="D108" s="228"/>
      <c r="E108" s="464">
        <f>Application!AO650</f>
        <v>43992628</v>
      </c>
      <c r="F108" s="464">
        <f>Application!AO637</f>
        <v>39585000</v>
      </c>
      <c r="G108" s="464">
        <f>Application!AO638</f>
        <v>2000000</v>
      </c>
      <c r="H108" s="464">
        <f>Application!AO639</f>
        <v>0</v>
      </c>
      <c r="I108" s="464">
        <f>Application!AO640</f>
        <v>3815000</v>
      </c>
      <c r="J108" s="464">
        <f>Application!AO641</f>
        <v>1150076</v>
      </c>
      <c r="K108" s="464">
        <f>Application!AO642</f>
        <v>3800000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4" t="s">
        <v>1095</v>
      </c>
      <c r="E122" s="2584"/>
      <c r="F122" s="258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4" t="s">
        <v>1438</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1097</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1098</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2"/>
      <c r="E128" s="2582"/>
      <c r="F128" s="2582"/>
      <c r="G128" s="2582"/>
      <c r="H128" s="2582"/>
      <c r="I128" s="513"/>
      <c r="J128" s="2573"/>
      <c r="K128" s="2573"/>
      <c r="L128" s="513"/>
      <c r="M128" s="513"/>
      <c r="N128" s="513"/>
      <c r="O128" s="513"/>
      <c r="P128" s="513"/>
      <c r="Q128" s="513"/>
      <c r="R128" s="513"/>
      <c r="S128" s="513"/>
      <c r="T128" s="514"/>
      <c r="U128" s="516"/>
    </row>
    <row r="129" spans="1:21" ht="12.75">
      <c r="A129" s="513" t="s">
        <v>308</v>
      </c>
      <c r="B129" s="523"/>
      <c r="C129" s="513"/>
      <c r="D129" s="2583" t="s">
        <v>1102</v>
      </c>
      <c r="E129" s="2583"/>
      <c r="F129" s="2583"/>
      <c r="G129" s="2583"/>
      <c r="H129" s="258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42"/>
      <c r="E131" s="2042"/>
      <c r="F131" s="2042"/>
      <c r="G131" s="2042"/>
      <c r="H131" s="2042"/>
      <c r="I131" s="513"/>
      <c r="J131" s="2042"/>
      <c r="K131" s="2042"/>
      <c r="L131" s="2042"/>
      <c r="M131" s="2042"/>
      <c r="N131" s="513"/>
      <c r="O131" s="513"/>
      <c r="P131" s="513"/>
      <c r="Q131" s="513"/>
      <c r="R131" s="513"/>
      <c r="S131" s="513"/>
      <c r="T131" s="514"/>
      <c r="U131" s="516"/>
    </row>
    <row r="132" spans="1:21" ht="12" customHeight="1">
      <c r="A132" s="527"/>
      <c r="B132" s="513"/>
      <c r="C132" s="513"/>
      <c r="D132" s="2576" t="s">
        <v>1105</v>
      </c>
      <c r="E132" s="2576"/>
      <c r="F132" s="2576"/>
      <c r="G132" s="2576"/>
      <c r="H132" s="2576"/>
      <c r="I132" s="513"/>
      <c r="J132" s="2576" t="s">
        <v>1106</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73"/>
      <c r="F138" s="2573"/>
      <c r="G138" s="513"/>
      <c r="H138" s="513"/>
      <c r="I138" s="513"/>
      <c r="J138" s="513"/>
      <c r="K138" s="513"/>
      <c r="L138" s="513"/>
      <c r="M138" s="513"/>
      <c r="N138" s="513"/>
      <c r="O138" s="513"/>
      <c r="P138" s="513"/>
      <c r="Q138" s="513"/>
      <c r="R138" s="513"/>
      <c r="S138" s="513"/>
      <c r="T138" s="520"/>
      <c r="U138" s="521"/>
    </row>
    <row r="139" spans="1:21" ht="12.75">
      <c r="A139" s="2571" t="s">
        <v>1109</v>
      </c>
      <c r="B139" s="2572"/>
      <c r="C139" s="2572"/>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S36">
    <cfRule type="expression" dxfId="106" priority="169" stopIfTrue="1">
      <formula>(S29+T29)&gt;C29</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1" t="s">
        <v>1441</v>
      </c>
      <c r="B1" s="2592"/>
      <c r="C1" s="2592"/>
      <c r="D1" s="2592"/>
      <c r="E1" s="2592"/>
      <c r="F1" s="2592"/>
      <c r="G1" s="2592"/>
      <c r="H1" s="2592"/>
      <c r="I1" s="2592"/>
      <c r="J1" s="2593"/>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800000</v>
      </c>
      <c r="C4" s="566">
        <f>B4</f>
        <v>800000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800000</v>
      </c>
      <c r="C8" s="565">
        <f>SUM(C4:C7)</f>
        <v>800000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800000</v>
      </c>
      <c r="C12" s="565">
        <f>SUM(C8+C11)</f>
        <v>800000</v>
      </c>
      <c r="D12" s="565">
        <f>SUM(D8+D11)</f>
        <v>0</v>
      </c>
      <c r="E12" s="567"/>
      <c r="F12" s="567"/>
      <c r="G12" s="567"/>
      <c r="H12" s="567"/>
      <c r="I12" s="567"/>
      <c r="J12" s="567"/>
      <c r="K12" s="563"/>
    </row>
    <row r="13" spans="1:11" s="564" customFormat="1">
      <c r="A13" s="570" t="s">
        <v>970</v>
      </c>
      <c r="B13" s="565">
        <f>'Sources and Uses Budget'!C13</f>
        <v>61341</v>
      </c>
      <c r="C13" s="566">
        <f>B13</f>
        <v>61341</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7495488</v>
      </c>
      <c r="C29" s="566">
        <f>B29</f>
        <v>7495488</v>
      </c>
      <c r="D29" s="566"/>
      <c r="E29" s="565">
        <f>'Sources and Uses Budget'!S29</f>
        <v>7495488</v>
      </c>
      <c r="F29" s="566">
        <f>E29</f>
        <v>7495488</v>
      </c>
      <c r="G29" s="566"/>
      <c r="H29" s="565">
        <f>'Sources and Uses Budget'!T29</f>
        <v>0</v>
      </c>
      <c r="I29" s="566"/>
      <c r="J29" s="566"/>
      <c r="K29" s="563"/>
    </row>
    <row r="30" spans="1:11" s="564" customFormat="1">
      <c r="A30" s="215" t="s">
        <v>633</v>
      </c>
      <c r="B30" s="565">
        <f>'Sources and Uses Budget'!C30</f>
        <v>39167654</v>
      </c>
      <c r="C30" s="566">
        <f>B30</f>
        <v>39167654</v>
      </c>
      <c r="D30" s="566"/>
      <c r="E30" s="565">
        <f>'Sources and Uses Budget'!S30</f>
        <v>39167654</v>
      </c>
      <c r="F30" s="566">
        <f>E30</f>
        <v>39167654</v>
      </c>
      <c r="G30" s="566"/>
      <c r="H30" s="565">
        <f>'Sources and Uses Budget'!T30</f>
        <v>0</v>
      </c>
      <c r="I30" s="566"/>
      <c r="J30" s="566"/>
      <c r="K30" s="563"/>
    </row>
    <row r="31" spans="1:11" s="564" customFormat="1">
      <c r="A31" s="215" t="s">
        <v>634</v>
      </c>
      <c r="B31" s="565">
        <f>'Sources and Uses Budget'!C31</f>
        <v>1927296</v>
      </c>
      <c r="C31" s="566">
        <f>B31</f>
        <v>1927296</v>
      </c>
      <c r="D31" s="566"/>
      <c r="E31" s="565">
        <f>'Sources and Uses Budget'!S31</f>
        <v>1927296</v>
      </c>
      <c r="F31" s="566">
        <f>E31</f>
        <v>1927296</v>
      </c>
      <c r="G31" s="566"/>
      <c r="H31" s="565">
        <f>'Sources and Uses Budget'!T31</f>
        <v>0</v>
      </c>
      <c r="I31" s="566"/>
      <c r="J31" s="566"/>
      <c r="K31" s="563"/>
    </row>
    <row r="32" spans="1:11" s="564" customFormat="1">
      <c r="A32" s="215" t="s">
        <v>142</v>
      </c>
      <c r="B32" s="565">
        <f>'Sources and Uses Budget'!C32</f>
        <v>2397882</v>
      </c>
      <c r="C32" s="566">
        <f>B32</f>
        <v>2397882</v>
      </c>
      <c r="D32" s="566"/>
      <c r="E32" s="565">
        <f>'Sources and Uses Budget'!S32</f>
        <v>2397882</v>
      </c>
      <c r="F32" s="566">
        <f>E32</f>
        <v>2397882</v>
      </c>
      <c r="G32" s="566"/>
      <c r="H32" s="565">
        <f>'Sources and Uses Budget'!T32</f>
        <v>0</v>
      </c>
      <c r="I32" s="566"/>
      <c r="J32" s="566"/>
      <c r="K32" s="563"/>
    </row>
    <row r="33" spans="1:11" s="564" customFormat="1">
      <c r="A33" s="215" t="s">
        <v>143</v>
      </c>
      <c r="B33" s="565">
        <f>'Sources and Uses Budget'!C33</f>
        <v>2397882</v>
      </c>
      <c r="C33" s="566">
        <f>B33</f>
        <v>2397882</v>
      </c>
      <c r="D33" s="566"/>
      <c r="E33" s="565">
        <f>'Sources and Uses Budget'!S33</f>
        <v>2397882</v>
      </c>
      <c r="F33" s="566">
        <f>E33</f>
        <v>2397882</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880872</v>
      </c>
      <c r="C35" s="566">
        <f>B35</f>
        <v>880872</v>
      </c>
      <c r="D35" s="566"/>
      <c r="E35" s="565">
        <f>'Sources and Uses Budget'!S35</f>
        <v>880872</v>
      </c>
      <c r="F35" s="566">
        <f>E35</f>
        <v>880872</v>
      </c>
      <c r="G35" s="566"/>
      <c r="H35" s="565">
        <f>'Sources and Uses Budget'!T35</f>
        <v>0</v>
      </c>
      <c r="I35" s="566"/>
      <c r="J35" s="566"/>
      <c r="K35" s="563"/>
    </row>
    <row r="36" spans="1:11" s="564" customFormat="1">
      <c r="A36" s="858" t="s">
        <v>1993</v>
      </c>
      <c r="B36" s="565">
        <f>'Sources and Uses Budget'!C36</f>
        <v>50400</v>
      </c>
      <c r="C36" s="566">
        <f>B36</f>
        <v>50400</v>
      </c>
      <c r="D36" s="566"/>
      <c r="E36" s="565">
        <f>'Sources and Uses Budget'!S36</f>
        <v>50400</v>
      </c>
      <c r="F36" s="566">
        <f>E36</f>
        <v>50400</v>
      </c>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54317474</v>
      </c>
      <c r="C38" s="565">
        <f>SUM(C29:C37)</f>
        <v>54317474</v>
      </c>
      <c r="D38" s="565">
        <f>SUM(D29:D37)</f>
        <v>0</v>
      </c>
      <c r="E38" s="565">
        <f>'Sources and Uses Budget'!S38</f>
        <v>54317474</v>
      </c>
      <c r="F38" s="572">
        <f>SUM(F29:F37)</f>
        <v>54317474</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1826589</v>
      </c>
      <c r="C40" s="566">
        <f>B40</f>
        <v>1826589</v>
      </c>
      <c r="D40" s="566"/>
      <c r="E40" s="565">
        <f>'Sources and Uses Budget'!S40</f>
        <v>1826589</v>
      </c>
      <c r="F40" s="566">
        <f>E40</f>
        <v>1826589</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1826589</v>
      </c>
      <c r="C42" s="565">
        <f>SUM(C39:C41)</f>
        <v>1826589</v>
      </c>
      <c r="D42" s="565">
        <f>SUM(D39:D41)</f>
        <v>0</v>
      </c>
      <c r="E42" s="565">
        <f>'Sources and Uses Budget'!S42</f>
        <v>1826589</v>
      </c>
      <c r="F42" s="572">
        <f>SUM(F40:F41)</f>
        <v>1826589</v>
      </c>
      <c r="G42" s="572">
        <f>SUM(G40:G41)</f>
        <v>0</v>
      </c>
      <c r="H42" s="565">
        <f>'Sources and Uses Budget'!T42</f>
        <v>0</v>
      </c>
      <c r="I42" s="572">
        <f>SUM(I40:I41)</f>
        <v>0</v>
      </c>
      <c r="J42" s="572">
        <f>SUM(J40:J41)</f>
        <v>0</v>
      </c>
      <c r="K42" s="563"/>
    </row>
    <row r="43" spans="1:11" s="564" customFormat="1">
      <c r="A43" s="569" t="s">
        <v>153</v>
      </c>
      <c r="B43" s="565">
        <f>'Sources and Uses Budget'!C43</f>
        <v>501016</v>
      </c>
      <c r="C43" s="566">
        <f>B43</f>
        <v>501016</v>
      </c>
      <c r="D43" s="566"/>
      <c r="E43" s="565">
        <f>'Sources and Uses Budget'!S43</f>
        <v>501016</v>
      </c>
      <c r="F43" s="566">
        <f>E43</f>
        <v>501016</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3183036</v>
      </c>
      <c r="C45" s="566">
        <f>B45</f>
        <v>3183036</v>
      </c>
      <c r="D45" s="566"/>
      <c r="E45" s="565">
        <f>'Sources and Uses Budget'!S45</f>
        <v>3183036</v>
      </c>
      <c r="F45" s="566">
        <f>E45</f>
        <v>3183036</v>
      </c>
      <c r="G45" s="566"/>
      <c r="H45" s="565">
        <f>'Sources and Uses Budget'!T45</f>
        <v>0</v>
      </c>
      <c r="I45" s="566"/>
      <c r="J45" s="566"/>
      <c r="K45" s="563"/>
    </row>
    <row r="46" spans="1:11" s="564" customFormat="1">
      <c r="A46" s="568" t="s">
        <v>156</v>
      </c>
      <c r="B46" s="565">
        <f>'Sources and Uses Budget'!C46</f>
        <v>55877</v>
      </c>
      <c r="C46" s="566">
        <f>B46</f>
        <v>55877</v>
      </c>
      <c r="D46" s="566"/>
      <c r="E46" s="565">
        <f>'Sources and Uses Budget'!S46</f>
        <v>55877</v>
      </c>
      <c r="F46" s="566">
        <f>E46</f>
        <v>55877</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57500</v>
      </c>
      <c r="C50" s="566">
        <f>B50</f>
        <v>57500</v>
      </c>
      <c r="D50" s="566"/>
      <c r="E50" s="565">
        <f>'Sources and Uses Budget'!S50</f>
        <v>57500</v>
      </c>
      <c r="F50" s="566">
        <f>E50</f>
        <v>57500</v>
      </c>
      <c r="G50" s="566"/>
      <c r="H50" s="565">
        <f>'Sources and Uses Budget'!T50</f>
        <v>0</v>
      </c>
      <c r="I50" s="566"/>
      <c r="J50" s="566"/>
      <c r="K50" s="563"/>
    </row>
    <row r="51" spans="1:11" s="564" customFormat="1">
      <c r="A51" s="568" t="s">
        <v>159</v>
      </c>
      <c r="B51" s="565">
        <f>'Sources and Uses Budget'!C51</f>
        <v>620358</v>
      </c>
      <c r="C51" s="566">
        <f>B51</f>
        <v>620358</v>
      </c>
      <c r="D51" s="566"/>
      <c r="E51" s="565">
        <f>'Sources and Uses Budget'!S51</f>
        <v>620358</v>
      </c>
      <c r="F51" s="566">
        <f>E51</f>
        <v>620358</v>
      </c>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3916771</v>
      </c>
      <c r="C54" s="572">
        <f>SUM(C45:C53)</f>
        <v>3916771</v>
      </c>
      <c r="D54" s="572">
        <f>SUM(D45:D53)</f>
        <v>0</v>
      </c>
      <c r="E54" s="565">
        <f>'Sources and Uses Budget'!S54</f>
        <v>3916771</v>
      </c>
      <c r="F54" s="572">
        <f>SUM(F45:F53)</f>
        <v>3916771</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519123</v>
      </c>
      <c r="C56" s="566">
        <f>B56</f>
        <v>519123</v>
      </c>
      <c r="D56" s="566"/>
      <c r="E56" s="567"/>
      <c r="F56" s="567"/>
      <c r="G56" s="567"/>
      <c r="H56" s="567"/>
      <c r="I56" s="567"/>
      <c r="J56" s="567"/>
      <c r="K56" s="563"/>
    </row>
    <row r="57" spans="1:11" s="564" customFormat="1" ht="12" customHeight="1">
      <c r="A57" s="568" t="s">
        <v>157</v>
      </c>
      <c r="B57" s="565">
        <f>'Sources and Uses Budget'!C57</f>
        <v>315300</v>
      </c>
      <c r="C57" s="566">
        <f>B57</f>
        <v>315300</v>
      </c>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Developer Legal</v>
      </c>
      <c r="B61" s="565">
        <f>'Sources and Uses Budget'!C61</f>
        <v>75000</v>
      </c>
      <c r="C61" s="566">
        <f>B61</f>
        <v>75000</v>
      </c>
      <c r="D61" s="566"/>
      <c r="E61" s="567"/>
      <c r="F61" s="567"/>
      <c r="G61" s="567"/>
      <c r="H61" s="567"/>
      <c r="I61" s="567"/>
      <c r="J61" s="567"/>
      <c r="K61" s="563"/>
    </row>
    <row r="62" spans="1:11" s="564" customFormat="1" ht="13.7" customHeight="1">
      <c r="A62" s="569" t="s">
        <v>309</v>
      </c>
      <c r="B62" s="565">
        <f>'Sources and Uses Budget'!C62</f>
        <v>909423</v>
      </c>
      <c r="C62" s="565">
        <f>SUM(C56:C61)</f>
        <v>909423</v>
      </c>
      <c r="D62" s="565">
        <f>SUM(D56:D61)</f>
        <v>0</v>
      </c>
      <c r="E62" s="567"/>
      <c r="F62" s="567"/>
      <c r="G62" s="567"/>
      <c r="H62" s="567"/>
      <c r="I62" s="567"/>
      <c r="J62" s="567"/>
      <c r="K62" s="563"/>
    </row>
    <row r="63" spans="1:11" s="564" customFormat="1">
      <c r="A63" s="576" t="s">
        <v>310</v>
      </c>
      <c r="B63" s="565">
        <f>'Sources and Uses Budget'!C63</f>
        <v>62332614</v>
      </c>
      <c r="C63" s="565">
        <f>SUM(C8+C11+C13+C14+C15+C26+C27+C38+C42+C43+C54+C62)</f>
        <v>62332614</v>
      </c>
      <c r="D63" s="565">
        <f>SUM(D8+D11+D13+D14+D15+D26+D27+D38+D42+D43+D54+D62)</f>
        <v>0</v>
      </c>
      <c r="E63" s="565">
        <f>'Sources and Uses Budget'!S63</f>
        <v>60561850</v>
      </c>
      <c r="F63" s="565">
        <f>SUM(F10+F13+F14+F15+F26+F27+F38+F42+F43+F54)</f>
        <v>60561850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f>'Sources and Uses Budget'!$A69</f>
        <v>0</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876915</v>
      </c>
      <c r="C75" s="566">
        <f>B75</f>
        <v>876915</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876915</v>
      </c>
      <c r="C77" s="565">
        <f>SUM(C72:C76)</f>
        <v>876915</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5338620</v>
      </c>
      <c r="C79" s="566">
        <f>B79</f>
        <v>5338620</v>
      </c>
      <c r="D79" s="566"/>
      <c r="E79" s="565">
        <f>'Sources and Uses Budget'!S79</f>
        <v>5338620</v>
      </c>
      <c r="F79" s="566">
        <f>E79</f>
        <v>5338620</v>
      </c>
      <c r="G79" s="566"/>
      <c r="H79" s="565">
        <f>'Sources and Uses Budget'!T79</f>
        <v>0</v>
      </c>
      <c r="I79" s="566"/>
      <c r="J79" s="566"/>
      <c r="K79" s="563"/>
    </row>
    <row r="80" spans="1:11" s="564" customFormat="1">
      <c r="A80" s="568" t="s">
        <v>61</v>
      </c>
      <c r="B80" s="565">
        <f>'Sources and Uses Budget'!C80</f>
        <v>329937</v>
      </c>
      <c r="C80" s="566">
        <f>B80</f>
        <v>329937</v>
      </c>
      <c r="D80" s="566"/>
      <c r="E80" s="565">
        <f>'Sources and Uses Budget'!S80</f>
        <v>329937</v>
      </c>
      <c r="F80" s="566">
        <f>E80</f>
        <v>329937</v>
      </c>
      <c r="G80" s="566"/>
      <c r="H80" s="565">
        <f>'Sources and Uses Budget'!T80</f>
        <v>0</v>
      </c>
      <c r="I80" s="566"/>
      <c r="J80" s="566"/>
      <c r="K80" s="563"/>
    </row>
    <row r="81" spans="1:11" s="564" customFormat="1">
      <c r="A81" s="569" t="s">
        <v>1418</v>
      </c>
      <c r="B81" s="565">
        <f>'Sources and Uses Budget'!C81</f>
        <v>5668557</v>
      </c>
      <c r="C81" s="565">
        <f>SUM(C79:C80)</f>
        <v>5668557</v>
      </c>
      <c r="D81" s="565">
        <f>SUM(D79:D80)</f>
        <v>0</v>
      </c>
      <c r="E81" s="565">
        <f>'Sources and Uses Budget'!S81</f>
        <v>5668557</v>
      </c>
      <c r="F81" s="565">
        <f>SUM(F79:F80)</f>
        <v>5668557</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166649</v>
      </c>
      <c r="C83" s="566">
        <f>B83</f>
        <v>166649</v>
      </c>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10829370</v>
      </c>
      <c r="C85" s="566">
        <f t="shared" ref="C85:C91" si="0">B85</f>
        <v>10829370</v>
      </c>
      <c r="D85" s="566"/>
      <c r="E85" s="565">
        <f>'Sources and Uses Budget'!S85</f>
        <v>10829370</v>
      </c>
      <c r="F85" s="566">
        <f>E85</f>
        <v>10829370</v>
      </c>
      <c r="G85" s="566"/>
      <c r="H85" s="565">
        <f>'Sources and Uses Budget'!T85</f>
        <v>0</v>
      </c>
      <c r="I85" s="566"/>
      <c r="J85" s="566"/>
      <c r="K85" s="563"/>
    </row>
    <row r="86" spans="1:11" s="564" customFormat="1">
      <c r="A86" s="215" t="s">
        <v>826</v>
      </c>
      <c r="B86" s="565">
        <f>'Sources and Uses Budget'!C86</f>
        <v>946637</v>
      </c>
      <c r="C86" s="566">
        <f t="shared" si="0"/>
        <v>946637</v>
      </c>
      <c r="D86" s="566"/>
      <c r="E86" s="565">
        <f>'Sources and Uses Budget'!S86</f>
        <v>946637</v>
      </c>
      <c r="F86" s="566">
        <f>E86</f>
        <v>946637</v>
      </c>
      <c r="G86" s="566"/>
      <c r="H86" s="565">
        <f>'Sources and Uses Budget'!T86</f>
        <v>0</v>
      </c>
      <c r="I86" s="566"/>
      <c r="J86" s="566"/>
      <c r="K86" s="563"/>
    </row>
    <row r="87" spans="1:11" s="564" customFormat="1">
      <c r="A87" s="215" t="s">
        <v>827</v>
      </c>
      <c r="B87" s="565">
        <f>'Sources and Uses Budget'!C87</f>
        <v>1035000</v>
      </c>
      <c r="C87" s="566">
        <f t="shared" si="0"/>
        <v>1035000</v>
      </c>
      <c r="D87" s="566"/>
      <c r="E87" s="565">
        <f>'Sources and Uses Budget'!S87</f>
        <v>1035000</v>
      </c>
      <c r="F87" s="566">
        <f>E87</f>
        <v>1035000</v>
      </c>
      <c r="G87" s="566"/>
      <c r="H87" s="565">
        <f>'Sources and Uses Budget'!T87</f>
        <v>0</v>
      </c>
      <c r="I87" s="566"/>
      <c r="J87" s="566"/>
      <c r="K87" s="563"/>
    </row>
    <row r="88" spans="1:11" s="564" customFormat="1">
      <c r="A88" s="215" t="s">
        <v>828</v>
      </c>
      <c r="B88" s="565">
        <f>'Sources and Uses Budget'!C88</f>
        <v>50000</v>
      </c>
      <c r="C88" s="566">
        <f t="shared" si="0"/>
        <v>50000</v>
      </c>
      <c r="D88" s="566"/>
      <c r="E88" s="567"/>
      <c r="F88" s="567"/>
      <c r="G88" s="567"/>
      <c r="H88" s="567"/>
      <c r="I88" s="567"/>
      <c r="J88" s="567"/>
      <c r="K88" s="563"/>
    </row>
    <row r="89" spans="1:11" s="564" customFormat="1">
      <c r="A89" s="215" t="s">
        <v>829</v>
      </c>
      <c r="B89" s="565">
        <f>'Sources and Uses Budget'!C89</f>
        <v>460000</v>
      </c>
      <c r="C89" s="566">
        <f t="shared" si="0"/>
        <v>460000</v>
      </c>
      <c r="D89" s="566"/>
      <c r="E89" s="565">
        <f>'Sources and Uses Budget'!S89</f>
        <v>460000</v>
      </c>
      <c r="F89" s="566">
        <f>E89</f>
        <v>460000</v>
      </c>
      <c r="G89" s="566"/>
      <c r="H89" s="565">
        <f>'Sources and Uses Budget'!T89</f>
        <v>0</v>
      </c>
      <c r="I89" s="566"/>
      <c r="J89" s="566"/>
      <c r="K89" s="563"/>
    </row>
    <row r="90" spans="1:11" s="564" customFormat="1">
      <c r="A90" s="215" t="s">
        <v>830</v>
      </c>
      <c r="B90" s="565">
        <f>'Sources and Uses Budget'!C90</f>
        <v>20000</v>
      </c>
      <c r="C90" s="566">
        <f t="shared" si="0"/>
        <v>20000</v>
      </c>
      <c r="D90" s="566"/>
      <c r="E90" s="565">
        <f>'Sources and Uses Budget'!S90</f>
        <v>20000</v>
      </c>
      <c r="F90" s="566">
        <f>E90</f>
        <v>20000</v>
      </c>
      <c r="G90" s="566"/>
      <c r="H90" s="565">
        <f>'Sources and Uses Budget'!T90</f>
        <v>0</v>
      </c>
      <c r="I90" s="566"/>
      <c r="J90" s="566"/>
      <c r="K90" s="563"/>
    </row>
    <row r="91" spans="1:11" s="564" customFormat="1">
      <c r="A91" s="226" t="s">
        <v>390</v>
      </c>
      <c r="B91" s="565">
        <f>'Sources and Uses Budget'!C91</f>
        <v>25000</v>
      </c>
      <c r="C91" s="566">
        <f t="shared" si="0"/>
        <v>25000</v>
      </c>
      <c r="D91" s="566"/>
      <c r="E91" s="565">
        <f>'Sources and Uses Budget'!S91</f>
        <v>25000</v>
      </c>
      <c r="F91" s="566">
        <f>E91</f>
        <v>25000</v>
      </c>
      <c r="G91" s="566"/>
      <c r="H91" s="565">
        <f>'Sources and Uses Budget'!T91</f>
        <v>0</v>
      </c>
      <c r="I91" s="566"/>
      <c r="J91" s="566"/>
      <c r="K91" s="563"/>
    </row>
    <row r="92" spans="1:11" s="564" customFormat="1">
      <c r="A92" s="858" t="s">
        <v>1420</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13532656</v>
      </c>
      <c r="C96" s="565">
        <f>SUM(C83:C95)</f>
        <v>13532656</v>
      </c>
      <c r="D96" s="565">
        <f>SUM(D83:D95)</f>
        <v>0</v>
      </c>
      <c r="E96" s="565">
        <f>'Sources and Uses Budget'!S96</f>
        <v>13316007</v>
      </c>
      <c r="F96" s="572">
        <f>SUM(F84:F87,F89:F95)</f>
        <v>13316007</v>
      </c>
      <c r="G96" s="572">
        <f>SUM(G84:G87,G89:G95)</f>
        <v>0</v>
      </c>
      <c r="H96" s="565">
        <f>'Sources and Uses Budget'!T96</f>
        <v>0</v>
      </c>
      <c r="I96" s="565">
        <f>SUM(I84:I87,I89:I95)</f>
        <v>0</v>
      </c>
      <c r="J96" s="565">
        <f>SUM(J84:J87,J89:J95)</f>
        <v>0</v>
      </c>
      <c r="K96" s="563"/>
    </row>
    <row r="97" spans="1:11" s="564" customFormat="1">
      <c r="A97" s="569" t="s">
        <v>1141</v>
      </c>
      <c r="B97" s="565">
        <f>'Sources and Uses Budget'!C97</f>
        <v>82410742</v>
      </c>
      <c r="C97" s="565">
        <f>SUM(C63+C70+C77+C81+C96)</f>
        <v>82410742</v>
      </c>
      <c r="D97" s="565">
        <f>SUM(D63+D70+D77+D81+D96)</f>
        <v>0</v>
      </c>
      <c r="E97" s="565">
        <f>'Sources and Uses Budget'!S97</f>
        <v>79546414</v>
      </c>
      <c r="F97" s="572">
        <f>SUM(+F63+F70+F81+F96)</f>
        <v>79546414</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11931962</v>
      </c>
      <c r="C99" s="566">
        <f>B99</f>
        <v>11931962</v>
      </c>
      <c r="D99" s="566"/>
      <c r="E99" s="565">
        <f>'Sources and Uses Budget'!S99</f>
        <v>11931962</v>
      </c>
      <c r="F99" s="566">
        <f>E99</f>
        <v>11931962</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11931962</v>
      </c>
      <c r="C104" s="565">
        <f>SUM(C99:C103)</f>
        <v>11931962</v>
      </c>
      <c r="D104" s="565">
        <f>SUM(D99:D103)</f>
        <v>0</v>
      </c>
      <c r="E104" s="565">
        <f>'Sources and Uses Budget'!S104</f>
        <v>11931962</v>
      </c>
      <c r="F104" s="572">
        <f>SUM(F99:F103)</f>
        <v>11931962</v>
      </c>
      <c r="G104" s="572">
        <f>SUM(G99:G103)</f>
        <v>0</v>
      </c>
      <c r="H104" s="565">
        <f>'Sources and Uses Budget'!T104</f>
        <v>0</v>
      </c>
      <c r="I104" s="572">
        <f>SUM(I99:I103)</f>
        <v>0</v>
      </c>
      <c r="J104" s="572">
        <f>SUM(J99:J103)</f>
        <v>0</v>
      </c>
      <c r="K104" s="563"/>
    </row>
    <row r="105" spans="1:11" s="564" customFormat="1">
      <c r="A105" s="569" t="s">
        <v>1142</v>
      </c>
      <c r="B105" s="565">
        <f>'Sources and Uses Budget'!C105</f>
        <v>94342704</v>
      </c>
      <c r="C105" s="572">
        <f>SUM(C97+C104)</f>
        <v>94342704</v>
      </c>
      <c r="D105" s="572">
        <f>SUM(D97+D104)</f>
        <v>0</v>
      </c>
      <c r="E105" s="565">
        <f>'Sources and Uses Budget'!S105</f>
        <v>91478376</v>
      </c>
      <c r="F105" s="572">
        <f>F97+F104</f>
        <v>91478376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91478376</v>
      </c>
      <c r="F107" s="581">
        <f>F105+F106</f>
        <v>91478376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75">
      <c r="A125" s="594"/>
      <c r="B125" s="593"/>
      <c r="C125" s="594"/>
      <c r="D125" s="2586"/>
      <c r="E125" s="2586"/>
      <c r="F125" s="2586"/>
      <c r="G125" s="2586"/>
      <c r="H125" s="2586"/>
      <c r="I125" s="2586"/>
      <c r="J125" s="583"/>
      <c r="K125" s="563"/>
    </row>
    <row r="126" spans="1:11" s="564" customFormat="1" ht="12.75">
      <c r="A126" s="594"/>
      <c r="B126" s="593"/>
      <c r="C126" s="594"/>
      <c r="D126" s="2586"/>
      <c r="E126" s="2586"/>
      <c r="F126" s="2586"/>
      <c r="G126" s="2586"/>
      <c r="H126" s="2586"/>
      <c r="I126" s="258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4" t="s">
        <v>2032</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595"/>
      <c r="AW1" s="2595"/>
      <c r="AX1" s="2595"/>
      <c r="AY1" s="2595"/>
      <c r="AZ1" s="2595"/>
      <c r="BA1" s="2595"/>
      <c r="BB1" s="2595"/>
      <c r="BC1" s="2595"/>
      <c r="BD1" s="2595"/>
      <c r="BE1" s="2596"/>
    </row>
    <row r="2" spans="1:58" ht="15.75" customHeight="1">
      <c r="A2" s="2597" t="s">
        <v>2033</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0" t="str">
        <f>IF(Application!H18="","",Application!H18)</f>
        <v>Terracina at Whitney Ranch</v>
      </c>
      <c r="M4" s="2601"/>
      <c r="N4" s="2601"/>
      <c r="O4" s="2601"/>
      <c r="P4" s="2601"/>
      <c r="Q4" s="2601"/>
      <c r="R4" s="2601"/>
      <c r="S4" s="2601"/>
      <c r="T4" s="2601"/>
      <c r="U4" s="2601"/>
      <c r="V4" s="2601"/>
      <c r="W4" s="2601"/>
      <c r="X4" s="2601"/>
      <c r="Y4" s="2601"/>
      <c r="Z4" s="2601"/>
      <c r="AA4" s="2601"/>
      <c r="AB4" s="2601"/>
      <c r="AC4" s="2602"/>
      <c r="AD4" s="1529"/>
      <c r="AE4" s="1529"/>
      <c r="AF4" s="2603" t="s">
        <v>2034</v>
      </c>
      <c r="AG4" s="2604"/>
      <c r="AH4" s="2604"/>
      <c r="AI4" s="2604"/>
      <c r="AJ4" s="2604"/>
      <c r="AK4" s="2604"/>
      <c r="AL4" s="2604"/>
      <c r="AM4" s="2604"/>
      <c r="AN4" s="2604"/>
      <c r="AO4" s="2604"/>
      <c r="AP4" s="2605">
        <v>44197</v>
      </c>
      <c r="AQ4" s="2606"/>
      <c r="AR4" s="2606"/>
      <c r="AS4" s="2606"/>
      <c r="AT4" s="2606"/>
      <c r="AU4" s="260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8" t="s">
        <v>2035</v>
      </c>
      <c r="AG5" s="2609"/>
      <c r="AH5" s="2609"/>
      <c r="AI5" s="2609"/>
      <c r="AJ5" s="2609"/>
      <c r="AK5" s="2609"/>
      <c r="AL5" s="2609"/>
      <c r="AM5" s="2609"/>
      <c r="AN5" s="2609"/>
      <c r="AO5" s="2609"/>
      <c r="AP5" s="2605">
        <v>44197</v>
      </c>
      <c r="AQ5" s="2606"/>
      <c r="AR5" s="2606"/>
      <c r="AS5" s="2606"/>
      <c r="AT5" s="2606"/>
      <c r="AU5" s="2607"/>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4" t="str">
        <f>IF(Application!H16="","",Application!H16)</f>
        <v>USA Properties Fund, Inc.</v>
      </c>
      <c r="M6" s="2625"/>
      <c r="N6" s="2625"/>
      <c r="O6" s="2625"/>
      <c r="P6" s="2625"/>
      <c r="Q6" s="2625"/>
      <c r="R6" s="2625"/>
      <c r="S6" s="2625"/>
      <c r="T6" s="2625"/>
      <c r="U6" s="2625"/>
      <c r="V6" s="2625"/>
      <c r="W6" s="2625"/>
      <c r="X6" s="2625"/>
      <c r="Y6" s="2625"/>
      <c r="Z6" s="2625"/>
      <c r="AA6" s="2625"/>
      <c r="AB6" s="2625"/>
      <c r="AC6" s="262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7" t="str">
        <f>Application!T196</f>
        <v>No</v>
      </c>
      <c r="AC8" s="2628"/>
      <c r="AD8" s="26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30" t="e">
        <f>VLOOKUP("CalHFA Permanent Loan",Application!C564:AS575,37,TRUE)</f>
        <v>#N/A</v>
      </c>
      <c r="O10" s="2631"/>
      <c r="P10" s="2631"/>
      <c r="Q10" s="2631"/>
      <c r="R10" s="2631"/>
      <c r="S10" s="2631"/>
      <c r="T10" s="2632"/>
      <c r="U10" s="1529"/>
      <c r="V10" s="1529"/>
      <c r="W10" s="1529"/>
      <c r="X10" s="2610" t="s">
        <v>2040</v>
      </c>
      <c r="Y10" s="2611"/>
      <c r="Z10" s="2611"/>
      <c r="AA10" s="2611"/>
      <c r="AB10" s="2611"/>
      <c r="AC10" s="2611"/>
      <c r="AD10" s="2611"/>
      <c r="AE10" s="2611"/>
      <c r="AF10" s="2611"/>
      <c r="AG10" s="2611"/>
      <c r="AH10" s="2611"/>
      <c r="AI10" s="2611"/>
      <c r="AJ10" s="2611"/>
      <c r="AK10" s="2612"/>
      <c r="AL10" s="2616">
        <f>Application!W471</f>
        <v>0</v>
      </c>
      <c r="AM10" s="2617"/>
      <c r="AN10" s="2617"/>
      <c r="AO10" s="2617"/>
      <c r="AP10" s="2618"/>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33">
        <f>Application!AA925</f>
        <v>0</v>
      </c>
      <c r="O11" s="2634"/>
      <c r="P11" s="2634"/>
      <c r="Q11" s="2634"/>
      <c r="R11" s="2634"/>
      <c r="S11" s="2634"/>
      <c r="T11" s="2635"/>
      <c r="U11" s="1529"/>
      <c r="V11" s="1529"/>
      <c r="W11" s="1529"/>
      <c r="X11" s="2636" t="s">
        <v>2042</v>
      </c>
      <c r="Y11" s="2637"/>
      <c r="Z11" s="2637"/>
      <c r="AA11" s="2637"/>
      <c r="AB11" s="2637"/>
      <c r="AC11" s="2637"/>
      <c r="AD11" s="2637"/>
      <c r="AE11" s="2637"/>
      <c r="AF11" s="2637"/>
      <c r="AG11" s="2637"/>
      <c r="AH11" s="2637"/>
      <c r="AI11" s="2637"/>
      <c r="AJ11" s="2637"/>
      <c r="AK11" s="2638"/>
      <c r="AL11" s="2613">
        <v>44197</v>
      </c>
      <c r="AM11" s="2614"/>
      <c r="AN11" s="2614"/>
      <c r="AO11" s="2614"/>
      <c r="AP11" s="261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0" t="s">
        <v>2043</v>
      </c>
      <c r="Y12" s="2611"/>
      <c r="Z12" s="2611"/>
      <c r="AA12" s="2611"/>
      <c r="AB12" s="2611"/>
      <c r="AC12" s="2611"/>
      <c r="AD12" s="2611"/>
      <c r="AE12" s="2611"/>
      <c r="AF12" s="2611"/>
      <c r="AG12" s="2611"/>
      <c r="AH12" s="2611"/>
      <c r="AI12" s="2611"/>
      <c r="AJ12" s="2611"/>
      <c r="AK12" s="2612"/>
      <c r="AL12" s="2613">
        <v>44197</v>
      </c>
      <c r="AM12" s="2614"/>
      <c r="AN12" s="2614"/>
      <c r="AO12" s="2614"/>
      <c r="AP12" s="2615"/>
      <c r="AQ12" s="1532"/>
      <c r="AR12" s="1532"/>
      <c r="AS12" s="1532"/>
      <c r="AT12" s="1532"/>
      <c r="AU12" s="1532"/>
      <c r="AV12" s="1529"/>
      <c r="AW12" s="1529"/>
      <c r="AX12" s="1529"/>
      <c r="AY12" s="1529"/>
      <c r="AZ12" s="1529"/>
      <c r="BA12" s="1529"/>
      <c r="BB12" s="1529"/>
      <c r="BC12" s="1529"/>
      <c r="BD12" s="1529"/>
      <c r="BE12" s="1535"/>
    </row>
    <row r="13" spans="1:58" thickBot="1">
      <c r="A13" s="1818"/>
      <c r="B13" s="2610" t="s">
        <v>2044</v>
      </c>
      <c r="C13" s="2611"/>
      <c r="D13" s="2611"/>
      <c r="E13" s="2611"/>
      <c r="F13" s="2611"/>
      <c r="G13" s="2611"/>
      <c r="H13" s="2611"/>
      <c r="I13" s="2611"/>
      <c r="J13" s="2611"/>
      <c r="K13" s="2611"/>
      <c r="L13" s="2611"/>
      <c r="M13" s="2611"/>
      <c r="N13" s="2611"/>
      <c r="O13" s="2611"/>
      <c r="P13" s="2612"/>
      <c r="Q13" s="2619" t="s">
        <v>2038</v>
      </c>
      <c r="R13" s="2606"/>
      <c r="S13" s="2606"/>
      <c r="T13" s="260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0" t="s">
        <v>2045</v>
      </c>
      <c r="C15" s="2620"/>
      <c r="D15" s="2620"/>
      <c r="E15" s="2620"/>
      <c r="F15" s="2620"/>
      <c r="G15" s="2620"/>
      <c r="H15" s="2620"/>
      <c r="I15" s="2620"/>
      <c r="J15" s="2620"/>
      <c r="K15" s="2620"/>
      <c r="L15" s="2621"/>
      <c r="M15" s="2603" t="s">
        <v>2046</v>
      </c>
      <c r="N15" s="2604"/>
      <c r="O15" s="2604"/>
      <c r="P15" s="2604"/>
      <c r="Q15" s="2604"/>
      <c r="R15" s="2604"/>
      <c r="S15" s="2622" t="str">
        <f>IF(Application!AB214="","",Application!AB214)</f>
        <v/>
      </c>
      <c r="T15" s="2622"/>
      <c r="U15" s="2622"/>
      <c r="V15" s="2622"/>
      <c r="W15" s="262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9" t="s">
        <v>2047</v>
      </c>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0"/>
      <c r="AW17" s="2640"/>
      <c r="AX17" s="2640"/>
      <c r="AY17" s="2641"/>
      <c r="AZ17" s="1529"/>
      <c r="BA17" s="1529"/>
      <c r="BB17" s="1529"/>
      <c r="BC17" s="1529"/>
      <c r="BD17" s="1529"/>
      <c r="BE17" s="1535"/>
      <c r="BF17" s="1527"/>
    </row>
    <row r="18" spans="1:58" ht="15.75" customHeight="1">
      <c r="A18" s="1818"/>
      <c r="B18" s="2642" t="s">
        <v>2048</v>
      </c>
      <c r="C18" s="2643"/>
      <c r="D18" s="2643"/>
      <c r="E18" s="2643"/>
      <c r="F18" s="2643"/>
      <c r="G18" s="2643"/>
      <c r="H18" s="2643"/>
      <c r="I18" s="2644"/>
      <c r="J18" s="2645" t="s">
        <v>1880</v>
      </c>
      <c r="K18" s="2646"/>
      <c r="L18" s="2646"/>
      <c r="M18" s="2646"/>
      <c r="N18" s="2646"/>
      <c r="O18" s="2647"/>
      <c r="P18" s="2645" t="s">
        <v>333</v>
      </c>
      <c r="Q18" s="2646"/>
      <c r="R18" s="2646"/>
      <c r="S18" s="2646"/>
      <c r="T18" s="2646"/>
      <c r="U18" s="2647"/>
      <c r="V18" s="2645" t="s">
        <v>334</v>
      </c>
      <c r="W18" s="2646"/>
      <c r="X18" s="2646"/>
      <c r="Y18" s="2646"/>
      <c r="Z18" s="2646"/>
      <c r="AA18" s="2647"/>
      <c r="AB18" s="2645" t="s">
        <v>168</v>
      </c>
      <c r="AC18" s="2646"/>
      <c r="AD18" s="2646"/>
      <c r="AE18" s="2646"/>
      <c r="AF18" s="2646"/>
      <c r="AG18" s="2647"/>
      <c r="AH18" s="2645" t="s">
        <v>169</v>
      </c>
      <c r="AI18" s="2646"/>
      <c r="AJ18" s="2646"/>
      <c r="AK18" s="2646"/>
      <c r="AL18" s="2646"/>
      <c r="AM18" s="2647"/>
      <c r="AN18" s="2645" t="s">
        <v>170</v>
      </c>
      <c r="AO18" s="2646"/>
      <c r="AP18" s="2646"/>
      <c r="AQ18" s="2646"/>
      <c r="AR18" s="2646"/>
      <c r="AS18" s="2647"/>
      <c r="AT18" s="2645" t="s">
        <v>2049</v>
      </c>
      <c r="AU18" s="2646"/>
      <c r="AV18" s="2646"/>
      <c r="AW18" s="2646"/>
      <c r="AX18" s="2646"/>
      <c r="AY18" s="2648"/>
      <c r="AZ18" s="1529"/>
      <c r="BA18" s="1529"/>
      <c r="BB18" s="1529"/>
      <c r="BC18" s="1529"/>
      <c r="BD18" s="1529"/>
      <c r="BE18" s="1535"/>
    </row>
    <row r="19" spans="1:58" ht="15">
      <c r="A19" s="1818"/>
      <c r="B19" s="2655">
        <v>0.2</v>
      </c>
      <c r="C19" s="2656"/>
      <c r="D19" s="2656"/>
      <c r="E19" s="2656"/>
      <c r="F19" s="2656"/>
      <c r="G19" s="2656"/>
      <c r="H19" s="2656"/>
      <c r="I19" s="2656"/>
      <c r="J19" s="2645">
        <f>SUM(P19:AS19)</f>
        <v>0</v>
      </c>
      <c r="K19" s="2646"/>
      <c r="L19" s="2646"/>
      <c r="M19" s="2646"/>
      <c r="N19" s="2646"/>
      <c r="O19" s="2647"/>
      <c r="P19" s="2649" cm="1">
        <f t="array" ref="P19">SUMPRODUCT((Application!$B$728:$B$752 = 'CalHFA Addendum'!P$18)*(Application!$AH$728:$AH$752 = 'CalHFA Addendum'!$B19),Application!$G$728:$G$752)</f>
        <v>0</v>
      </c>
      <c r="Q19" s="2650"/>
      <c r="R19" s="2650"/>
      <c r="S19" s="2650"/>
      <c r="T19" s="2650"/>
      <c r="U19" s="2651"/>
      <c r="V19" s="2649" cm="1">
        <f t="array" ref="V19">SUMPRODUCT((Application!$B$728:$B$752 = 'CalHFA Addendum'!V$18)*(Application!$AH$728:$AH$752 = 'CalHFA Addendum'!$B19),Application!$G$728:$G$752)</f>
        <v>0</v>
      </c>
      <c r="W19" s="2650"/>
      <c r="X19" s="2650"/>
      <c r="Y19" s="2650"/>
      <c r="Z19" s="2650"/>
      <c r="AA19" s="2651"/>
      <c r="AB19" s="2649" cm="1">
        <f t="array" ref="AB19">SUMPRODUCT((Application!$B$728:$B$752 = 'CalHFA Addendum'!AB$18)*(Application!$AH$728:$AH$752 = 'CalHFA Addendum'!$B19),Application!$G$728:$G$752)</f>
        <v>0</v>
      </c>
      <c r="AC19" s="2650"/>
      <c r="AD19" s="2650"/>
      <c r="AE19" s="2650"/>
      <c r="AF19" s="2650"/>
      <c r="AG19" s="2651"/>
      <c r="AH19" s="2649" cm="1">
        <f t="array" ref="AH19">SUMPRODUCT((Application!$B$728:$B$752 = 'CalHFA Addendum'!AH$18)*(Application!$AH$728:$AH$752 = 'CalHFA Addendum'!$B19),Application!$G$728:$G$752)</f>
        <v>0</v>
      </c>
      <c r="AI19" s="2650"/>
      <c r="AJ19" s="2650"/>
      <c r="AK19" s="2650"/>
      <c r="AL19" s="2650"/>
      <c r="AM19" s="2651"/>
      <c r="AN19" s="2649" cm="1">
        <f t="array" ref="AN19">SUMPRODUCT((Application!$B$728:$B$752 = 'CalHFA Addendum'!AN$18)*(Application!$AH$728:$AH$752 = 'CalHFA Addendum'!$B19),Application!$G$728:$G$752)</f>
        <v>0</v>
      </c>
      <c r="AO19" s="2650"/>
      <c r="AP19" s="2650"/>
      <c r="AQ19" s="2650"/>
      <c r="AR19" s="2650"/>
      <c r="AS19" s="2651"/>
      <c r="AT19" s="2652">
        <f t="shared" ref="AT19:AT27" si="0">J19/$J$29</f>
        <v>0</v>
      </c>
      <c r="AU19" s="2653"/>
      <c r="AV19" s="2653"/>
      <c r="AW19" s="2653"/>
      <c r="AX19" s="2653"/>
      <c r="AY19" s="2654"/>
      <c r="AZ19" s="1536"/>
      <c r="BA19" s="1529"/>
      <c r="BB19" s="1529"/>
      <c r="BC19" s="1529"/>
      <c r="BD19" s="1529"/>
      <c r="BE19" s="1535"/>
    </row>
    <row r="20" spans="1:58" ht="15" customHeight="1">
      <c r="A20" s="1818"/>
      <c r="B20" s="2655">
        <v>0.3</v>
      </c>
      <c r="C20" s="2656"/>
      <c r="D20" s="2656"/>
      <c r="E20" s="2656"/>
      <c r="F20" s="2656"/>
      <c r="G20" s="2656"/>
      <c r="H20" s="2656"/>
      <c r="I20" s="2656"/>
      <c r="J20" s="2645">
        <f t="shared" ref="J20:J27" si="1">SUM(P20:AS20)</f>
        <v>29</v>
      </c>
      <c r="K20" s="2646"/>
      <c r="L20" s="2646"/>
      <c r="M20" s="2646"/>
      <c r="N20" s="2646"/>
      <c r="O20" s="2647"/>
      <c r="P20" s="2649" cm="1">
        <f t="array" ref="P20">SUMPRODUCT((Application!$B$728:$B$752 = 'CalHFA Addendum'!P$18)*(Application!$AH$728:$AH$752 = 'CalHFA Addendum'!$B20),Application!$G$728:$G$752)</f>
        <v>0</v>
      </c>
      <c r="Q20" s="2650"/>
      <c r="R20" s="2650"/>
      <c r="S20" s="2650"/>
      <c r="T20" s="2650"/>
      <c r="U20" s="2651"/>
      <c r="V20" s="2649" cm="1">
        <f t="array" ref="V20">SUMPRODUCT((Application!$B$728:$B$752 = 'CalHFA Addendum'!V$18)*(Application!$AH$728:$AH$752 = 'CalHFA Addendum'!$B20),Application!$G$728:$G$752)</f>
        <v>7</v>
      </c>
      <c r="W20" s="2650"/>
      <c r="X20" s="2650"/>
      <c r="Y20" s="2650"/>
      <c r="Z20" s="2650"/>
      <c r="AA20" s="2651"/>
      <c r="AB20" s="2649" cm="1">
        <f t="array" ref="AB20">SUMPRODUCT((Application!$B$728:$B$752 = 'CalHFA Addendum'!AB$18)*(Application!$AH$728:$AH$752 = 'CalHFA Addendum'!$B20),Application!$G$728:$G$752)</f>
        <v>15</v>
      </c>
      <c r="AC20" s="2650"/>
      <c r="AD20" s="2650"/>
      <c r="AE20" s="2650"/>
      <c r="AF20" s="2650"/>
      <c r="AG20" s="2651"/>
      <c r="AH20" s="2649" cm="1">
        <f t="array" ref="AH20">SUMPRODUCT((Application!$B$728:$B$752 = 'CalHFA Addendum'!AH$18)*(Application!$AH$728:$AH$752 = 'CalHFA Addendum'!$B20),Application!$G$728:$G$752)</f>
        <v>7</v>
      </c>
      <c r="AI20" s="2650"/>
      <c r="AJ20" s="2650"/>
      <c r="AK20" s="2650"/>
      <c r="AL20" s="2650"/>
      <c r="AM20" s="2651"/>
      <c r="AN20" s="2649" cm="1">
        <f t="array" ref="AN20">SUMPRODUCT((Application!$B$728:$B$752 = 'CalHFA Addendum'!AN$18)*(Application!$AH$728:$AH$752 = 'CalHFA Addendum'!$B20),Application!$G$728:$G$752)</f>
        <v>0</v>
      </c>
      <c r="AO20" s="2650"/>
      <c r="AP20" s="2650"/>
      <c r="AQ20" s="2650"/>
      <c r="AR20" s="2650"/>
      <c r="AS20" s="2651"/>
      <c r="AT20" s="2652">
        <f t="shared" si="0"/>
        <v>0.10069444444444445</v>
      </c>
      <c r="AU20" s="2653"/>
      <c r="AV20" s="2653"/>
      <c r="AW20" s="2653"/>
      <c r="AX20" s="2653"/>
      <c r="AY20" s="2654"/>
      <c r="AZ20" s="1529"/>
      <c r="BA20" s="1529"/>
      <c r="BB20" s="1529"/>
      <c r="BC20" s="1529"/>
      <c r="BD20" s="1529"/>
      <c r="BE20" s="1535"/>
    </row>
    <row r="21" spans="1:58" ht="15">
      <c r="A21" s="1818"/>
      <c r="B21" s="2655">
        <v>0.4</v>
      </c>
      <c r="C21" s="2656"/>
      <c r="D21" s="2656"/>
      <c r="E21" s="2656"/>
      <c r="F21" s="2656"/>
      <c r="G21" s="2656"/>
      <c r="H21" s="2656"/>
      <c r="I21" s="2656"/>
      <c r="J21" s="2645">
        <f t="shared" si="1"/>
        <v>0</v>
      </c>
      <c r="K21" s="2646"/>
      <c r="L21" s="2646"/>
      <c r="M21" s="2646"/>
      <c r="N21" s="2646"/>
      <c r="O21" s="2647"/>
      <c r="P21" s="2649" cm="1">
        <f t="array" ref="P21">SUMPRODUCT((Application!$B$728:$B$752 = 'CalHFA Addendum'!P$18)*(Application!$AH$728:$AH$752 = 'CalHFA Addendum'!$B21),Application!$G$728:$G$752)</f>
        <v>0</v>
      </c>
      <c r="Q21" s="2650"/>
      <c r="R21" s="2650"/>
      <c r="S21" s="2650"/>
      <c r="T21" s="2650"/>
      <c r="U21" s="2651"/>
      <c r="V21" s="2649" cm="1">
        <f t="array" ref="V21">SUMPRODUCT((Application!$B$728:$B$752 = 'CalHFA Addendum'!V$18)*(Application!$AH$728:$AH$752 = 'CalHFA Addendum'!$B21),Application!$G$728:$G$752)</f>
        <v>0</v>
      </c>
      <c r="W21" s="2650"/>
      <c r="X21" s="2650"/>
      <c r="Y21" s="2650"/>
      <c r="Z21" s="2650"/>
      <c r="AA21" s="2651"/>
      <c r="AB21" s="2649" cm="1">
        <f t="array" ref="AB21">SUMPRODUCT((Application!$B$728:$B$752 = 'CalHFA Addendum'!AB$18)*(Application!$AH$728:$AH$752 = 'CalHFA Addendum'!$B21),Application!$G$728:$G$752)</f>
        <v>0</v>
      </c>
      <c r="AC21" s="2650"/>
      <c r="AD21" s="2650"/>
      <c r="AE21" s="2650"/>
      <c r="AF21" s="2650"/>
      <c r="AG21" s="2651"/>
      <c r="AH21" s="2649" cm="1">
        <f t="array" ref="AH21">SUMPRODUCT((Application!$B$728:$B$752 = 'CalHFA Addendum'!AH$18)*(Application!$AH$728:$AH$752 = 'CalHFA Addendum'!$B21),Application!$G$728:$G$752)</f>
        <v>0</v>
      </c>
      <c r="AI21" s="2650"/>
      <c r="AJ21" s="2650"/>
      <c r="AK21" s="2650"/>
      <c r="AL21" s="2650"/>
      <c r="AM21" s="2651"/>
      <c r="AN21" s="2649" cm="1">
        <f t="array" ref="AN21">SUMPRODUCT((Application!$B$728:$B$752 = 'CalHFA Addendum'!AN$18)*(Application!$AH$728:$AH$752 = 'CalHFA Addendum'!$B21),Application!$G$728:$G$752)</f>
        <v>0</v>
      </c>
      <c r="AO21" s="2650"/>
      <c r="AP21" s="2650"/>
      <c r="AQ21" s="2650"/>
      <c r="AR21" s="2650"/>
      <c r="AS21" s="2651"/>
      <c r="AT21" s="2652">
        <f t="shared" si="0"/>
        <v>0</v>
      </c>
      <c r="AU21" s="2653"/>
      <c r="AV21" s="2653"/>
      <c r="AW21" s="2653"/>
      <c r="AX21" s="2653"/>
      <c r="AY21" s="2654"/>
      <c r="AZ21" s="1529"/>
      <c r="BA21" s="1529"/>
      <c r="BB21" s="1529"/>
      <c r="BC21" s="1529"/>
      <c r="BD21" s="1529"/>
      <c r="BE21" s="1535"/>
    </row>
    <row r="22" spans="1:58" ht="15">
      <c r="A22" s="1818"/>
      <c r="B22" s="2655">
        <v>0.5</v>
      </c>
      <c r="C22" s="2656"/>
      <c r="D22" s="2656"/>
      <c r="E22" s="2656"/>
      <c r="F22" s="2656"/>
      <c r="G22" s="2656"/>
      <c r="H22" s="2656"/>
      <c r="I22" s="2656"/>
      <c r="J22" s="2645">
        <f t="shared" si="1"/>
        <v>60</v>
      </c>
      <c r="K22" s="2646"/>
      <c r="L22" s="2646"/>
      <c r="M22" s="2646"/>
      <c r="N22" s="2646"/>
      <c r="O22" s="2647"/>
      <c r="P22" s="2649" cm="1">
        <f t="array" ref="P22">SUMPRODUCT((Application!$B$728:$B$752 = 'CalHFA Addendum'!P$18)*(Application!$AH$728:$AH$752 = 'CalHFA Addendum'!$B22),Application!$G$728:$G$752)</f>
        <v>0</v>
      </c>
      <c r="Q22" s="2650"/>
      <c r="R22" s="2650"/>
      <c r="S22" s="2650"/>
      <c r="T22" s="2650"/>
      <c r="U22" s="2651"/>
      <c r="V22" s="2649" cm="1">
        <f t="array" ref="V22">SUMPRODUCT((Application!$B$728:$B$752 = 'CalHFA Addendum'!V$18)*(Application!$AH$728:$AH$752 = 'CalHFA Addendum'!$B22),Application!$G$728:$G$752)</f>
        <v>15</v>
      </c>
      <c r="W22" s="2650"/>
      <c r="X22" s="2650"/>
      <c r="Y22" s="2650"/>
      <c r="Z22" s="2650"/>
      <c r="AA22" s="2651"/>
      <c r="AB22" s="2649" cm="1">
        <f t="array" ref="AB22">SUMPRODUCT((Application!$B$728:$B$752 = 'CalHFA Addendum'!AB$18)*(Application!$AH$728:$AH$752 = 'CalHFA Addendum'!$B22),Application!$G$728:$G$752)</f>
        <v>30</v>
      </c>
      <c r="AC22" s="2650"/>
      <c r="AD22" s="2650"/>
      <c r="AE22" s="2650"/>
      <c r="AF22" s="2650"/>
      <c r="AG22" s="2651"/>
      <c r="AH22" s="2649" cm="1">
        <f t="array" ref="AH22">SUMPRODUCT((Application!$B$728:$B$752 = 'CalHFA Addendum'!AH$18)*(Application!$AH$728:$AH$752 = 'CalHFA Addendum'!$B22),Application!$G$728:$G$752)</f>
        <v>15</v>
      </c>
      <c r="AI22" s="2650"/>
      <c r="AJ22" s="2650"/>
      <c r="AK22" s="2650"/>
      <c r="AL22" s="2650"/>
      <c r="AM22" s="2651"/>
      <c r="AN22" s="2649" cm="1">
        <f t="array" ref="AN22">SUMPRODUCT((Application!$B$728:$B$752 = 'CalHFA Addendum'!AN$18)*(Application!$AH$728:$AH$752 = 'CalHFA Addendum'!$B22),Application!$G$728:$G$752)</f>
        <v>0</v>
      </c>
      <c r="AO22" s="2650"/>
      <c r="AP22" s="2650"/>
      <c r="AQ22" s="2650"/>
      <c r="AR22" s="2650"/>
      <c r="AS22" s="2651"/>
      <c r="AT22" s="2652">
        <f t="shared" si="0"/>
        <v>0.20833333333333334</v>
      </c>
      <c r="AU22" s="2653"/>
      <c r="AV22" s="2653"/>
      <c r="AW22" s="2653"/>
      <c r="AX22" s="2653"/>
      <c r="AY22" s="2654"/>
      <c r="AZ22" s="1529"/>
      <c r="BA22" s="1529"/>
      <c r="BB22" s="1529"/>
      <c r="BC22" s="1529"/>
      <c r="BD22" s="1529"/>
      <c r="BE22" s="1535"/>
    </row>
    <row r="23" spans="1:58" ht="15">
      <c r="A23" s="1818"/>
      <c r="B23" s="2655">
        <v>0.6</v>
      </c>
      <c r="C23" s="2656"/>
      <c r="D23" s="2656"/>
      <c r="E23" s="2656"/>
      <c r="F23" s="2656"/>
      <c r="G23" s="2656"/>
      <c r="H23" s="2656"/>
      <c r="I23" s="2656"/>
      <c r="J23" s="2645">
        <f t="shared" si="1"/>
        <v>54</v>
      </c>
      <c r="K23" s="2646"/>
      <c r="L23" s="2646"/>
      <c r="M23" s="2646"/>
      <c r="N23" s="2646"/>
      <c r="O23" s="2647"/>
      <c r="P23" s="2649" cm="1">
        <f t="array" ref="P23">SUMPRODUCT((Application!$B$728:$B$752 = 'CalHFA Addendum'!P$18)*(Application!$AH$728:$AH$752 = 'CalHFA Addendum'!$B23),Application!$G$728:$G$752)</f>
        <v>0</v>
      </c>
      <c r="Q23" s="2650"/>
      <c r="R23" s="2650"/>
      <c r="S23" s="2650"/>
      <c r="T23" s="2650"/>
      <c r="U23" s="2651"/>
      <c r="V23" s="2649" cm="1">
        <f t="array" ref="V23">SUMPRODUCT((Application!$B$728:$B$752 = 'CalHFA Addendum'!V$18)*(Application!$AH$728:$AH$752 = 'CalHFA Addendum'!$B23),Application!$G$728:$G$752)</f>
        <v>13</v>
      </c>
      <c r="W23" s="2650"/>
      <c r="X23" s="2650"/>
      <c r="Y23" s="2650"/>
      <c r="Z23" s="2650"/>
      <c r="AA23" s="2651"/>
      <c r="AB23" s="2649" cm="1">
        <f t="array" ref="AB23">SUMPRODUCT((Application!$B$728:$B$752 = 'CalHFA Addendum'!AB$18)*(Application!$AH$728:$AH$752 = 'CalHFA Addendum'!$B23),Application!$G$728:$G$752)</f>
        <v>26</v>
      </c>
      <c r="AC23" s="2650"/>
      <c r="AD23" s="2650"/>
      <c r="AE23" s="2650"/>
      <c r="AF23" s="2650"/>
      <c r="AG23" s="2651"/>
      <c r="AH23" s="2649" cm="1">
        <f t="array" ref="AH23">SUMPRODUCT((Application!$B$728:$B$752 = 'CalHFA Addendum'!AH$18)*(Application!$AH$728:$AH$752 = 'CalHFA Addendum'!$B23),Application!$G$728:$G$752)</f>
        <v>15</v>
      </c>
      <c r="AI23" s="2650"/>
      <c r="AJ23" s="2650"/>
      <c r="AK23" s="2650"/>
      <c r="AL23" s="2650"/>
      <c r="AM23" s="2651"/>
      <c r="AN23" s="2649" cm="1">
        <f t="array" ref="AN23">SUMPRODUCT((Application!$B$728:$B$752 = 'CalHFA Addendum'!AN$18)*(Application!$AH$728:$AH$752 = 'CalHFA Addendum'!$B23),Application!$G$728:$G$752)</f>
        <v>0</v>
      </c>
      <c r="AO23" s="2650"/>
      <c r="AP23" s="2650"/>
      <c r="AQ23" s="2650"/>
      <c r="AR23" s="2650"/>
      <c r="AS23" s="2651"/>
      <c r="AT23" s="2652">
        <f t="shared" si="0"/>
        <v>0.1875</v>
      </c>
      <c r="AU23" s="2653"/>
      <c r="AV23" s="2653"/>
      <c r="AW23" s="2653"/>
      <c r="AX23" s="2653"/>
      <c r="AY23" s="2654"/>
      <c r="AZ23" s="1529"/>
      <c r="BA23" s="1529"/>
      <c r="BB23" s="1529"/>
      <c r="BC23" s="1529"/>
      <c r="BD23" s="1529"/>
      <c r="BE23" s="1535"/>
    </row>
    <row r="24" spans="1:58" ht="15">
      <c r="A24" s="1818"/>
      <c r="B24" s="2655">
        <v>0.7</v>
      </c>
      <c r="C24" s="2656"/>
      <c r="D24" s="2656"/>
      <c r="E24" s="2656"/>
      <c r="F24" s="2656"/>
      <c r="G24" s="2656"/>
      <c r="H24" s="2656"/>
      <c r="I24" s="2656"/>
      <c r="J24" s="2645">
        <f t="shared" si="1"/>
        <v>142</v>
      </c>
      <c r="K24" s="2646"/>
      <c r="L24" s="2646"/>
      <c r="M24" s="2646"/>
      <c r="N24" s="2646"/>
      <c r="O24" s="2647"/>
      <c r="P24" s="2649" cm="1">
        <f t="array" ref="P24">SUMPRODUCT((Application!$B$728:$B$752 = 'CalHFA Addendum'!P$18)*(Application!$AH$728:$AH$752 = 'CalHFA Addendum'!$B24),Application!$G$728:$G$752)</f>
        <v>0</v>
      </c>
      <c r="Q24" s="2650"/>
      <c r="R24" s="2650"/>
      <c r="S24" s="2650"/>
      <c r="T24" s="2650"/>
      <c r="U24" s="2651"/>
      <c r="V24" s="2649" cm="1">
        <f t="array" ref="V24">SUMPRODUCT((Application!$B$728:$B$752 = 'CalHFA Addendum'!V$18)*(Application!$AH$728:$AH$752 = 'CalHFA Addendum'!$B24),Application!$G$728:$G$752)</f>
        <v>37</v>
      </c>
      <c r="W24" s="2650"/>
      <c r="X24" s="2650"/>
      <c r="Y24" s="2650"/>
      <c r="Z24" s="2650"/>
      <c r="AA24" s="2651"/>
      <c r="AB24" s="2649" cm="1">
        <f t="array" ref="AB24">SUMPRODUCT((Application!$B$728:$B$752 = 'CalHFA Addendum'!AB$18)*(Application!$AH$728:$AH$752 = 'CalHFA Addendum'!$B24),Application!$G$728:$G$752)</f>
        <v>70</v>
      </c>
      <c r="AC24" s="2650"/>
      <c r="AD24" s="2650"/>
      <c r="AE24" s="2650"/>
      <c r="AF24" s="2650"/>
      <c r="AG24" s="2651"/>
      <c r="AH24" s="2649" cm="1">
        <f t="array" ref="AH24">SUMPRODUCT((Application!$B$728:$B$752 = 'CalHFA Addendum'!AH$18)*(Application!$AH$728:$AH$752 = 'CalHFA Addendum'!$B24),Application!$G$728:$G$752)</f>
        <v>35</v>
      </c>
      <c r="AI24" s="2650"/>
      <c r="AJ24" s="2650"/>
      <c r="AK24" s="2650"/>
      <c r="AL24" s="2650"/>
      <c r="AM24" s="2651"/>
      <c r="AN24" s="2649" cm="1">
        <f t="array" ref="AN24">SUMPRODUCT((Application!$B$728:$B$752 = 'CalHFA Addendum'!AN$18)*(Application!$AH$728:$AH$752 = 'CalHFA Addendum'!$B24),Application!$G$728:$G$752)</f>
        <v>0</v>
      </c>
      <c r="AO24" s="2650"/>
      <c r="AP24" s="2650"/>
      <c r="AQ24" s="2650"/>
      <c r="AR24" s="2650"/>
      <c r="AS24" s="2651"/>
      <c r="AT24" s="2652">
        <f t="shared" si="0"/>
        <v>0.49305555555555558</v>
      </c>
      <c r="AU24" s="2653"/>
      <c r="AV24" s="2653"/>
      <c r="AW24" s="2653"/>
      <c r="AX24" s="2653"/>
      <c r="AY24" s="2654"/>
      <c r="AZ24" s="1529"/>
      <c r="BA24" s="1529"/>
      <c r="BB24" s="1529"/>
      <c r="BC24" s="1529"/>
      <c r="BD24" s="1529"/>
      <c r="BE24" s="1535"/>
    </row>
    <row r="25" spans="1:58" ht="15">
      <c r="A25" s="1818"/>
      <c r="B25" s="2655">
        <v>0.8</v>
      </c>
      <c r="C25" s="2656"/>
      <c r="D25" s="2656"/>
      <c r="E25" s="2656"/>
      <c r="F25" s="2656"/>
      <c r="G25" s="2656"/>
      <c r="H25" s="2656"/>
      <c r="I25" s="2656"/>
      <c r="J25" s="2645">
        <f t="shared" si="1"/>
        <v>0</v>
      </c>
      <c r="K25" s="2646"/>
      <c r="L25" s="2646"/>
      <c r="M25" s="2646"/>
      <c r="N25" s="2646"/>
      <c r="O25" s="2647"/>
      <c r="P25" s="2649" cm="1">
        <f t="array" ref="P25">SUMPRODUCT((Application!$B$728:$B$752 = 'CalHFA Addendum'!P$18)*(Application!$AH$728:$AH$752 = 'CalHFA Addendum'!$B25),Application!$G$728:$G$752)</f>
        <v>0</v>
      </c>
      <c r="Q25" s="2650"/>
      <c r="R25" s="2650"/>
      <c r="S25" s="2650"/>
      <c r="T25" s="2650"/>
      <c r="U25" s="2651"/>
      <c r="V25" s="2649" cm="1">
        <f t="array" ref="V25">SUMPRODUCT((Application!$B$728:$B$752 = 'CalHFA Addendum'!V$18)*(Application!$AH$728:$AH$752 = 'CalHFA Addendum'!$B25),Application!$G$728:$G$752)</f>
        <v>0</v>
      </c>
      <c r="W25" s="2650"/>
      <c r="X25" s="2650"/>
      <c r="Y25" s="2650"/>
      <c r="Z25" s="2650"/>
      <c r="AA25" s="2651"/>
      <c r="AB25" s="2649" cm="1">
        <f t="array" ref="AB25">SUMPRODUCT((Application!$B$728:$B$752 = 'CalHFA Addendum'!AB$18)*(Application!$AH$728:$AH$752 = 'CalHFA Addendum'!$B25),Application!$G$728:$G$752)</f>
        <v>0</v>
      </c>
      <c r="AC25" s="2650"/>
      <c r="AD25" s="2650"/>
      <c r="AE25" s="2650"/>
      <c r="AF25" s="2650"/>
      <c r="AG25" s="2651"/>
      <c r="AH25" s="2649" cm="1">
        <f t="array" ref="AH25">SUMPRODUCT((Application!$B$728:$B$752 = 'CalHFA Addendum'!AH$18)*(Application!$AH$728:$AH$752 = 'CalHFA Addendum'!$B25),Application!$G$728:$G$752)</f>
        <v>0</v>
      </c>
      <c r="AI25" s="2650"/>
      <c r="AJ25" s="2650"/>
      <c r="AK25" s="2650"/>
      <c r="AL25" s="2650"/>
      <c r="AM25" s="2651"/>
      <c r="AN25" s="2649" cm="1">
        <f t="array" ref="AN25">SUMPRODUCT((Application!$B$728:$B$752 = 'CalHFA Addendum'!AN$18)*(Application!$AH$728:$AH$752 = 'CalHFA Addendum'!$B25),Application!$G$728:$G$752)</f>
        <v>0</v>
      </c>
      <c r="AO25" s="2650"/>
      <c r="AP25" s="2650"/>
      <c r="AQ25" s="2650"/>
      <c r="AR25" s="2650"/>
      <c r="AS25" s="2651"/>
      <c r="AT25" s="2652">
        <f t="shared" si="0"/>
        <v>0</v>
      </c>
      <c r="AU25" s="2653"/>
      <c r="AV25" s="2653"/>
      <c r="AW25" s="2653"/>
      <c r="AX25" s="2653"/>
      <c r="AY25" s="2654"/>
      <c r="AZ25" s="1529"/>
      <c r="BA25" s="1529"/>
      <c r="BB25" s="1529"/>
      <c r="BC25" s="1529"/>
      <c r="BD25" s="1529"/>
      <c r="BE25" s="1535"/>
    </row>
    <row r="26" spans="1:58" ht="15">
      <c r="A26" s="1818"/>
      <c r="B26" s="2655">
        <v>0.9</v>
      </c>
      <c r="C26" s="2656"/>
      <c r="D26" s="2656"/>
      <c r="E26" s="2656"/>
      <c r="F26" s="2656"/>
      <c r="G26" s="2656"/>
      <c r="H26" s="2656"/>
      <c r="I26" s="2656"/>
      <c r="J26" s="2645">
        <f t="shared" si="1"/>
        <v>0</v>
      </c>
      <c r="K26" s="2646"/>
      <c r="L26" s="2646"/>
      <c r="M26" s="2646"/>
      <c r="N26" s="2646"/>
      <c r="O26" s="2647"/>
      <c r="P26" s="2649" cm="1">
        <f t="array" ref="P26">SUMPRODUCT((Application!$B$728:$B$752 = 'CalHFA Addendum'!P$18)*(Application!$AH$728:$AH$752 = 'CalHFA Addendum'!$B26),Application!$G$728:$G$752)</f>
        <v>0</v>
      </c>
      <c r="Q26" s="2650"/>
      <c r="R26" s="2650"/>
      <c r="S26" s="2650"/>
      <c r="T26" s="2650"/>
      <c r="U26" s="2651"/>
      <c r="V26" s="2649" cm="1">
        <f t="array" ref="V26">SUMPRODUCT((Application!$B$728:$B$752 = 'CalHFA Addendum'!V$18)*(Application!$AH$728:$AH$752 = 'CalHFA Addendum'!$B26),Application!$G$728:$G$752)</f>
        <v>0</v>
      </c>
      <c r="W26" s="2650"/>
      <c r="X26" s="2650"/>
      <c r="Y26" s="2650"/>
      <c r="Z26" s="2650"/>
      <c r="AA26" s="2651"/>
      <c r="AB26" s="2649" cm="1">
        <f t="array" ref="AB26">SUMPRODUCT((Application!$B$728:$B$752 = 'CalHFA Addendum'!AB$18)*(Application!$AH$728:$AH$752 = 'CalHFA Addendum'!$B26),Application!$G$728:$G$752)</f>
        <v>0</v>
      </c>
      <c r="AC26" s="2650"/>
      <c r="AD26" s="2650"/>
      <c r="AE26" s="2650"/>
      <c r="AF26" s="2650"/>
      <c r="AG26" s="2651"/>
      <c r="AH26" s="2649" cm="1">
        <f t="array" ref="AH26">SUMPRODUCT((Application!$B$728:$B$752 = 'CalHFA Addendum'!AH$18)*(Application!$AH$728:$AH$752 = 'CalHFA Addendum'!$B26),Application!$G$728:$G$752)</f>
        <v>0</v>
      </c>
      <c r="AI26" s="2650"/>
      <c r="AJ26" s="2650"/>
      <c r="AK26" s="2650"/>
      <c r="AL26" s="2650"/>
      <c r="AM26" s="2651"/>
      <c r="AN26" s="2649" cm="1">
        <f t="array" ref="AN26">SUMPRODUCT((Application!$B$728:$B$752 = 'CalHFA Addendum'!AN$18)*(Application!$AH$728:$AH$752 = 'CalHFA Addendum'!$B26),Application!$G$728:$G$752)</f>
        <v>0</v>
      </c>
      <c r="AO26" s="2650"/>
      <c r="AP26" s="2650"/>
      <c r="AQ26" s="2650"/>
      <c r="AR26" s="2650"/>
      <c r="AS26" s="2651"/>
      <c r="AT26" s="2652">
        <f t="shared" si="0"/>
        <v>0</v>
      </c>
      <c r="AU26" s="2653"/>
      <c r="AV26" s="2653"/>
      <c r="AW26" s="2653"/>
      <c r="AX26" s="2653"/>
      <c r="AY26" s="2654"/>
      <c r="AZ26" s="1529"/>
      <c r="BA26" s="1529"/>
      <c r="BB26" s="1529"/>
      <c r="BC26" s="1529"/>
      <c r="BD26" s="1529"/>
      <c r="BE26" s="1535"/>
    </row>
    <row r="27" spans="1:58" ht="15">
      <c r="A27" s="1818"/>
      <c r="B27" s="2655">
        <v>1</v>
      </c>
      <c r="C27" s="2656"/>
      <c r="D27" s="2656"/>
      <c r="E27" s="2656"/>
      <c r="F27" s="2656"/>
      <c r="G27" s="2656"/>
      <c r="H27" s="2656"/>
      <c r="I27" s="2656"/>
      <c r="J27" s="2645">
        <f t="shared" si="1"/>
        <v>0</v>
      </c>
      <c r="K27" s="2646"/>
      <c r="L27" s="2646"/>
      <c r="M27" s="2646"/>
      <c r="N27" s="2646"/>
      <c r="O27" s="2647"/>
      <c r="P27" s="2649" cm="1">
        <f t="array" ref="P27">SUMPRODUCT((Application!$B$728:$B$752 = 'CalHFA Addendum'!P$18)*(Application!$AH$728:$AH$752 = 'CalHFA Addendum'!$B27),Application!$G$728:$G$752)</f>
        <v>0</v>
      </c>
      <c r="Q27" s="2650"/>
      <c r="R27" s="2650"/>
      <c r="S27" s="2650"/>
      <c r="T27" s="2650"/>
      <c r="U27" s="2651"/>
      <c r="V27" s="2649" cm="1">
        <f t="array" ref="V27">SUMPRODUCT((Application!$B$728:$B$752 = 'CalHFA Addendum'!V$18)*(Application!$AH$728:$AH$752 = 'CalHFA Addendum'!$B27),Application!$G$728:$G$752)</f>
        <v>0</v>
      </c>
      <c r="W27" s="2650"/>
      <c r="X27" s="2650"/>
      <c r="Y27" s="2650"/>
      <c r="Z27" s="2650"/>
      <c r="AA27" s="2651"/>
      <c r="AB27" s="2649" cm="1">
        <f t="array" ref="AB27">SUMPRODUCT((Application!$B$728:$B$752 = 'CalHFA Addendum'!AB$18)*(Application!$AH$728:$AH$752 = 'CalHFA Addendum'!$B27),Application!$G$728:$G$752)</f>
        <v>0</v>
      </c>
      <c r="AC27" s="2650"/>
      <c r="AD27" s="2650"/>
      <c r="AE27" s="2650"/>
      <c r="AF27" s="2650"/>
      <c r="AG27" s="2651"/>
      <c r="AH27" s="2649" cm="1">
        <f t="array" ref="AH27">SUMPRODUCT((Application!$B$728:$B$752 = 'CalHFA Addendum'!AH$18)*(Application!$AH$728:$AH$752 = 'CalHFA Addendum'!$B27),Application!$G$728:$G$752)</f>
        <v>0</v>
      </c>
      <c r="AI27" s="2650"/>
      <c r="AJ27" s="2650"/>
      <c r="AK27" s="2650"/>
      <c r="AL27" s="2650"/>
      <c r="AM27" s="2651"/>
      <c r="AN27" s="2649" cm="1">
        <f t="array" ref="AN27">SUMPRODUCT((Application!$B$728:$B$752 = 'CalHFA Addendum'!AN$18)*(Application!$AH$728:$AH$752 = 'CalHFA Addendum'!$B27),Application!$G$728:$G$752)</f>
        <v>0</v>
      </c>
      <c r="AO27" s="2650"/>
      <c r="AP27" s="2650"/>
      <c r="AQ27" s="2650"/>
      <c r="AR27" s="2650"/>
      <c r="AS27" s="2651"/>
      <c r="AT27" s="2652">
        <f t="shared" si="0"/>
        <v>0</v>
      </c>
      <c r="AU27" s="2653"/>
      <c r="AV27" s="2653"/>
      <c r="AW27" s="2653"/>
      <c r="AX27" s="2653"/>
      <c r="AY27" s="2654"/>
      <c r="AZ27" s="1529"/>
      <c r="BA27" s="1529"/>
      <c r="BB27" s="1529"/>
      <c r="BC27" s="1529"/>
      <c r="BD27" s="1529"/>
      <c r="BE27" s="1535"/>
      <c r="BF27" s="1700"/>
    </row>
    <row r="28" spans="1:58" thickBot="1">
      <c r="A28" s="1818"/>
      <c r="B28" s="2667" t="s">
        <v>2050</v>
      </c>
      <c r="C28" s="2668"/>
      <c r="D28" s="2668"/>
      <c r="E28" s="2668"/>
      <c r="F28" s="2668"/>
      <c r="G28" s="2668"/>
      <c r="H28" s="2668"/>
      <c r="I28" s="2669"/>
      <c r="J28" s="2645">
        <f t="shared" ref="J28" si="2">SUM(P28:AS28)</f>
        <v>3</v>
      </c>
      <c r="K28" s="2646"/>
      <c r="L28" s="2646"/>
      <c r="M28" s="2646"/>
      <c r="N28" s="2646"/>
      <c r="O28" s="2647"/>
      <c r="P28" s="2657">
        <f>_xlfn.IFNA(VLOOKUP(P$18,Application!$J$772:$S$775,6,FALSE), 0)</f>
        <v>0</v>
      </c>
      <c r="Q28" s="2658"/>
      <c r="R28" s="2658"/>
      <c r="S28" s="2658"/>
      <c r="T28" s="2658"/>
      <c r="U28" s="2659"/>
      <c r="V28" s="2657">
        <f>_xlfn.IFNA(VLOOKUP(V$18,Application!$J$772:$S$775,6,FALSE), 0)</f>
        <v>0</v>
      </c>
      <c r="W28" s="2658"/>
      <c r="X28" s="2658"/>
      <c r="Y28" s="2658"/>
      <c r="Z28" s="2658"/>
      <c r="AA28" s="2659"/>
      <c r="AB28" s="2657">
        <f>_xlfn.IFNA(VLOOKUP(AB$18,Application!$J$772:$S$775,6,FALSE), 0)</f>
        <v>3</v>
      </c>
      <c r="AC28" s="2658"/>
      <c r="AD28" s="2658"/>
      <c r="AE28" s="2658"/>
      <c r="AF28" s="2658"/>
      <c r="AG28" s="2659"/>
      <c r="AH28" s="2657">
        <f>_xlfn.IFNA(VLOOKUP(AH$18,Application!$J$772:$S$775,6,FALSE), 0)</f>
        <v>0</v>
      </c>
      <c r="AI28" s="2658"/>
      <c r="AJ28" s="2658"/>
      <c r="AK28" s="2658"/>
      <c r="AL28" s="2658"/>
      <c r="AM28" s="2659"/>
      <c r="AN28" s="2657">
        <f>_xlfn.IFNA(VLOOKUP(AN$18,Application!$J$772:$S$775,6,FALSE), 0)</f>
        <v>0</v>
      </c>
      <c r="AO28" s="2658"/>
      <c r="AP28" s="2658"/>
      <c r="AQ28" s="2658"/>
      <c r="AR28" s="2658"/>
      <c r="AS28" s="2659"/>
      <c r="AT28" s="2652">
        <f t="shared" ref="AT28" si="3">J28/$J$29</f>
        <v>1.0416666666666666E-2</v>
      </c>
      <c r="AU28" s="2653"/>
      <c r="AV28" s="2653"/>
      <c r="AW28" s="2653"/>
      <c r="AX28" s="2653"/>
      <c r="AY28" s="2654"/>
      <c r="AZ28" s="1529"/>
      <c r="BA28" s="1529"/>
      <c r="BB28" s="1529"/>
      <c r="BC28" s="1529"/>
      <c r="BD28" s="1529"/>
      <c r="BE28" s="1535"/>
    </row>
    <row r="29" spans="1:58" thickBot="1">
      <c r="A29" s="1818"/>
      <c r="B29" s="2660" t="s">
        <v>1880</v>
      </c>
      <c r="C29" s="2661"/>
      <c r="D29" s="2661"/>
      <c r="E29" s="2661"/>
      <c r="F29" s="2661"/>
      <c r="G29" s="2661"/>
      <c r="H29" s="2661"/>
      <c r="I29" s="2662"/>
      <c r="J29" s="2663">
        <f>SUM(J19:O28)</f>
        <v>288</v>
      </c>
      <c r="K29" s="2661"/>
      <c r="L29" s="2661"/>
      <c r="M29" s="2661"/>
      <c r="N29" s="2661"/>
      <c r="O29" s="2662"/>
      <c r="P29" s="2663">
        <f>SUM(P19:U28)</f>
        <v>0</v>
      </c>
      <c r="Q29" s="2661"/>
      <c r="R29" s="2661"/>
      <c r="S29" s="2661"/>
      <c r="T29" s="2661"/>
      <c r="U29" s="2662"/>
      <c r="V29" s="2663">
        <f>SUM(V19:AA28)</f>
        <v>72</v>
      </c>
      <c r="W29" s="2661"/>
      <c r="X29" s="2661"/>
      <c r="Y29" s="2661"/>
      <c r="Z29" s="2661"/>
      <c r="AA29" s="2662"/>
      <c r="AB29" s="2663">
        <f>SUM(AB19:AG28)</f>
        <v>144</v>
      </c>
      <c r="AC29" s="2661"/>
      <c r="AD29" s="2661"/>
      <c r="AE29" s="2661"/>
      <c r="AF29" s="2661"/>
      <c r="AG29" s="2662"/>
      <c r="AH29" s="2663">
        <f>SUM(AH19:AM28)</f>
        <v>72</v>
      </c>
      <c r="AI29" s="2661"/>
      <c r="AJ29" s="2661"/>
      <c r="AK29" s="2661"/>
      <c r="AL29" s="2661"/>
      <c r="AM29" s="2662"/>
      <c r="AN29" s="2663">
        <f>SUM(AN19:AS28)</f>
        <v>0</v>
      </c>
      <c r="AO29" s="2661"/>
      <c r="AP29" s="2661"/>
      <c r="AQ29" s="2661"/>
      <c r="AR29" s="2661"/>
      <c r="AS29" s="2662"/>
      <c r="AT29" s="2664">
        <f>J29/$J$29</f>
        <v>1</v>
      </c>
      <c r="AU29" s="2665"/>
      <c r="AV29" s="2665"/>
      <c r="AW29" s="2665"/>
      <c r="AX29" s="2665"/>
      <c r="AY29" s="266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0" t="s">
        <v>2051</v>
      </c>
      <c r="C31" s="2671"/>
      <c r="D31" s="2671"/>
      <c r="E31" s="2671"/>
      <c r="F31" s="2671"/>
      <c r="G31" s="2671"/>
      <c r="H31" s="2671"/>
      <c r="I31" s="2671"/>
      <c r="J31" s="2671"/>
      <c r="K31" s="2671"/>
      <c r="L31" s="2671"/>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2671"/>
      <c r="AT31" s="2671"/>
      <c r="AU31" s="2671"/>
      <c r="AV31" s="2671"/>
      <c r="AW31" s="2671"/>
      <c r="AX31" s="2671"/>
      <c r="AY31" s="2671"/>
      <c r="AZ31" s="2672"/>
      <c r="BA31" s="1529"/>
      <c r="BB31" s="1529"/>
      <c r="BC31" s="1529"/>
      <c r="BD31" s="1529"/>
      <c r="BE31" s="1535"/>
    </row>
    <row r="32" spans="1:58" thickBot="1">
      <c r="A32" s="1818"/>
      <c r="B32" s="2673" t="s">
        <v>2052</v>
      </c>
      <c r="C32" s="2674"/>
      <c r="D32" s="2674"/>
      <c r="E32" s="2674"/>
      <c r="F32" s="2674"/>
      <c r="G32" s="2674"/>
      <c r="H32" s="2674"/>
      <c r="I32" s="2675"/>
      <c r="J32" s="2677" t="s">
        <v>2053</v>
      </c>
      <c r="K32" s="2678"/>
      <c r="L32" s="2678"/>
      <c r="M32" s="2679"/>
      <c r="N32" s="2677" t="s">
        <v>2054</v>
      </c>
      <c r="O32" s="2678"/>
      <c r="P32" s="2678"/>
      <c r="Q32" s="2678"/>
      <c r="R32" s="2681" t="s">
        <v>2055</v>
      </c>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3"/>
      <c r="BA32" s="1529"/>
      <c r="BB32" s="1529"/>
      <c r="BC32" s="1529"/>
      <c r="BD32" s="1529"/>
      <c r="BE32" s="1535"/>
    </row>
    <row r="33" spans="1:58" ht="15" customHeight="1">
      <c r="A33" s="1818"/>
      <c r="B33" s="2676"/>
      <c r="C33" s="2674"/>
      <c r="D33" s="2674"/>
      <c r="E33" s="2674"/>
      <c r="F33" s="2674"/>
      <c r="G33" s="2674"/>
      <c r="H33" s="2674"/>
      <c r="I33" s="2675"/>
      <c r="J33" s="2680"/>
      <c r="K33" s="2678"/>
      <c r="L33" s="2678"/>
      <c r="M33" s="2679"/>
      <c r="N33" s="2680"/>
      <c r="O33" s="2678"/>
      <c r="P33" s="2678"/>
      <c r="Q33" s="2678"/>
      <c r="R33" s="2684" t="s">
        <v>2056</v>
      </c>
      <c r="S33" s="2685"/>
      <c r="T33" s="2685"/>
      <c r="U33" s="2685"/>
      <c r="V33" s="2685"/>
      <c r="W33" s="2685"/>
      <c r="X33" s="2685"/>
      <c r="Y33" s="2685"/>
      <c r="Z33" s="2685"/>
      <c r="AA33" s="2685"/>
      <c r="AB33" s="2685"/>
      <c r="AC33" s="2685"/>
      <c r="AD33" s="2685"/>
      <c r="AE33" s="2685"/>
      <c r="AF33" s="2685"/>
      <c r="AG33" s="2685"/>
      <c r="AH33" s="2685"/>
      <c r="AI33" s="2685"/>
      <c r="AJ33" s="2685"/>
      <c r="AK33" s="2685"/>
      <c r="AL33" s="2685"/>
      <c r="AM33" s="2685"/>
      <c r="AN33" s="2685"/>
      <c r="AO33" s="2685"/>
      <c r="AP33" s="2685"/>
      <c r="AQ33" s="2685"/>
      <c r="AR33" s="2685"/>
      <c r="AS33" s="2685"/>
      <c r="AT33" s="2685"/>
      <c r="AU33" s="2685"/>
      <c r="AV33" s="2685"/>
      <c r="AW33" s="2685"/>
      <c r="AX33" s="2685"/>
      <c r="AY33" s="2685"/>
      <c r="AZ33" s="2686"/>
      <c r="BA33" s="1536"/>
      <c r="BB33" s="1529"/>
      <c r="BC33" s="1529"/>
      <c r="BD33" s="1529"/>
      <c r="BE33" s="1535"/>
    </row>
    <row r="34" spans="1:58" ht="15.75" customHeight="1" thickBot="1">
      <c r="A34" s="1818"/>
      <c r="B34" s="2676"/>
      <c r="C34" s="2674"/>
      <c r="D34" s="2674"/>
      <c r="E34" s="2674"/>
      <c r="F34" s="2674"/>
      <c r="G34" s="2674"/>
      <c r="H34" s="2674"/>
      <c r="I34" s="2675"/>
      <c r="J34" s="2680"/>
      <c r="K34" s="2678"/>
      <c r="L34" s="2678"/>
      <c r="M34" s="2679"/>
      <c r="N34" s="2680"/>
      <c r="O34" s="2678"/>
      <c r="P34" s="2678"/>
      <c r="Q34" s="2678"/>
      <c r="R34" s="2687"/>
      <c r="S34" s="2688"/>
      <c r="T34" s="2688"/>
      <c r="U34" s="2688"/>
      <c r="V34" s="2688"/>
      <c r="W34" s="2688"/>
      <c r="X34" s="2688"/>
      <c r="Y34" s="2688"/>
      <c r="Z34" s="2688"/>
      <c r="AA34" s="2688"/>
      <c r="AB34" s="2688"/>
      <c r="AC34" s="2688"/>
      <c r="AD34" s="2688"/>
      <c r="AE34" s="2688"/>
      <c r="AF34" s="2688"/>
      <c r="AG34" s="2688"/>
      <c r="AH34" s="2688"/>
      <c r="AI34" s="2688"/>
      <c r="AJ34" s="2688"/>
      <c r="AK34" s="2688"/>
      <c r="AL34" s="2688"/>
      <c r="AM34" s="2688"/>
      <c r="AN34" s="2688"/>
      <c r="AO34" s="2688"/>
      <c r="AP34" s="2688"/>
      <c r="AQ34" s="2688"/>
      <c r="AR34" s="2688"/>
      <c r="AS34" s="2688"/>
      <c r="AT34" s="2688"/>
      <c r="AU34" s="2688"/>
      <c r="AV34" s="2688"/>
      <c r="AW34" s="2688"/>
      <c r="AX34" s="2688"/>
      <c r="AY34" s="2688"/>
      <c r="AZ34" s="2689"/>
      <c r="BA34" s="1536"/>
      <c r="BB34" s="1529"/>
      <c r="BC34" s="1529"/>
      <c r="BD34" s="1529"/>
      <c r="BE34" s="1535"/>
    </row>
    <row r="35" spans="1:58" ht="15.75" customHeight="1" thickBot="1">
      <c r="A35" s="1818"/>
      <c r="B35" s="2676"/>
      <c r="C35" s="2674"/>
      <c r="D35" s="2674"/>
      <c r="E35" s="2674"/>
      <c r="F35" s="2674"/>
      <c r="G35" s="2674"/>
      <c r="H35" s="2674"/>
      <c r="I35" s="2675"/>
      <c r="J35" s="2680"/>
      <c r="K35" s="2678"/>
      <c r="L35" s="2678"/>
      <c r="M35" s="2679"/>
      <c r="N35" s="2680"/>
      <c r="O35" s="2678"/>
      <c r="P35" s="2678"/>
      <c r="Q35" s="2678"/>
      <c r="R35" s="2690">
        <v>0.5</v>
      </c>
      <c r="S35" s="2691"/>
      <c r="T35" s="2691"/>
      <c r="U35" s="2692"/>
      <c r="V35" s="2690">
        <v>0.6</v>
      </c>
      <c r="W35" s="2691"/>
      <c r="X35" s="2691"/>
      <c r="Y35" s="2692"/>
      <c r="Z35" s="2690">
        <v>0.7</v>
      </c>
      <c r="AA35" s="2691"/>
      <c r="AB35" s="2691"/>
      <c r="AC35" s="2692"/>
      <c r="AD35" s="2690">
        <v>0.8</v>
      </c>
      <c r="AE35" s="2691"/>
      <c r="AF35" s="2691"/>
      <c r="AG35" s="2692"/>
      <c r="AH35" s="2690">
        <v>1</v>
      </c>
      <c r="AI35" s="2691"/>
      <c r="AJ35" s="2691"/>
      <c r="AK35" s="2692"/>
      <c r="AL35" s="2690">
        <v>1.2</v>
      </c>
      <c r="AM35" s="2691"/>
      <c r="AN35" s="2692"/>
      <c r="AO35" s="2702" t="s">
        <v>2057</v>
      </c>
      <c r="AP35" s="2703"/>
      <c r="AQ35" s="2703"/>
      <c r="AR35" s="2703"/>
      <c r="AS35" s="2703"/>
      <c r="AT35" s="2704"/>
      <c r="AU35" s="2702" t="s">
        <v>2058</v>
      </c>
      <c r="AV35" s="2703"/>
      <c r="AW35" s="2703"/>
      <c r="AX35" s="2703"/>
      <c r="AY35" s="2703"/>
      <c r="AZ35" s="2704"/>
      <c r="BA35" s="1536"/>
      <c r="BB35" s="1529"/>
      <c r="BC35" s="1529"/>
      <c r="BD35" s="1529"/>
      <c r="BE35" s="1535"/>
      <c r="BF35" s="1527"/>
    </row>
    <row r="36" spans="1:58" ht="15.75" customHeight="1">
      <c r="A36" s="1818"/>
      <c r="B36" s="2705" t="s">
        <v>2059</v>
      </c>
      <c r="C36" s="2706"/>
      <c r="D36" s="2706"/>
      <c r="E36" s="2706"/>
      <c r="F36" s="2706"/>
      <c r="G36" s="2706"/>
      <c r="H36" s="2706"/>
      <c r="I36" s="2707"/>
      <c r="J36" s="2708" t="s">
        <v>2060</v>
      </c>
      <c r="K36" s="2709"/>
      <c r="L36" s="2709"/>
      <c r="M36" s="2710"/>
      <c r="N36" s="2711">
        <v>55</v>
      </c>
      <c r="O36" s="2712"/>
      <c r="P36" s="2712"/>
      <c r="Q36" s="2713"/>
      <c r="R36" s="2714">
        <v>10</v>
      </c>
      <c r="S36" s="2714"/>
      <c r="T36" s="2714"/>
      <c r="U36" s="2714"/>
      <c r="V36" s="2714">
        <v>30</v>
      </c>
      <c r="W36" s="2714"/>
      <c r="X36" s="2714"/>
      <c r="Y36" s="2714"/>
      <c r="Z36" s="2714"/>
      <c r="AA36" s="2714"/>
      <c r="AB36" s="2714"/>
      <c r="AC36" s="2714"/>
      <c r="AD36" s="2714">
        <v>59</v>
      </c>
      <c r="AE36" s="2714"/>
      <c r="AF36" s="2714"/>
      <c r="AG36" s="2714"/>
      <c r="AH36" s="2717"/>
      <c r="AI36" s="2717"/>
      <c r="AJ36" s="2717"/>
      <c r="AK36" s="2717"/>
      <c r="AL36" s="2717"/>
      <c r="AM36" s="2717"/>
      <c r="AN36" s="2717"/>
      <c r="AO36" s="2715">
        <f>SUM(R36:AN36)</f>
        <v>99</v>
      </c>
      <c r="AP36" s="2715"/>
      <c r="AQ36" s="2715"/>
      <c r="AR36" s="2715"/>
      <c r="AS36" s="2715"/>
      <c r="AT36" s="2715"/>
      <c r="AU36" s="2716">
        <f>AO36/$J$29</f>
        <v>0.34375</v>
      </c>
      <c r="AV36" s="2716"/>
      <c r="AW36" s="2716"/>
      <c r="AX36" s="2716"/>
      <c r="AY36" s="2716"/>
      <c r="AZ36" s="2716"/>
      <c r="BA36" s="1529"/>
      <c r="BB36" s="1529"/>
      <c r="BC36" s="1529"/>
      <c r="BD36" s="1529"/>
      <c r="BE36" s="1535"/>
      <c r="BF36" s="1527"/>
    </row>
    <row r="37" spans="1:58" ht="15.75" customHeight="1">
      <c r="A37" s="1818"/>
      <c r="B37" s="2693" t="s">
        <v>2061</v>
      </c>
      <c r="C37" s="2694"/>
      <c r="D37" s="2694"/>
      <c r="E37" s="2694"/>
      <c r="F37" s="2694"/>
      <c r="G37" s="2694"/>
      <c r="H37" s="2694"/>
      <c r="I37" s="2695"/>
      <c r="J37" s="2696" t="s">
        <v>2062</v>
      </c>
      <c r="K37" s="2697"/>
      <c r="L37" s="2697"/>
      <c r="M37" s="2698"/>
      <c r="N37" s="2699">
        <v>55</v>
      </c>
      <c r="O37" s="2697"/>
      <c r="P37" s="2697"/>
      <c r="Q37" s="2700"/>
      <c r="R37" s="2701"/>
      <c r="S37" s="2701"/>
      <c r="T37" s="2701"/>
      <c r="U37" s="2701"/>
      <c r="V37" s="2701"/>
      <c r="W37" s="2701"/>
      <c r="X37" s="2701"/>
      <c r="Y37" s="2701"/>
      <c r="Z37" s="2701"/>
      <c r="AA37" s="2701"/>
      <c r="AB37" s="2701"/>
      <c r="AC37" s="2701"/>
      <c r="AD37" s="2701"/>
      <c r="AE37" s="2701"/>
      <c r="AF37" s="2701"/>
      <c r="AG37" s="2701"/>
      <c r="AH37" s="2701"/>
      <c r="AI37" s="2701"/>
      <c r="AJ37" s="2701"/>
      <c r="AK37" s="2701"/>
      <c r="AL37" s="2701"/>
      <c r="AM37" s="2701"/>
      <c r="AN37" s="2701"/>
      <c r="AO37" s="2715">
        <f t="shared" ref="AO37:AO47" si="4">SUM(R37:AN37)</f>
        <v>0</v>
      </c>
      <c r="AP37" s="2715"/>
      <c r="AQ37" s="2715"/>
      <c r="AR37" s="2715"/>
      <c r="AS37" s="2715"/>
      <c r="AT37" s="2715"/>
      <c r="AU37" s="2716">
        <f t="shared" ref="AU37:AU47" si="5">AO37/$J$29</f>
        <v>0</v>
      </c>
      <c r="AV37" s="2716"/>
      <c r="AW37" s="2716"/>
      <c r="AX37" s="2716"/>
      <c r="AY37" s="2716"/>
      <c r="AZ37" s="2716"/>
      <c r="BA37" s="1529"/>
      <c r="BB37" s="1529"/>
      <c r="BC37" s="1529"/>
      <c r="BD37" s="1529"/>
      <c r="BE37" s="1535"/>
      <c r="BF37" s="1527"/>
    </row>
    <row r="38" spans="1:58" ht="15.75" customHeight="1">
      <c r="A38" s="1818"/>
      <c r="B38" s="2693" t="s">
        <v>2063</v>
      </c>
      <c r="C38" s="2694"/>
      <c r="D38" s="2694"/>
      <c r="E38" s="2694"/>
      <c r="F38" s="2694"/>
      <c r="G38" s="2694"/>
      <c r="H38" s="2694"/>
      <c r="I38" s="2695"/>
      <c r="J38" s="2696" t="s">
        <v>2064</v>
      </c>
      <c r="K38" s="2697"/>
      <c r="L38" s="2697"/>
      <c r="M38" s="2698"/>
      <c r="N38" s="2699">
        <v>55</v>
      </c>
      <c r="O38" s="2697"/>
      <c r="P38" s="2697"/>
      <c r="Q38" s="2700"/>
      <c r="R38" s="2701"/>
      <c r="S38" s="2701"/>
      <c r="T38" s="2701"/>
      <c r="U38" s="2701"/>
      <c r="V38" s="2701"/>
      <c r="W38" s="2701"/>
      <c r="X38" s="2701"/>
      <c r="Y38" s="2701"/>
      <c r="Z38" s="2701"/>
      <c r="AA38" s="2701"/>
      <c r="AB38" s="2701"/>
      <c r="AC38" s="2701"/>
      <c r="AD38" s="2701"/>
      <c r="AE38" s="2701"/>
      <c r="AF38" s="2701"/>
      <c r="AG38" s="2701"/>
      <c r="AH38" s="2701"/>
      <c r="AI38" s="2701"/>
      <c r="AJ38" s="2701"/>
      <c r="AK38" s="2701"/>
      <c r="AL38" s="2701"/>
      <c r="AM38" s="2701"/>
      <c r="AN38" s="2701"/>
      <c r="AO38" s="2715">
        <f t="shared" si="4"/>
        <v>0</v>
      </c>
      <c r="AP38" s="2715"/>
      <c r="AQ38" s="2715"/>
      <c r="AR38" s="2715"/>
      <c r="AS38" s="2715"/>
      <c r="AT38" s="2715"/>
      <c r="AU38" s="2716">
        <f t="shared" si="5"/>
        <v>0</v>
      </c>
      <c r="AV38" s="2716"/>
      <c r="AW38" s="2716"/>
      <c r="AX38" s="2716"/>
      <c r="AY38" s="2716"/>
      <c r="AZ38" s="2716"/>
      <c r="BA38" s="1529"/>
      <c r="BB38" s="1529"/>
      <c r="BC38" s="1529"/>
      <c r="BD38" s="1529"/>
      <c r="BE38" s="1535"/>
      <c r="BF38" s="1527"/>
    </row>
    <row r="39" spans="1:58" ht="15.75" customHeight="1">
      <c r="A39" s="1818"/>
      <c r="B39" s="2693" t="s">
        <v>2065</v>
      </c>
      <c r="C39" s="2694"/>
      <c r="D39" s="2694"/>
      <c r="E39" s="2694"/>
      <c r="F39" s="2694"/>
      <c r="G39" s="2694"/>
      <c r="H39" s="2694"/>
      <c r="I39" s="2695"/>
      <c r="J39" s="2718"/>
      <c r="K39" s="2719"/>
      <c r="L39" s="2719"/>
      <c r="M39" s="2720"/>
      <c r="N39" s="2721"/>
      <c r="O39" s="2719"/>
      <c r="P39" s="2719"/>
      <c r="Q39" s="2722"/>
      <c r="R39" s="2701"/>
      <c r="S39" s="2701"/>
      <c r="T39" s="2701"/>
      <c r="U39" s="2701"/>
      <c r="V39" s="2701"/>
      <c r="W39" s="2701"/>
      <c r="X39" s="2701"/>
      <c r="Y39" s="2701"/>
      <c r="Z39" s="2701"/>
      <c r="AA39" s="2701"/>
      <c r="AB39" s="2701"/>
      <c r="AC39" s="2701"/>
      <c r="AD39" s="2701"/>
      <c r="AE39" s="2701"/>
      <c r="AF39" s="2701"/>
      <c r="AG39" s="2701"/>
      <c r="AH39" s="2701"/>
      <c r="AI39" s="2701"/>
      <c r="AJ39" s="2701"/>
      <c r="AK39" s="2701"/>
      <c r="AL39" s="2701"/>
      <c r="AM39" s="2701"/>
      <c r="AN39" s="2701"/>
      <c r="AO39" s="2715">
        <f t="shared" si="4"/>
        <v>0</v>
      </c>
      <c r="AP39" s="2715"/>
      <c r="AQ39" s="2715"/>
      <c r="AR39" s="2715"/>
      <c r="AS39" s="2715"/>
      <c r="AT39" s="2715"/>
      <c r="AU39" s="2716">
        <f t="shared" si="5"/>
        <v>0</v>
      </c>
      <c r="AV39" s="2716"/>
      <c r="AW39" s="2716"/>
      <c r="AX39" s="2716"/>
      <c r="AY39" s="2716"/>
      <c r="AZ39" s="2716"/>
      <c r="BA39" s="1529"/>
      <c r="BB39" s="1529"/>
      <c r="BC39" s="1529"/>
      <c r="BD39" s="1529"/>
      <c r="BE39" s="1535"/>
    </row>
    <row r="40" spans="1:58" ht="15.75" customHeight="1">
      <c r="A40" s="1818"/>
      <c r="B40" s="2693" t="s">
        <v>2065</v>
      </c>
      <c r="C40" s="2694"/>
      <c r="D40" s="2694"/>
      <c r="E40" s="2694"/>
      <c r="F40" s="2694"/>
      <c r="G40" s="2694"/>
      <c r="H40" s="2694"/>
      <c r="I40" s="2695"/>
      <c r="J40" s="2718"/>
      <c r="K40" s="2719"/>
      <c r="L40" s="2719"/>
      <c r="M40" s="2720"/>
      <c r="N40" s="2721"/>
      <c r="O40" s="2719"/>
      <c r="P40" s="2719"/>
      <c r="Q40" s="2722"/>
      <c r="R40" s="2701"/>
      <c r="S40" s="2701"/>
      <c r="T40" s="2701"/>
      <c r="U40" s="2701"/>
      <c r="V40" s="2701"/>
      <c r="W40" s="2701"/>
      <c r="X40" s="2701"/>
      <c r="Y40" s="2701"/>
      <c r="Z40" s="2701"/>
      <c r="AA40" s="2701"/>
      <c r="AB40" s="2701"/>
      <c r="AC40" s="2701"/>
      <c r="AD40" s="2701"/>
      <c r="AE40" s="2701"/>
      <c r="AF40" s="2701"/>
      <c r="AG40" s="2701"/>
      <c r="AH40" s="2701"/>
      <c r="AI40" s="2701"/>
      <c r="AJ40" s="2701"/>
      <c r="AK40" s="2701"/>
      <c r="AL40" s="2701"/>
      <c r="AM40" s="2701"/>
      <c r="AN40" s="2701"/>
      <c r="AO40" s="2715">
        <f t="shared" si="4"/>
        <v>0</v>
      </c>
      <c r="AP40" s="2715"/>
      <c r="AQ40" s="2715"/>
      <c r="AR40" s="2715"/>
      <c r="AS40" s="2715"/>
      <c r="AT40" s="2715"/>
      <c r="AU40" s="2716">
        <f t="shared" si="5"/>
        <v>0</v>
      </c>
      <c r="AV40" s="2716"/>
      <c r="AW40" s="2716"/>
      <c r="AX40" s="2716"/>
      <c r="AY40" s="2716"/>
      <c r="AZ40" s="2716"/>
      <c r="BA40" s="1529"/>
      <c r="BB40" s="1529"/>
      <c r="BC40" s="1529"/>
      <c r="BD40" s="1529"/>
      <c r="BE40" s="1535"/>
    </row>
    <row r="41" spans="1:58" ht="15.75" customHeight="1">
      <c r="A41" s="1818"/>
      <c r="B41" s="2723" t="s">
        <v>2066</v>
      </c>
      <c r="C41" s="2724"/>
      <c r="D41" s="2724"/>
      <c r="E41" s="2724"/>
      <c r="F41" s="2724"/>
      <c r="G41" s="2724"/>
      <c r="H41" s="2724"/>
      <c r="I41" s="2725"/>
      <c r="J41" s="2718"/>
      <c r="K41" s="2719"/>
      <c r="L41" s="2719"/>
      <c r="M41" s="2720"/>
      <c r="N41" s="2721"/>
      <c r="O41" s="2719"/>
      <c r="P41" s="2719"/>
      <c r="Q41" s="2722"/>
      <c r="R41" s="2701"/>
      <c r="S41" s="2701"/>
      <c r="T41" s="2701"/>
      <c r="U41" s="2701"/>
      <c r="V41" s="2701"/>
      <c r="W41" s="2701"/>
      <c r="X41" s="2701"/>
      <c r="Y41" s="2701"/>
      <c r="Z41" s="2701"/>
      <c r="AA41" s="2701"/>
      <c r="AB41" s="2701"/>
      <c r="AC41" s="2701"/>
      <c r="AD41" s="2701"/>
      <c r="AE41" s="2701"/>
      <c r="AF41" s="2701"/>
      <c r="AG41" s="2701"/>
      <c r="AH41" s="2701"/>
      <c r="AI41" s="2701"/>
      <c r="AJ41" s="2701"/>
      <c r="AK41" s="2701"/>
      <c r="AL41" s="2701"/>
      <c r="AM41" s="2701"/>
      <c r="AN41" s="2701"/>
      <c r="AO41" s="2715">
        <f t="shared" si="4"/>
        <v>0</v>
      </c>
      <c r="AP41" s="2715"/>
      <c r="AQ41" s="2715"/>
      <c r="AR41" s="2715"/>
      <c r="AS41" s="2715"/>
      <c r="AT41" s="2715"/>
      <c r="AU41" s="2716">
        <f t="shared" si="5"/>
        <v>0</v>
      </c>
      <c r="AV41" s="2716"/>
      <c r="AW41" s="2716"/>
      <c r="AX41" s="2716"/>
      <c r="AY41" s="2716"/>
      <c r="AZ41" s="2716"/>
      <c r="BA41" s="1529"/>
      <c r="BB41" s="1529"/>
      <c r="BC41" s="1529"/>
      <c r="BD41" s="1529"/>
      <c r="BE41" s="1535"/>
    </row>
    <row r="42" spans="1:58" ht="15.75" customHeight="1">
      <c r="A42" s="1818"/>
      <c r="B42" s="2723" t="s">
        <v>2066</v>
      </c>
      <c r="C42" s="2724"/>
      <c r="D42" s="2724"/>
      <c r="E42" s="2724"/>
      <c r="F42" s="2724"/>
      <c r="G42" s="2724"/>
      <c r="H42" s="2724"/>
      <c r="I42" s="2725"/>
      <c r="J42" s="2718"/>
      <c r="K42" s="2719"/>
      <c r="L42" s="2719"/>
      <c r="M42" s="2720"/>
      <c r="N42" s="2721"/>
      <c r="O42" s="2719"/>
      <c r="P42" s="2719"/>
      <c r="Q42" s="2722"/>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2701"/>
      <c r="AM42" s="2701"/>
      <c r="AN42" s="2701"/>
      <c r="AO42" s="2715">
        <f t="shared" si="4"/>
        <v>0</v>
      </c>
      <c r="AP42" s="2715"/>
      <c r="AQ42" s="2715"/>
      <c r="AR42" s="2715"/>
      <c r="AS42" s="2715"/>
      <c r="AT42" s="2715"/>
      <c r="AU42" s="2716">
        <f t="shared" si="5"/>
        <v>0</v>
      </c>
      <c r="AV42" s="2716"/>
      <c r="AW42" s="2716"/>
      <c r="AX42" s="2716"/>
      <c r="AY42" s="2716"/>
      <c r="AZ42" s="2716"/>
      <c r="BA42" s="1529"/>
      <c r="BB42" s="1529"/>
      <c r="BC42" s="1529"/>
      <c r="BD42" s="1529"/>
      <c r="BE42" s="1535"/>
    </row>
    <row r="43" spans="1:58" ht="15.75" customHeight="1">
      <c r="A43" s="1818"/>
      <c r="B43" s="2726" t="s">
        <v>2067</v>
      </c>
      <c r="C43" s="2727"/>
      <c r="D43" s="2727"/>
      <c r="E43" s="2727"/>
      <c r="F43" s="2727"/>
      <c r="G43" s="2727"/>
      <c r="H43" s="2727"/>
      <c r="I43" s="2728"/>
      <c r="J43" s="2718"/>
      <c r="K43" s="2719"/>
      <c r="L43" s="2719"/>
      <c r="M43" s="2720"/>
      <c r="N43" s="2721"/>
      <c r="O43" s="2719"/>
      <c r="P43" s="2719"/>
      <c r="Q43" s="2722"/>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2701"/>
      <c r="AM43" s="2701"/>
      <c r="AN43" s="2701"/>
      <c r="AO43" s="2715">
        <f t="shared" si="4"/>
        <v>0</v>
      </c>
      <c r="AP43" s="2715"/>
      <c r="AQ43" s="2715"/>
      <c r="AR43" s="2715"/>
      <c r="AS43" s="2715"/>
      <c r="AT43" s="2715"/>
      <c r="AU43" s="2716">
        <f t="shared" si="5"/>
        <v>0</v>
      </c>
      <c r="AV43" s="2716"/>
      <c r="AW43" s="2716"/>
      <c r="AX43" s="2716"/>
      <c r="AY43" s="2716"/>
      <c r="AZ43" s="2716"/>
      <c r="BA43" s="1529"/>
      <c r="BB43" s="1529"/>
      <c r="BC43" s="1529"/>
      <c r="BD43" s="1529"/>
      <c r="BE43" s="1535"/>
    </row>
    <row r="44" spans="1:58" ht="15.75" customHeight="1">
      <c r="A44" s="1818"/>
      <c r="B44" s="2726" t="s">
        <v>2068</v>
      </c>
      <c r="C44" s="2727"/>
      <c r="D44" s="2727"/>
      <c r="E44" s="2727"/>
      <c r="F44" s="2727"/>
      <c r="G44" s="2727"/>
      <c r="H44" s="2727"/>
      <c r="I44" s="2728"/>
      <c r="J44" s="2718"/>
      <c r="K44" s="2719"/>
      <c r="L44" s="2719"/>
      <c r="M44" s="2720"/>
      <c r="N44" s="2721"/>
      <c r="O44" s="2719"/>
      <c r="P44" s="2719"/>
      <c r="Q44" s="2722"/>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2701"/>
      <c r="AM44" s="2701"/>
      <c r="AN44" s="2701"/>
      <c r="AO44" s="2715">
        <f t="shared" si="4"/>
        <v>0</v>
      </c>
      <c r="AP44" s="2715"/>
      <c r="AQ44" s="2715"/>
      <c r="AR44" s="2715"/>
      <c r="AS44" s="2715"/>
      <c r="AT44" s="2715"/>
      <c r="AU44" s="2716">
        <f t="shared" si="5"/>
        <v>0</v>
      </c>
      <c r="AV44" s="2716"/>
      <c r="AW44" s="2716"/>
      <c r="AX44" s="2716"/>
      <c r="AY44" s="2716"/>
      <c r="AZ44" s="2716"/>
      <c r="BA44" s="1529"/>
      <c r="BB44" s="1529"/>
      <c r="BC44" s="1529"/>
      <c r="BD44" s="1529"/>
      <c r="BE44" s="1535"/>
    </row>
    <row r="45" spans="1:58" ht="15.75" customHeight="1">
      <c r="A45" s="1818"/>
      <c r="B45" s="2729" t="s">
        <v>2069</v>
      </c>
      <c r="C45" s="2730"/>
      <c r="D45" s="2730"/>
      <c r="E45" s="2730"/>
      <c r="F45" s="2730"/>
      <c r="G45" s="2730"/>
      <c r="H45" s="2730"/>
      <c r="I45" s="2731"/>
      <c r="J45" s="2718"/>
      <c r="K45" s="2719"/>
      <c r="L45" s="2719"/>
      <c r="M45" s="2720"/>
      <c r="N45" s="2721"/>
      <c r="O45" s="2719"/>
      <c r="P45" s="2719"/>
      <c r="Q45" s="2722"/>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2701"/>
      <c r="AM45" s="2701"/>
      <c r="AN45" s="2701"/>
      <c r="AO45" s="2715">
        <f t="shared" si="4"/>
        <v>0</v>
      </c>
      <c r="AP45" s="2715"/>
      <c r="AQ45" s="2715"/>
      <c r="AR45" s="2715"/>
      <c r="AS45" s="2715"/>
      <c r="AT45" s="2715"/>
      <c r="AU45" s="2716">
        <f t="shared" si="5"/>
        <v>0</v>
      </c>
      <c r="AV45" s="2716"/>
      <c r="AW45" s="2716"/>
      <c r="AX45" s="2716"/>
      <c r="AY45" s="2716"/>
      <c r="AZ45" s="2716"/>
      <c r="BA45" s="1529"/>
      <c r="BB45" s="1529"/>
      <c r="BC45" s="1529"/>
      <c r="BD45" s="1529"/>
      <c r="BE45" s="1535"/>
    </row>
    <row r="46" spans="1:58" ht="15.75" customHeight="1">
      <c r="A46" s="1818"/>
      <c r="B46" s="2729" t="s">
        <v>2070</v>
      </c>
      <c r="C46" s="2730"/>
      <c r="D46" s="2730"/>
      <c r="E46" s="2730"/>
      <c r="F46" s="2730"/>
      <c r="G46" s="2730"/>
      <c r="H46" s="2730"/>
      <c r="I46" s="2731"/>
      <c r="J46" s="2718"/>
      <c r="K46" s="2719"/>
      <c r="L46" s="2719"/>
      <c r="M46" s="2720"/>
      <c r="N46" s="2699">
        <v>99</v>
      </c>
      <c r="O46" s="2697"/>
      <c r="P46" s="2697"/>
      <c r="Q46" s="2700"/>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2701"/>
      <c r="AM46" s="2701"/>
      <c r="AN46" s="2701"/>
      <c r="AO46" s="2715">
        <f t="shared" si="4"/>
        <v>0</v>
      </c>
      <c r="AP46" s="2715"/>
      <c r="AQ46" s="2715"/>
      <c r="AR46" s="2715"/>
      <c r="AS46" s="2715"/>
      <c r="AT46" s="2715"/>
      <c r="AU46" s="2716">
        <f t="shared" si="5"/>
        <v>0</v>
      </c>
      <c r="AV46" s="2716"/>
      <c r="AW46" s="2716"/>
      <c r="AX46" s="2716"/>
      <c r="AY46" s="2716"/>
      <c r="AZ46" s="2716"/>
      <c r="BA46" s="1529"/>
      <c r="BB46" s="1529"/>
      <c r="BC46" s="1529"/>
      <c r="BD46" s="1529"/>
      <c r="BE46" s="1535"/>
    </row>
    <row r="47" spans="1:58" ht="15.75" customHeight="1" thickBot="1">
      <c r="A47" s="1818"/>
      <c r="B47" s="2732" t="s">
        <v>308</v>
      </c>
      <c r="C47" s="2733"/>
      <c r="D47" s="2733"/>
      <c r="E47" s="2733"/>
      <c r="F47" s="2733"/>
      <c r="G47" s="2733"/>
      <c r="H47" s="2733"/>
      <c r="I47" s="2734"/>
      <c r="J47" s="2735"/>
      <c r="K47" s="2736"/>
      <c r="L47" s="2736"/>
      <c r="M47" s="2737"/>
      <c r="N47" s="2738"/>
      <c r="O47" s="2736"/>
      <c r="P47" s="2736"/>
      <c r="Q47" s="2739"/>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15">
        <f t="shared" si="4"/>
        <v>0</v>
      </c>
      <c r="AP47" s="2715"/>
      <c r="AQ47" s="2715"/>
      <c r="AR47" s="2715"/>
      <c r="AS47" s="2715"/>
      <c r="AT47" s="2715"/>
      <c r="AU47" s="2716">
        <f t="shared" si="5"/>
        <v>0</v>
      </c>
      <c r="AV47" s="2716"/>
      <c r="AW47" s="2716"/>
      <c r="AX47" s="2716"/>
      <c r="AY47" s="2716"/>
      <c r="AZ47" s="2716"/>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0" t="s">
        <v>2073</v>
      </c>
      <c r="C50" s="2741"/>
      <c r="D50" s="2741"/>
      <c r="E50" s="2741"/>
      <c r="F50" s="2741"/>
      <c r="G50" s="2741"/>
      <c r="H50" s="2741"/>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3" t="s">
        <v>2074</v>
      </c>
      <c r="C51" s="2744"/>
      <c r="D51" s="2744"/>
      <c r="E51" s="2744"/>
      <c r="F51" s="2744"/>
      <c r="G51" s="2744"/>
      <c r="H51" s="2744"/>
      <c r="I51" s="2745"/>
      <c r="J51" s="2743" t="s">
        <v>2075</v>
      </c>
      <c r="K51" s="2744"/>
      <c r="L51" s="2744"/>
      <c r="M51" s="2744"/>
      <c r="N51" s="2744"/>
      <c r="O51" s="2744"/>
      <c r="P51" s="2744"/>
      <c r="Q51" s="2745"/>
      <c r="R51" s="2746" t="s">
        <v>2076</v>
      </c>
      <c r="S51" s="2747"/>
      <c r="T51" s="2747"/>
      <c r="U51" s="2747"/>
      <c r="V51" s="2747"/>
      <c r="W51" s="2747"/>
      <c r="X51" s="2747"/>
      <c r="Y51" s="2748"/>
      <c r="Z51" s="2749" t="s">
        <v>2077</v>
      </c>
      <c r="AA51" s="2750"/>
      <c r="AB51" s="2750"/>
      <c r="AC51" s="2750"/>
      <c r="AD51" s="2750"/>
      <c r="AE51" s="2750"/>
      <c r="AF51" s="2750"/>
      <c r="AG51" s="2751"/>
      <c r="AH51" s="2749" t="s">
        <v>2078</v>
      </c>
      <c r="AI51" s="2750"/>
      <c r="AJ51" s="2750"/>
      <c r="AK51" s="2750"/>
      <c r="AL51" s="2750"/>
      <c r="AM51" s="2750"/>
      <c r="AN51" s="2750"/>
      <c r="AO51" s="275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2"/>
      <c r="C52" s="2753"/>
      <c r="D52" s="2753"/>
      <c r="E52" s="2753"/>
      <c r="F52" s="2753"/>
      <c r="G52" s="2753"/>
      <c r="H52" s="2753"/>
      <c r="I52" s="2753"/>
      <c r="J52" s="2753"/>
      <c r="K52" s="2753"/>
      <c r="L52" s="2753"/>
      <c r="M52" s="2753"/>
      <c r="N52" s="2753"/>
      <c r="O52" s="2753"/>
      <c r="P52" s="2753"/>
      <c r="Q52" s="2753"/>
      <c r="R52" s="2754"/>
      <c r="S52" s="2754"/>
      <c r="T52" s="2754"/>
      <c r="U52" s="2754"/>
      <c r="V52" s="2754"/>
      <c r="W52" s="2754"/>
      <c r="X52" s="2754"/>
      <c r="Y52" s="2754"/>
      <c r="Z52" s="2753"/>
      <c r="AA52" s="2753"/>
      <c r="AB52" s="2753"/>
      <c r="AC52" s="2753"/>
      <c r="AD52" s="2753"/>
      <c r="AE52" s="2753"/>
      <c r="AF52" s="2753"/>
      <c r="AG52" s="2753"/>
      <c r="AH52" s="2753"/>
      <c r="AI52" s="2753"/>
      <c r="AJ52" s="2753"/>
      <c r="AK52" s="2753"/>
      <c r="AL52" s="2753"/>
      <c r="AM52" s="2753"/>
      <c r="AN52" s="2753"/>
      <c r="AO52" s="275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2"/>
      <c r="C53" s="2753"/>
      <c r="D53" s="2753"/>
      <c r="E53" s="2753"/>
      <c r="F53" s="2753"/>
      <c r="G53" s="2753"/>
      <c r="H53" s="2753"/>
      <c r="I53" s="2753"/>
      <c r="J53" s="2753"/>
      <c r="K53" s="2753"/>
      <c r="L53" s="2753"/>
      <c r="M53" s="2753"/>
      <c r="N53" s="2753"/>
      <c r="O53" s="2753"/>
      <c r="P53" s="2753"/>
      <c r="Q53" s="2753"/>
      <c r="R53" s="2754"/>
      <c r="S53" s="2754"/>
      <c r="T53" s="2754"/>
      <c r="U53" s="2754"/>
      <c r="V53" s="2754"/>
      <c r="W53" s="2754"/>
      <c r="X53" s="2754"/>
      <c r="Y53" s="2754"/>
      <c r="Z53" s="2753"/>
      <c r="AA53" s="2753"/>
      <c r="AB53" s="2753"/>
      <c r="AC53" s="2753"/>
      <c r="AD53" s="2753"/>
      <c r="AE53" s="2753"/>
      <c r="AF53" s="2753"/>
      <c r="AG53" s="2753"/>
      <c r="AH53" s="2753"/>
      <c r="AI53" s="2753"/>
      <c r="AJ53" s="2753"/>
      <c r="AK53" s="2753"/>
      <c r="AL53" s="2753"/>
      <c r="AM53" s="2753"/>
      <c r="AN53" s="2753"/>
      <c r="AO53" s="275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2"/>
      <c r="C54" s="2753"/>
      <c r="D54" s="2753"/>
      <c r="E54" s="2753"/>
      <c r="F54" s="2753"/>
      <c r="G54" s="2753"/>
      <c r="H54" s="2753"/>
      <c r="I54" s="2753"/>
      <c r="J54" s="2753"/>
      <c r="K54" s="2753"/>
      <c r="L54" s="2753"/>
      <c r="M54" s="2753"/>
      <c r="N54" s="2753"/>
      <c r="O54" s="2753"/>
      <c r="P54" s="2753"/>
      <c r="Q54" s="2753"/>
      <c r="R54" s="2754"/>
      <c r="S54" s="2754"/>
      <c r="T54" s="2754"/>
      <c r="U54" s="2754"/>
      <c r="V54" s="2754"/>
      <c r="W54" s="2754"/>
      <c r="X54" s="2754"/>
      <c r="Y54" s="2754"/>
      <c r="Z54" s="2753"/>
      <c r="AA54" s="2753"/>
      <c r="AB54" s="2753"/>
      <c r="AC54" s="2753"/>
      <c r="AD54" s="2753"/>
      <c r="AE54" s="2753"/>
      <c r="AF54" s="2753"/>
      <c r="AG54" s="2753"/>
      <c r="AH54" s="2753"/>
      <c r="AI54" s="2753"/>
      <c r="AJ54" s="2753"/>
      <c r="AK54" s="2753"/>
      <c r="AL54" s="2753"/>
      <c r="AM54" s="2753"/>
      <c r="AN54" s="2753"/>
      <c r="AO54" s="275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2"/>
      <c r="C55" s="2753"/>
      <c r="D55" s="2753"/>
      <c r="E55" s="2753"/>
      <c r="F55" s="2753"/>
      <c r="G55" s="2753"/>
      <c r="H55" s="2753"/>
      <c r="I55" s="2753"/>
      <c r="J55" s="2753"/>
      <c r="K55" s="2753"/>
      <c r="L55" s="2753"/>
      <c r="M55" s="2753"/>
      <c r="N55" s="2753"/>
      <c r="O55" s="2753"/>
      <c r="P55" s="2753"/>
      <c r="Q55" s="2753"/>
      <c r="R55" s="2754"/>
      <c r="S55" s="2754"/>
      <c r="T55" s="2754"/>
      <c r="U55" s="2754"/>
      <c r="V55" s="2754"/>
      <c r="W55" s="2754"/>
      <c r="X55" s="2754"/>
      <c r="Y55" s="2754"/>
      <c r="Z55" s="2753"/>
      <c r="AA55" s="2753"/>
      <c r="AB55" s="2753"/>
      <c r="AC55" s="2753"/>
      <c r="AD55" s="2753"/>
      <c r="AE55" s="2753"/>
      <c r="AF55" s="2753"/>
      <c r="AG55" s="2753"/>
      <c r="AH55" s="2753"/>
      <c r="AI55" s="2753"/>
      <c r="AJ55" s="2753"/>
      <c r="AK55" s="2753"/>
      <c r="AL55" s="2753"/>
      <c r="AM55" s="2753"/>
      <c r="AN55" s="2753"/>
      <c r="AO55" s="275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5"/>
      <c r="C56" s="2766"/>
      <c r="D56" s="2766"/>
      <c r="E56" s="2766"/>
      <c r="F56" s="2766"/>
      <c r="G56" s="2766"/>
      <c r="H56" s="2766"/>
      <c r="I56" s="2766"/>
      <c r="J56" s="2766"/>
      <c r="K56" s="2766"/>
      <c r="L56" s="2766"/>
      <c r="M56" s="2766"/>
      <c r="N56" s="2766"/>
      <c r="O56" s="2766"/>
      <c r="P56" s="2766"/>
      <c r="Q56" s="2766"/>
      <c r="R56" s="2767"/>
      <c r="S56" s="2767"/>
      <c r="T56" s="2767"/>
      <c r="U56" s="2767"/>
      <c r="V56" s="2767"/>
      <c r="W56" s="2767"/>
      <c r="X56" s="2767"/>
      <c r="Y56" s="2767"/>
      <c r="Z56" s="2766"/>
      <c r="AA56" s="2766"/>
      <c r="AB56" s="2766"/>
      <c r="AC56" s="2766"/>
      <c r="AD56" s="2766"/>
      <c r="AE56" s="2766"/>
      <c r="AF56" s="2766"/>
      <c r="AG56" s="2766"/>
      <c r="AH56" s="2766"/>
      <c r="AI56" s="2766"/>
      <c r="AJ56" s="2766"/>
      <c r="AK56" s="2766"/>
      <c r="AL56" s="2766"/>
      <c r="AM56" s="2766"/>
      <c r="AN56" s="2766"/>
      <c r="AO56" s="276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9" t="s">
        <v>1880</v>
      </c>
      <c r="C57" s="2770"/>
      <c r="D57" s="2770"/>
      <c r="E57" s="2770"/>
      <c r="F57" s="2770"/>
      <c r="G57" s="2770"/>
      <c r="H57" s="2770"/>
      <c r="I57" s="2770"/>
      <c r="J57" s="2770"/>
      <c r="K57" s="2770"/>
      <c r="L57" s="2770"/>
      <c r="M57" s="2770"/>
      <c r="N57" s="2770"/>
      <c r="O57" s="2770"/>
      <c r="P57" s="2770"/>
      <c r="Q57" s="2770"/>
      <c r="R57" s="2771">
        <f>SUM(R52:Y56)</f>
        <v>0</v>
      </c>
      <c r="S57" s="2771"/>
      <c r="T57" s="2771"/>
      <c r="U57" s="2771"/>
      <c r="V57" s="2771"/>
      <c r="W57" s="2771"/>
      <c r="X57" s="2771"/>
      <c r="Y57" s="2771"/>
      <c r="Z57" s="2771">
        <f t="shared" ref="Z57" si="6">SUM(Z52:AG56)</f>
        <v>0</v>
      </c>
      <c r="AA57" s="2771"/>
      <c r="AB57" s="2771"/>
      <c r="AC57" s="2771"/>
      <c r="AD57" s="2771"/>
      <c r="AE57" s="2771"/>
      <c r="AF57" s="2771"/>
      <c r="AG57" s="2771"/>
      <c r="AH57" s="2771">
        <f t="shared" ref="AH57" si="7">SUM(AH52:AO56)</f>
        <v>0</v>
      </c>
      <c r="AI57" s="2771"/>
      <c r="AJ57" s="2771"/>
      <c r="AK57" s="2771"/>
      <c r="AL57" s="2771"/>
      <c r="AM57" s="2771"/>
      <c r="AN57" s="2771"/>
      <c r="AO57" s="277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6" t="s">
        <v>2074</v>
      </c>
      <c r="C59" s="2757"/>
      <c r="D59" s="2757"/>
      <c r="E59" s="2757"/>
      <c r="F59" s="2757"/>
      <c r="G59" s="2757"/>
      <c r="H59" s="2757"/>
      <c r="I59" s="2758"/>
      <c r="J59" s="2759" t="s">
        <v>2079</v>
      </c>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60"/>
      <c r="AX59" s="1529"/>
      <c r="AY59" s="1529"/>
      <c r="AZ59" s="1529"/>
      <c r="BA59" s="1529"/>
      <c r="BB59" s="1529"/>
      <c r="BC59" s="1529"/>
      <c r="BD59" s="1529"/>
      <c r="BE59" s="1535"/>
    </row>
    <row r="60" spans="1:58" ht="15.75" customHeight="1">
      <c r="A60" s="1818"/>
      <c r="B60" s="2761" t="str">
        <f>IF(B52="", "", B52)</f>
        <v/>
      </c>
      <c r="C60" s="2762"/>
      <c r="D60" s="2762"/>
      <c r="E60" s="2762"/>
      <c r="F60" s="2762"/>
      <c r="G60" s="2762"/>
      <c r="H60" s="2762"/>
      <c r="I60" s="2763"/>
      <c r="J60" s="2764"/>
      <c r="K60" s="2753"/>
      <c r="L60" s="2753"/>
      <c r="M60" s="2753"/>
      <c r="N60" s="2753"/>
      <c r="O60" s="2753"/>
      <c r="P60" s="2753"/>
      <c r="Q60" s="2753"/>
      <c r="R60" s="2753"/>
      <c r="S60" s="2753"/>
      <c r="T60" s="2753"/>
      <c r="U60" s="2753"/>
      <c r="V60" s="2753"/>
      <c r="W60" s="2753"/>
      <c r="X60" s="2753"/>
      <c r="Y60" s="2753"/>
      <c r="Z60" s="2753"/>
      <c r="AA60" s="2753"/>
      <c r="AB60" s="2753"/>
      <c r="AC60" s="2753"/>
      <c r="AD60" s="2753"/>
      <c r="AE60" s="2753"/>
      <c r="AF60" s="2753"/>
      <c r="AG60" s="2753"/>
      <c r="AH60" s="2753"/>
      <c r="AI60" s="2753"/>
      <c r="AJ60" s="2753"/>
      <c r="AK60" s="2753"/>
      <c r="AL60" s="2753"/>
      <c r="AM60" s="2753"/>
      <c r="AN60" s="2753"/>
      <c r="AO60" s="2753"/>
      <c r="AP60" s="2753"/>
      <c r="AQ60" s="2753"/>
      <c r="AR60" s="2753"/>
      <c r="AS60" s="2753"/>
      <c r="AT60" s="2753"/>
      <c r="AU60" s="2753"/>
      <c r="AV60" s="2753"/>
      <c r="AW60" s="2755"/>
      <c r="AX60" s="1529"/>
      <c r="AY60" s="1529"/>
      <c r="AZ60" s="1529"/>
      <c r="BA60" s="1529"/>
      <c r="BB60" s="1529"/>
      <c r="BC60" s="1529"/>
      <c r="BD60" s="1529"/>
      <c r="BE60" s="1535"/>
    </row>
    <row r="61" spans="1:58" ht="15.75" customHeight="1">
      <c r="A61" s="1818"/>
      <c r="B61" s="2761" t="str">
        <f t="shared" ref="B61:B64" si="8">IF(B53="", "", B53)</f>
        <v/>
      </c>
      <c r="C61" s="2762"/>
      <c r="D61" s="2762"/>
      <c r="E61" s="2762"/>
      <c r="F61" s="2762"/>
      <c r="G61" s="2762"/>
      <c r="H61" s="2762"/>
      <c r="I61" s="2763"/>
      <c r="J61" s="2764"/>
      <c r="K61" s="2753"/>
      <c r="L61" s="2753"/>
      <c r="M61" s="2753"/>
      <c r="N61" s="2753"/>
      <c r="O61" s="2753"/>
      <c r="P61" s="2753"/>
      <c r="Q61" s="2753"/>
      <c r="R61" s="2753"/>
      <c r="S61" s="2753"/>
      <c r="T61" s="2753"/>
      <c r="U61" s="2753"/>
      <c r="V61" s="2753"/>
      <c r="W61" s="2753"/>
      <c r="X61" s="2753"/>
      <c r="Y61" s="2753"/>
      <c r="Z61" s="2753"/>
      <c r="AA61" s="2753"/>
      <c r="AB61" s="2753"/>
      <c r="AC61" s="2753"/>
      <c r="AD61" s="2753"/>
      <c r="AE61" s="2753"/>
      <c r="AF61" s="2753"/>
      <c r="AG61" s="2753"/>
      <c r="AH61" s="2753"/>
      <c r="AI61" s="2753"/>
      <c r="AJ61" s="2753"/>
      <c r="AK61" s="2753"/>
      <c r="AL61" s="2753"/>
      <c r="AM61" s="2753"/>
      <c r="AN61" s="2753"/>
      <c r="AO61" s="2753"/>
      <c r="AP61" s="2753"/>
      <c r="AQ61" s="2753"/>
      <c r="AR61" s="2753"/>
      <c r="AS61" s="2753"/>
      <c r="AT61" s="2753"/>
      <c r="AU61" s="2753"/>
      <c r="AV61" s="2753"/>
      <c r="AW61" s="2755"/>
      <c r="AX61" s="1529"/>
      <c r="AY61" s="1529"/>
      <c r="AZ61" s="1529"/>
      <c r="BA61" s="1529"/>
      <c r="BB61" s="1529"/>
      <c r="BC61" s="1529"/>
      <c r="BD61" s="1529"/>
      <c r="BE61" s="1535"/>
    </row>
    <row r="62" spans="1:58" ht="15.75" customHeight="1">
      <c r="A62" s="1818"/>
      <c r="B62" s="2761" t="str">
        <f t="shared" si="8"/>
        <v/>
      </c>
      <c r="C62" s="2762"/>
      <c r="D62" s="2762"/>
      <c r="E62" s="2762"/>
      <c r="F62" s="2762"/>
      <c r="G62" s="2762"/>
      <c r="H62" s="2762"/>
      <c r="I62" s="2763"/>
      <c r="J62" s="2764"/>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2753"/>
      <c r="AH62" s="2753"/>
      <c r="AI62" s="2753"/>
      <c r="AJ62" s="2753"/>
      <c r="AK62" s="2753"/>
      <c r="AL62" s="2753"/>
      <c r="AM62" s="2753"/>
      <c r="AN62" s="2753"/>
      <c r="AO62" s="2753"/>
      <c r="AP62" s="2753"/>
      <c r="AQ62" s="2753"/>
      <c r="AR62" s="2753"/>
      <c r="AS62" s="2753"/>
      <c r="AT62" s="2753"/>
      <c r="AU62" s="2753"/>
      <c r="AV62" s="2753"/>
      <c r="AW62" s="2755"/>
      <c r="AX62" s="1529"/>
      <c r="AY62" s="1529"/>
      <c r="AZ62" s="1529"/>
      <c r="BA62" s="1529"/>
      <c r="BB62" s="1529"/>
      <c r="BC62" s="1529"/>
      <c r="BD62" s="1529"/>
      <c r="BE62" s="1535"/>
    </row>
    <row r="63" spans="1:58" ht="15.75" customHeight="1">
      <c r="A63" s="1818"/>
      <c r="B63" s="2761" t="str">
        <f t="shared" si="8"/>
        <v/>
      </c>
      <c r="C63" s="2762"/>
      <c r="D63" s="2762"/>
      <c r="E63" s="2762"/>
      <c r="F63" s="2762"/>
      <c r="G63" s="2762"/>
      <c r="H63" s="2762"/>
      <c r="I63" s="2763"/>
      <c r="J63" s="2764"/>
      <c r="K63" s="2753"/>
      <c r="L63" s="2753"/>
      <c r="M63" s="2753"/>
      <c r="N63" s="2753"/>
      <c r="O63" s="2753"/>
      <c r="P63" s="2753"/>
      <c r="Q63" s="2753"/>
      <c r="R63" s="2753"/>
      <c r="S63" s="2753"/>
      <c r="T63" s="2753"/>
      <c r="U63" s="2753"/>
      <c r="V63" s="2753"/>
      <c r="W63" s="2753"/>
      <c r="X63" s="2753"/>
      <c r="Y63" s="2753"/>
      <c r="Z63" s="2753"/>
      <c r="AA63" s="2753"/>
      <c r="AB63" s="2753"/>
      <c r="AC63" s="2753"/>
      <c r="AD63" s="2753"/>
      <c r="AE63" s="2753"/>
      <c r="AF63" s="2753"/>
      <c r="AG63" s="2753"/>
      <c r="AH63" s="2753"/>
      <c r="AI63" s="2753"/>
      <c r="AJ63" s="2753"/>
      <c r="AK63" s="2753"/>
      <c r="AL63" s="2753"/>
      <c r="AM63" s="2753"/>
      <c r="AN63" s="2753"/>
      <c r="AO63" s="2753"/>
      <c r="AP63" s="2753"/>
      <c r="AQ63" s="2753"/>
      <c r="AR63" s="2753"/>
      <c r="AS63" s="2753"/>
      <c r="AT63" s="2753"/>
      <c r="AU63" s="2753"/>
      <c r="AV63" s="2753"/>
      <c r="AW63" s="2755"/>
      <c r="AX63" s="1529"/>
      <c r="AY63" s="1529"/>
      <c r="AZ63" s="1529"/>
      <c r="BA63" s="1529"/>
      <c r="BB63" s="1529"/>
      <c r="BC63" s="1529"/>
      <c r="BD63" s="1529"/>
      <c r="BE63" s="1535"/>
    </row>
    <row r="64" spans="1:58" ht="15.75" customHeight="1" thickBot="1">
      <c r="A64" s="1818"/>
      <c r="B64" s="2784" t="str">
        <f t="shared" si="8"/>
        <v/>
      </c>
      <c r="C64" s="2785"/>
      <c r="D64" s="2785"/>
      <c r="E64" s="2785"/>
      <c r="F64" s="2785"/>
      <c r="G64" s="2785"/>
      <c r="H64" s="2785"/>
      <c r="I64" s="2786"/>
      <c r="J64" s="2787"/>
      <c r="K64" s="2766"/>
      <c r="L64" s="2766"/>
      <c r="M64" s="2766"/>
      <c r="N64" s="2766"/>
      <c r="O64" s="2766"/>
      <c r="P64" s="2766"/>
      <c r="Q64" s="2766"/>
      <c r="R64" s="2766"/>
      <c r="S64" s="2766"/>
      <c r="T64" s="2766"/>
      <c r="U64" s="2766"/>
      <c r="V64" s="2766"/>
      <c r="W64" s="2766"/>
      <c r="X64" s="2766"/>
      <c r="Y64" s="2766"/>
      <c r="Z64" s="2766"/>
      <c r="AA64" s="2766"/>
      <c r="AB64" s="2766"/>
      <c r="AC64" s="2766"/>
      <c r="AD64" s="2766"/>
      <c r="AE64" s="2766"/>
      <c r="AF64" s="2766"/>
      <c r="AG64" s="2766"/>
      <c r="AH64" s="2766"/>
      <c r="AI64" s="2766"/>
      <c r="AJ64" s="2766"/>
      <c r="AK64" s="2766"/>
      <c r="AL64" s="2766"/>
      <c r="AM64" s="2766"/>
      <c r="AN64" s="2766"/>
      <c r="AO64" s="2766"/>
      <c r="AP64" s="2766"/>
      <c r="AQ64" s="2766"/>
      <c r="AR64" s="2766"/>
      <c r="AS64" s="2766"/>
      <c r="AT64" s="2766"/>
      <c r="AU64" s="2766"/>
      <c r="AV64" s="2766"/>
      <c r="AW64" s="276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9" t="s">
        <v>2081</v>
      </c>
      <c r="C68" s="2640"/>
      <c r="D68" s="2640"/>
      <c r="E68" s="2640"/>
      <c r="F68" s="2640"/>
      <c r="G68" s="2640"/>
      <c r="H68" s="2640"/>
      <c r="I68" s="2640"/>
      <c r="J68" s="2640"/>
      <c r="K68" s="2640"/>
      <c r="L68" s="2640"/>
      <c r="M68" s="2640"/>
      <c r="N68" s="2640"/>
      <c r="O68" s="2640"/>
      <c r="P68" s="2640"/>
      <c r="Q68" s="2640"/>
      <c r="R68" s="2640"/>
      <c r="S68" s="2640"/>
      <c r="T68" s="2640"/>
      <c r="U68" s="2640"/>
      <c r="V68" s="2640"/>
      <c r="W68" s="2640"/>
      <c r="X68" s="2640"/>
      <c r="Y68" s="2640"/>
      <c r="Z68" s="2640"/>
      <c r="AA68" s="2641"/>
      <c r="AB68" s="1529"/>
      <c r="AC68" s="2798" t="s">
        <v>2082</v>
      </c>
      <c r="AD68" s="2799"/>
      <c r="AE68" s="2799"/>
      <c r="AF68" s="2799"/>
      <c r="AG68" s="2799"/>
      <c r="AH68" s="2799"/>
      <c r="AI68" s="2799"/>
      <c r="AJ68" s="2799"/>
      <c r="AK68" s="2799"/>
      <c r="AL68" s="2799"/>
      <c r="AM68" s="2799"/>
      <c r="AN68" s="2799"/>
      <c r="AO68" s="2799"/>
      <c r="AP68" s="2799"/>
      <c r="AQ68" s="2799"/>
      <c r="AR68" s="2799"/>
      <c r="AS68" s="2799"/>
      <c r="AT68" s="2799"/>
      <c r="AU68" s="2799"/>
      <c r="AV68" s="2772" t="s">
        <v>2038</v>
      </c>
      <c r="AW68" s="2772"/>
      <c r="AX68" s="2772"/>
      <c r="AY68" s="2772"/>
      <c r="AZ68" s="2772"/>
      <c r="BA68" s="2772"/>
      <c r="BB68" s="2772"/>
      <c r="BC68" s="2773"/>
      <c r="BD68" s="1529"/>
      <c r="BE68" s="1535"/>
    </row>
    <row r="69" spans="1:57" ht="15.75" customHeight="1" thickBot="1">
      <c r="A69" s="1818"/>
      <c r="B69" s="2774" t="s">
        <v>2083</v>
      </c>
      <c r="C69" s="2775"/>
      <c r="D69" s="2775"/>
      <c r="E69" s="2775"/>
      <c r="F69" s="2775"/>
      <c r="G69" s="2775"/>
      <c r="H69" s="2775"/>
      <c r="I69" s="2775"/>
      <c r="J69" s="2775"/>
      <c r="K69" s="2775"/>
      <c r="L69" s="2775"/>
      <c r="M69" s="2775"/>
      <c r="N69" s="2775"/>
      <c r="O69" s="2776" t="s">
        <v>2084</v>
      </c>
      <c r="P69" s="2777"/>
      <c r="Q69" s="2777"/>
      <c r="R69" s="2777"/>
      <c r="S69" s="2777"/>
      <c r="T69" s="2777"/>
      <c r="U69" s="2777"/>
      <c r="V69" s="2777"/>
      <c r="W69" s="2777"/>
      <c r="X69" s="2777"/>
      <c r="Y69" s="2777"/>
      <c r="Z69" s="2777"/>
      <c r="AA69" s="2778"/>
      <c r="AB69" s="1529"/>
      <c r="AC69" s="2779" t="s">
        <v>2085</v>
      </c>
      <c r="AD69" s="2780"/>
      <c r="AE69" s="2780"/>
      <c r="AF69" s="2780"/>
      <c r="AG69" s="2780"/>
      <c r="AH69" s="2780"/>
      <c r="AI69" s="2780"/>
      <c r="AJ69" s="2780"/>
      <c r="AK69" s="2780"/>
      <c r="AL69" s="2780"/>
      <c r="AM69" s="2780"/>
      <c r="AN69" s="2780"/>
      <c r="AO69" s="2780"/>
      <c r="AP69" s="2780"/>
      <c r="AQ69" s="2780"/>
      <c r="AR69" s="2780"/>
      <c r="AS69" s="2780"/>
      <c r="AT69" s="2780"/>
      <c r="AU69" s="2780"/>
      <c r="AV69" s="2781">
        <v>44197</v>
      </c>
      <c r="AW69" s="2782"/>
      <c r="AX69" s="2782"/>
      <c r="AY69" s="2782"/>
      <c r="AZ69" s="2782"/>
      <c r="BA69" s="2782"/>
      <c r="BB69" s="2782"/>
      <c r="BC69" s="2783"/>
      <c r="BD69" s="1529"/>
      <c r="BE69" s="1535"/>
    </row>
    <row r="70" spans="1:57" ht="15.75" customHeight="1">
      <c r="A70" s="1818"/>
      <c r="B70" s="2788"/>
      <c r="C70" s="2789"/>
      <c r="D70" s="2789"/>
      <c r="E70" s="2789"/>
      <c r="F70" s="2789"/>
      <c r="G70" s="2789"/>
      <c r="H70" s="2789"/>
      <c r="I70" s="2789"/>
      <c r="J70" s="2789"/>
      <c r="K70" s="2789"/>
      <c r="L70" s="2789"/>
      <c r="M70" s="2789"/>
      <c r="N70" s="2789"/>
      <c r="O70" s="2790"/>
      <c r="P70" s="2790"/>
      <c r="Q70" s="2790"/>
      <c r="R70" s="2790"/>
      <c r="S70" s="2790"/>
      <c r="T70" s="2790"/>
      <c r="U70" s="2790"/>
      <c r="V70" s="2790"/>
      <c r="W70" s="2790"/>
      <c r="X70" s="2790"/>
      <c r="Y70" s="2790"/>
      <c r="Z70" s="2790"/>
      <c r="AA70" s="2791"/>
      <c r="AB70" s="1529"/>
      <c r="AC70" s="2792" t="s">
        <v>2086</v>
      </c>
      <c r="AD70" s="2793"/>
      <c r="AE70" s="2793"/>
      <c r="AF70" s="2794"/>
      <c r="AG70" s="2794"/>
      <c r="AH70" s="2794"/>
      <c r="AI70" s="2794"/>
      <c r="AJ70" s="2794"/>
      <c r="AK70" s="2794"/>
      <c r="AL70" s="2794"/>
      <c r="AM70" s="2794"/>
      <c r="AN70" s="2794"/>
      <c r="AO70" s="2794"/>
      <c r="AP70" s="2794"/>
      <c r="AQ70" s="2794"/>
      <c r="AR70" s="2794"/>
      <c r="AS70" s="2794"/>
      <c r="AT70" s="2794"/>
      <c r="AU70" s="2795"/>
      <c r="AV70" s="1529"/>
      <c r="AW70" s="1529"/>
      <c r="AX70" s="1529"/>
      <c r="AY70" s="1529"/>
      <c r="AZ70" s="1529"/>
      <c r="BA70" s="1529"/>
      <c r="BB70" s="1529"/>
      <c r="BC70" s="1529"/>
      <c r="BD70" s="1529"/>
      <c r="BE70" s="1535"/>
    </row>
    <row r="71" spans="1:57" ht="15.75" customHeight="1" thickBot="1">
      <c r="A71" s="1818"/>
      <c r="B71" s="2721"/>
      <c r="C71" s="2719"/>
      <c r="D71" s="2719"/>
      <c r="E71" s="2719"/>
      <c r="F71" s="2719"/>
      <c r="G71" s="2719"/>
      <c r="H71" s="2719"/>
      <c r="I71" s="2719"/>
      <c r="J71" s="2719"/>
      <c r="K71" s="2719"/>
      <c r="L71" s="2719"/>
      <c r="M71" s="2719"/>
      <c r="N71" s="2719"/>
      <c r="O71" s="2790"/>
      <c r="P71" s="2790"/>
      <c r="Q71" s="2790"/>
      <c r="R71" s="2790"/>
      <c r="S71" s="2790"/>
      <c r="T71" s="2790"/>
      <c r="U71" s="2790"/>
      <c r="V71" s="2790"/>
      <c r="W71" s="2790"/>
      <c r="X71" s="2790"/>
      <c r="Y71" s="2790"/>
      <c r="Z71" s="2790"/>
      <c r="AA71" s="2791"/>
      <c r="AB71" s="1529"/>
      <c r="AC71" s="2796" t="s">
        <v>2087</v>
      </c>
      <c r="AD71" s="2797"/>
      <c r="AE71" s="2797"/>
      <c r="AF71" s="2736"/>
      <c r="AG71" s="2736"/>
      <c r="AH71" s="2736"/>
      <c r="AI71" s="2736"/>
      <c r="AJ71" s="2736"/>
      <c r="AK71" s="2736"/>
      <c r="AL71" s="2736"/>
      <c r="AM71" s="2736"/>
      <c r="AN71" s="2736"/>
      <c r="AO71" s="2736"/>
      <c r="AP71" s="2736"/>
      <c r="AQ71" s="2736"/>
      <c r="AR71" s="2736"/>
      <c r="AS71" s="2736"/>
      <c r="AT71" s="2736"/>
      <c r="AU71" s="2737"/>
      <c r="AV71" s="1529"/>
      <c r="AW71" s="1529"/>
      <c r="AX71" s="1529"/>
      <c r="AY71" s="1529"/>
      <c r="AZ71" s="1529"/>
      <c r="BA71" s="1529"/>
      <c r="BB71" s="1529"/>
      <c r="BC71" s="1529"/>
      <c r="BD71" s="1529"/>
      <c r="BE71" s="1535"/>
    </row>
    <row r="72" spans="1:57" ht="15.75" customHeight="1">
      <c r="A72" s="1818"/>
      <c r="B72" s="2721"/>
      <c r="C72" s="2719"/>
      <c r="D72" s="2719"/>
      <c r="E72" s="2719"/>
      <c r="F72" s="2719"/>
      <c r="G72" s="2719"/>
      <c r="H72" s="2719"/>
      <c r="I72" s="2719"/>
      <c r="J72" s="2719"/>
      <c r="K72" s="2719"/>
      <c r="L72" s="2719"/>
      <c r="M72" s="2719"/>
      <c r="N72" s="2719"/>
      <c r="O72" s="2790"/>
      <c r="P72" s="2790"/>
      <c r="Q72" s="2790"/>
      <c r="R72" s="2790"/>
      <c r="S72" s="2790"/>
      <c r="T72" s="2790"/>
      <c r="U72" s="2790"/>
      <c r="V72" s="2790"/>
      <c r="W72" s="2790"/>
      <c r="X72" s="2790"/>
      <c r="Y72" s="2790"/>
      <c r="Z72" s="2790"/>
      <c r="AA72" s="2791"/>
      <c r="AB72" s="1529"/>
      <c r="AC72" s="2805" t="s">
        <v>2088</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c r="A73" s="1818"/>
      <c r="B73" s="2721"/>
      <c r="C73" s="2719"/>
      <c r="D73" s="2719"/>
      <c r="E73" s="2719"/>
      <c r="F73" s="2719"/>
      <c r="G73" s="2719"/>
      <c r="H73" s="2719"/>
      <c r="I73" s="2719"/>
      <c r="J73" s="2719"/>
      <c r="K73" s="2719"/>
      <c r="L73" s="2719"/>
      <c r="M73" s="2719"/>
      <c r="N73" s="2719"/>
      <c r="O73" s="2790"/>
      <c r="P73" s="2790"/>
      <c r="Q73" s="2790"/>
      <c r="R73" s="2790"/>
      <c r="S73" s="2790"/>
      <c r="T73" s="2790"/>
      <c r="U73" s="2790"/>
      <c r="V73" s="2790"/>
      <c r="W73" s="2790"/>
      <c r="X73" s="2790"/>
      <c r="Y73" s="2790"/>
      <c r="Z73" s="2790"/>
      <c r="AA73" s="2791"/>
      <c r="AB73" s="1529"/>
      <c r="AC73" s="2721"/>
      <c r="AD73" s="2719"/>
      <c r="AE73" s="2719"/>
      <c r="AF73" s="2719"/>
      <c r="AG73" s="2719"/>
      <c r="AH73" s="2719"/>
      <c r="AI73" s="2719"/>
      <c r="AJ73" s="2719"/>
      <c r="AK73" s="2719"/>
      <c r="AL73" s="2719"/>
      <c r="AM73" s="2719"/>
      <c r="AN73" s="2719"/>
      <c r="AO73" s="2719"/>
      <c r="AP73" s="2719"/>
      <c r="AQ73" s="2719"/>
      <c r="AR73" s="2719"/>
      <c r="AS73" s="2719"/>
      <c r="AT73" s="2719"/>
      <c r="AU73" s="2719"/>
      <c r="AV73" s="2719"/>
      <c r="AW73" s="2719"/>
      <c r="AX73" s="2719"/>
      <c r="AY73" s="2719"/>
      <c r="AZ73" s="2719"/>
      <c r="BA73" s="2719"/>
      <c r="BB73" s="2719"/>
      <c r="BC73" s="2720"/>
      <c r="BD73" s="1529"/>
      <c r="BE73" s="1535"/>
    </row>
    <row r="74" spans="1:57" ht="15.75" customHeight="1" thickBot="1">
      <c r="A74" s="1818"/>
      <c r="B74" s="2721"/>
      <c r="C74" s="2719"/>
      <c r="D74" s="2719"/>
      <c r="E74" s="2719"/>
      <c r="F74" s="2719"/>
      <c r="G74" s="2719"/>
      <c r="H74" s="2719"/>
      <c r="I74" s="2719"/>
      <c r="J74" s="2719"/>
      <c r="K74" s="2719"/>
      <c r="L74" s="2719"/>
      <c r="M74" s="2719"/>
      <c r="N74" s="2719"/>
      <c r="O74" s="2808"/>
      <c r="P74" s="2808"/>
      <c r="Q74" s="2808"/>
      <c r="R74" s="2808"/>
      <c r="S74" s="2808"/>
      <c r="T74" s="2808"/>
      <c r="U74" s="2808"/>
      <c r="V74" s="2808"/>
      <c r="W74" s="2808"/>
      <c r="X74" s="2808"/>
      <c r="Y74" s="2808"/>
      <c r="Z74" s="2808"/>
      <c r="AA74" s="2809"/>
      <c r="AB74" s="1529"/>
      <c r="AC74" s="2721"/>
      <c r="AD74" s="2719"/>
      <c r="AE74" s="2719"/>
      <c r="AF74" s="2719"/>
      <c r="AG74" s="2719"/>
      <c r="AH74" s="2719"/>
      <c r="AI74" s="2719"/>
      <c r="AJ74" s="2719"/>
      <c r="AK74" s="2719"/>
      <c r="AL74" s="2719"/>
      <c r="AM74" s="2719"/>
      <c r="AN74" s="2719"/>
      <c r="AO74" s="2719"/>
      <c r="AP74" s="2719"/>
      <c r="AQ74" s="2719"/>
      <c r="AR74" s="2719"/>
      <c r="AS74" s="2719"/>
      <c r="AT74" s="2719"/>
      <c r="AU74" s="2719"/>
      <c r="AV74" s="2719"/>
      <c r="AW74" s="2719"/>
      <c r="AX74" s="2719"/>
      <c r="AY74" s="2719"/>
      <c r="AZ74" s="2719"/>
      <c r="BA74" s="2719"/>
      <c r="BB74" s="2719"/>
      <c r="BC74" s="2720"/>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721"/>
      <c r="AD75" s="2719"/>
      <c r="AE75" s="2719"/>
      <c r="AF75" s="2719"/>
      <c r="AG75" s="2719"/>
      <c r="AH75" s="2719"/>
      <c r="AI75" s="2719"/>
      <c r="AJ75" s="2719"/>
      <c r="AK75" s="2719"/>
      <c r="AL75" s="2719"/>
      <c r="AM75" s="2719"/>
      <c r="AN75" s="2719"/>
      <c r="AO75" s="2719"/>
      <c r="AP75" s="2719"/>
      <c r="AQ75" s="2719"/>
      <c r="AR75" s="2719"/>
      <c r="AS75" s="2719"/>
      <c r="AT75" s="2719"/>
      <c r="AU75" s="2719"/>
      <c r="AV75" s="2719"/>
      <c r="AW75" s="2719"/>
      <c r="AX75" s="2719"/>
      <c r="AY75" s="2719"/>
      <c r="AZ75" s="2719"/>
      <c r="BA75" s="2719"/>
      <c r="BB75" s="2719"/>
      <c r="BC75" s="272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1"/>
      <c r="AD76" s="2719"/>
      <c r="AE76" s="2719"/>
      <c r="AF76" s="2719"/>
      <c r="AG76" s="2719"/>
      <c r="AH76" s="2719"/>
      <c r="AI76" s="2719"/>
      <c r="AJ76" s="2719"/>
      <c r="AK76" s="2719"/>
      <c r="AL76" s="2719"/>
      <c r="AM76" s="2719"/>
      <c r="AN76" s="2719"/>
      <c r="AO76" s="2719"/>
      <c r="AP76" s="2719"/>
      <c r="AQ76" s="2719"/>
      <c r="AR76" s="2719"/>
      <c r="AS76" s="2719"/>
      <c r="AT76" s="2719"/>
      <c r="AU76" s="2719"/>
      <c r="AV76" s="2719"/>
      <c r="AW76" s="2719"/>
      <c r="AX76" s="2719"/>
      <c r="AY76" s="2719"/>
      <c r="AZ76" s="2719"/>
      <c r="BA76" s="2719"/>
      <c r="BB76" s="2719"/>
      <c r="BC76" s="2720"/>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8"/>
      <c r="AD77" s="2736"/>
      <c r="AE77" s="2736"/>
      <c r="AF77" s="2736"/>
      <c r="AG77" s="2736"/>
      <c r="AH77" s="2736"/>
      <c r="AI77" s="2736"/>
      <c r="AJ77" s="2736"/>
      <c r="AK77" s="2736"/>
      <c r="AL77" s="2736"/>
      <c r="AM77" s="2736"/>
      <c r="AN77" s="2736"/>
      <c r="AO77" s="2736"/>
      <c r="AP77" s="2736"/>
      <c r="AQ77" s="2736"/>
      <c r="AR77" s="2736"/>
      <c r="AS77" s="2736"/>
      <c r="AT77" s="2736"/>
      <c r="AU77" s="2736"/>
      <c r="AV77" s="2736"/>
      <c r="AW77" s="2736"/>
      <c r="AX77" s="2736"/>
      <c r="AY77" s="2736"/>
      <c r="AZ77" s="2736"/>
      <c r="BA77" s="2736"/>
      <c r="BB77" s="2736"/>
      <c r="BC77" s="273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0" t="s">
        <v>2090</v>
      </c>
      <c r="C79" s="2611"/>
      <c r="D79" s="2611"/>
      <c r="E79" s="2611"/>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0"/>
      <c r="C80" s="2611"/>
      <c r="D80" s="2611"/>
      <c r="E80" s="2611"/>
      <c r="F80" s="2611"/>
      <c r="G80" s="2611"/>
      <c r="H80" s="2612"/>
      <c r="I80" s="2802" t="s">
        <v>2091</v>
      </c>
      <c r="J80" s="2803"/>
      <c r="K80" s="2803"/>
      <c r="L80" s="2803"/>
      <c r="M80" s="2803"/>
      <c r="N80" s="2804"/>
      <c r="O80" s="2802" t="s">
        <v>2092</v>
      </c>
      <c r="P80" s="2803"/>
      <c r="Q80" s="2803"/>
      <c r="R80" s="2803"/>
      <c r="S80" s="2803"/>
      <c r="T80" s="2803"/>
      <c r="U80" s="2804"/>
      <c r="V80" s="2802" t="s">
        <v>2093</v>
      </c>
      <c r="W80" s="2803"/>
      <c r="X80" s="2803"/>
      <c r="Y80" s="2803"/>
      <c r="Z80" s="2803"/>
      <c r="AA80" s="2804"/>
      <c r="AB80" s="2802" t="s">
        <v>2094</v>
      </c>
      <c r="AC80" s="2803"/>
      <c r="AD80" s="2803"/>
      <c r="AE80" s="2803"/>
      <c r="AF80" s="2803"/>
      <c r="AG80" s="280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2" t="s">
        <v>2095</v>
      </c>
      <c r="C81" s="2803"/>
      <c r="D81" s="2803"/>
      <c r="E81" s="2803"/>
      <c r="F81" s="2803"/>
      <c r="G81" s="2803"/>
      <c r="H81" s="2804"/>
      <c r="I81" s="2821"/>
      <c r="J81" s="2822"/>
      <c r="K81" s="2822"/>
      <c r="L81" s="2822"/>
      <c r="M81" s="2822"/>
      <c r="N81" s="2822"/>
      <c r="O81" s="2822"/>
      <c r="P81" s="2822"/>
      <c r="Q81" s="2822"/>
      <c r="R81" s="2822"/>
      <c r="S81" s="2822"/>
      <c r="T81" s="2822"/>
      <c r="U81" s="2822"/>
      <c r="V81" s="2822"/>
      <c r="W81" s="2822"/>
      <c r="X81" s="2822"/>
      <c r="Y81" s="2822"/>
      <c r="Z81" s="2822"/>
      <c r="AA81" s="2823"/>
      <c r="AB81" s="2822"/>
      <c r="AC81" s="2822"/>
      <c r="AD81" s="2822"/>
      <c r="AE81" s="2822"/>
      <c r="AF81" s="2822"/>
      <c r="AG81" s="282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2" t="s">
        <v>2096</v>
      </c>
      <c r="C82" s="2803"/>
      <c r="D82" s="2803"/>
      <c r="E82" s="2803"/>
      <c r="F82" s="2803"/>
      <c r="G82" s="2803"/>
      <c r="H82" s="2804"/>
      <c r="I82" s="2824"/>
      <c r="J82" s="2825"/>
      <c r="K82" s="2825"/>
      <c r="L82" s="2825"/>
      <c r="M82" s="2825"/>
      <c r="N82" s="2825"/>
      <c r="O82" s="2825"/>
      <c r="P82" s="2825"/>
      <c r="Q82" s="2825"/>
      <c r="R82" s="2825"/>
      <c r="S82" s="2825"/>
      <c r="T82" s="2825"/>
      <c r="U82" s="2825"/>
      <c r="V82" s="2825"/>
      <c r="W82" s="2825"/>
      <c r="X82" s="2825"/>
      <c r="Y82" s="2825"/>
      <c r="Z82" s="2825"/>
      <c r="AA82" s="2826"/>
      <c r="AB82" s="2825"/>
      <c r="AC82" s="2825"/>
      <c r="AD82" s="2825"/>
      <c r="AE82" s="2825"/>
      <c r="AF82" s="2825"/>
      <c r="AG82" s="282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5" t="s">
        <v>2098</v>
      </c>
      <c r="C86" s="2816"/>
      <c r="D86" s="2816"/>
      <c r="E86" s="2816"/>
      <c r="F86" s="2816"/>
      <c r="G86" s="2816"/>
      <c r="H86" s="2816"/>
      <c r="I86" s="2816"/>
      <c r="J86" s="2816"/>
      <c r="K86" s="2816"/>
      <c r="L86" s="2816"/>
      <c r="M86" s="2816"/>
      <c r="N86" s="2816"/>
      <c r="O86" s="2816"/>
      <c r="P86" s="2816"/>
      <c r="Q86" s="2816"/>
      <c r="R86" s="2816"/>
      <c r="S86" s="2816"/>
      <c r="T86" s="2816"/>
      <c r="U86" s="2816"/>
      <c r="V86" s="2816"/>
      <c r="W86" s="2816"/>
      <c r="X86" s="2816"/>
      <c r="Y86" s="2816"/>
      <c r="Z86" s="2816"/>
      <c r="AA86" s="2816"/>
      <c r="AB86" s="2816"/>
      <c r="AC86" s="2816"/>
      <c r="AD86" s="2816"/>
      <c r="AE86" s="2816"/>
      <c r="AF86" s="2816"/>
      <c r="AG86" s="2816"/>
      <c r="AH86" s="281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0"/>
      <c r="C87" s="2611"/>
      <c r="D87" s="2611"/>
      <c r="E87" s="2611"/>
      <c r="F87" s="2611"/>
      <c r="G87" s="2611"/>
      <c r="H87" s="2612"/>
      <c r="I87" s="2802" t="s">
        <v>2091</v>
      </c>
      <c r="J87" s="2803"/>
      <c r="K87" s="2803"/>
      <c r="L87" s="2803"/>
      <c r="M87" s="2803"/>
      <c r="N87" s="2804"/>
      <c r="O87" s="2802" t="s">
        <v>2092</v>
      </c>
      <c r="P87" s="2803"/>
      <c r="Q87" s="2803"/>
      <c r="R87" s="2803"/>
      <c r="S87" s="2803"/>
      <c r="T87" s="2803"/>
      <c r="U87" s="2804"/>
      <c r="V87" s="2802" t="s">
        <v>2093</v>
      </c>
      <c r="W87" s="2803"/>
      <c r="X87" s="2803"/>
      <c r="Y87" s="2803"/>
      <c r="Z87" s="2803"/>
      <c r="AA87" s="2804"/>
      <c r="AB87" s="2818" t="s">
        <v>2094</v>
      </c>
      <c r="AC87" s="2819"/>
      <c r="AD87" s="2819"/>
      <c r="AE87" s="2819"/>
      <c r="AF87" s="2819"/>
      <c r="AG87" s="2819"/>
      <c r="AH87" s="282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2" t="s">
        <v>2095</v>
      </c>
      <c r="C88" s="2803"/>
      <c r="D88" s="2803"/>
      <c r="E88" s="2803"/>
      <c r="F88" s="2803"/>
      <c r="G88" s="2803"/>
      <c r="H88" s="2804"/>
      <c r="I88" s="2821"/>
      <c r="J88" s="2822"/>
      <c r="K88" s="2822"/>
      <c r="L88" s="2822"/>
      <c r="M88" s="2822"/>
      <c r="N88" s="2822"/>
      <c r="O88" s="2822"/>
      <c r="P88" s="2822"/>
      <c r="Q88" s="2822"/>
      <c r="R88" s="2822"/>
      <c r="S88" s="2822"/>
      <c r="T88" s="2822"/>
      <c r="U88" s="2822"/>
      <c r="V88" s="2822"/>
      <c r="W88" s="2822"/>
      <c r="X88" s="2822"/>
      <c r="Y88" s="2822"/>
      <c r="Z88" s="2822"/>
      <c r="AA88" s="2827"/>
      <c r="AB88" s="2794"/>
      <c r="AC88" s="2794"/>
      <c r="AD88" s="2794"/>
      <c r="AE88" s="2794"/>
      <c r="AF88" s="2794"/>
      <c r="AG88" s="2794"/>
      <c r="AH88" s="279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2" t="s">
        <v>2096</v>
      </c>
      <c r="C89" s="2803"/>
      <c r="D89" s="2803"/>
      <c r="E89" s="2803"/>
      <c r="F89" s="2803"/>
      <c r="G89" s="2803"/>
      <c r="H89" s="2804"/>
      <c r="I89" s="2824"/>
      <c r="J89" s="2825"/>
      <c r="K89" s="2825"/>
      <c r="L89" s="2825"/>
      <c r="M89" s="2825"/>
      <c r="N89" s="2825"/>
      <c r="O89" s="2825"/>
      <c r="P89" s="2825"/>
      <c r="Q89" s="2825"/>
      <c r="R89" s="2825"/>
      <c r="S89" s="2825"/>
      <c r="T89" s="2825"/>
      <c r="U89" s="2825"/>
      <c r="V89" s="2825"/>
      <c r="W89" s="2825"/>
      <c r="X89" s="2825"/>
      <c r="Y89" s="2825"/>
      <c r="Z89" s="2825"/>
      <c r="AA89" s="2828"/>
      <c r="AB89" s="2736"/>
      <c r="AC89" s="2736"/>
      <c r="AD89" s="2736"/>
      <c r="AE89" s="2736"/>
      <c r="AF89" s="2736"/>
      <c r="AG89" s="2736"/>
      <c r="AH89" s="273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0" t="s">
        <v>2100</v>
      </c>
      <c r="C93" s="2611"/>
      <c r="D93" s="2611"/>
      <c r="E93" s="2611"/>
      <c r="F93" s="2611"/>
      <c r="G93" s="2611"/>
      <c r="H93" s="2611"/>
      <c r="I93" s="2611"/>
      <c r="J93" s="2611"/>
      <c r="K93" s="2611"/>
      <c r="L93" s="2611"/>
      <c r="M93" s="2611"/>
      <c r="N93" s="2611"/>
      <c r="O93" s="2611"/>
      <c r="P93" s="2611"/>
      <c r="Q93" s="2611"/>
      <c r="R93" s="2611"/>
      <c r="S93" s="2611"/>
      <c r="T93" s="2611"/>
      <c r="U93" s="2611"/>
      <c r="V93" s="2611"/>
      <c r="W93" s="2611"/>
      <c r="X93" s="2611"/>
      <c r="Y93" s="2611"/>
      <c r="Z93" s="2611"/>
      <c r="AA93" s="2611"/>
      <c r="AB93" s="2611"/>
      <c r="AC93" s="2611"/>
      <c r="AD93" s="2611"/>
      <c r="AE93" s="2611"/>
      <c r="AF93" s="2611"/>
      <c r="AG93" s="2611"/>
      <c r="AH93" s="261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0"/>
      <c r="C94" s="2611"/>
      <c r="D94" s="2611"/>
      <c r="E94" s="2611"/>
      <c r="F94" s="2611"/>
      <c r="G94" s="2611"/>
      <c r="H94" s="2612"/>
      <c r="I94" s="2802" t="s">
        <v>2091</v>
      </c>
      <c r="J94" s="2803"/>
      <c r="K94" s="2803"/>
      <c r="L94" s="2803"/>
      <c r="M94" s="2803"/>
      <c r="N94" s="2804"/>
      <c r="O94" s="2802" t="s">
        <v>2092</v>
      </c>
      <c r="P94" s="2803"/>
      <c r="Q94" s="2803"/>
      <c r="R94" s="2803"/>
      <c r="S94" s="2803"/>
      <c r="T94" s="2803"/>
      <c r="U94" s="2804"/>
      <c r="V94" s="2802" t="s">
        <v>2093</v>
      </c>
      <c r="W94" s="2803"/>
      <c r="X94" s="2803"/>
      <c r="Y94" s="2803"/>
      <c r="Z94" s="2803"/>
      <c r="AA94" s="2804"/>
      <c r="AB94" s="2818" t="s">
        <v>2094</v>
      </c>
      <c r="AC94" s="2819"/>
      <c r="AD94" s="2819"/>
      <c r="AE94" s="2819"/>
      <c r="AF94" s="2819"/>
      <c r="AG94" s="2819"/>
      <c r="AH94" s="282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2" t="s">
        <v>2095</v>
      </c>
      <c r="C95" s="2803"/>
      <c r="D95" s="2803"/>
      <c r="E95" s="2803"/>
      <c r="F95" s="2803"/>
      <c r="G95" s="2803"/>
      <c r="H95" s="2804"/>
      <c r="I95" s="2821"/>
      <c r="J95" s="2822"/>
      <c r="K95" s="2822"/>
      <c r="L95" s="2822"/>
      <c r="M95" s="2822"/>
      <c r="N95" s="2822"/>
      <c r="O95" s="2822"/>
      <c r="P95" s="2822"/>
      <c r="Q95" s="2822"/>
      <c r="R95" s="2822"/>
      <c r="S95" s="2822"/>
      <c r="T95" s="2822"/>
      <c r="U95" s="2822"/>
      <c r="V95" s="2822"/>
      <c r="W95" s="2822"/>
      <c r="X95" s="2822"/>
      <c r="Y95" s="2822"/>
      <c r="Z95" s="2822"/>
      <c r="AA95" s="2823"/>
      <c r="AB95" s="2794"/>
      <c r="AC95" s="2794"/>
      <c r="AD95" s="2794"/>
      <c r="AE95" s="2794"/>
      <c r="AF95" s="2794"/>
      <c r="AG95" s="2794"/>
      <c r="AH95" s="279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2" t="s">
        <v>2096</v>
      </c>
      <c r="C96" s="2803"/>
      <c r="D96" s="2803"/>
      <c r="E96" s="2803"/>
      <c r="F96" s="2803"/>
      <c r="G96" s="2803"/>
      <c r="H96" s="2804"/>
      <c r="I96" s="2824"/>
      <c r="J96" s="2825"/>
      <c r="K96" s="2825"/>
      <c r="L96" s="2825"/>
      <c r="M96" s="2825"/>
      <c r="N96" s="2825"/>
      <c r="O96" s="2825"/>
      <c r="P96" s="2825"/>
      <c r="Q96" s="2825"/>
      <c r="R96" s="2825"/>
      <c r="S96" s="2825"/>
      <c r="T96" s="2825"/>
      <c r="U96" s="2825"/>
      <c r="V96" s="2825"/>
      <c r="W96" s="2825"/>
      <c r="X96" s="2825"/>
      <c r="Y96" s="2825"/>
      <c r="Z96" s="2825"/>
      <c r="AA96" s="2826"/>
      <c r="AB96" s="2736"/>
      <c r="AC96" s="2736"/>
      <c r="AD96" s="2736"/>
      <c r="AE96" s="2736"/>
      <c r="AF96" s="2736"/>
      <c r="AG96" s="2736"/>
      <c r="AH96" s="273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9" t="s">
        <v>2102</v>
      </c>
      <c r="C100" s="2640"/>
      <c r="D100" s="2640"/>
      <c r="E100" s="2640"/>
      <c r="F100" s="2640"/>
      <c r="G100" s="2640"/>
      <c r="H100" s="2640"/>
      <c r="I100" s="2640"/>
      <c r="J100" s="2640"/>
      <c r="K100" s="2640"/>
      <c r="L100" s="2640"/>
      <c r="M100" s="2640"/>
      <c r="N100" s="2640"/>
      <c r="O100" s="2640"/>
      <c r="P100" s="2640"/>
      <c r="Q100" s="2640"/>
      <c r="R100" s="2640"/>
      <c r="S100" s="2640"/>
      <c r="T100" s="2640"/>
      <c r="U100" s="284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4"/>
      <c r="C101" s="2845"/>
      <c r="D101" s="2845"/>
      <c r="E101" s="2845"/>
      <c r="F101" s="2845"/>
      <c r="G101" s="2845"/>
      <c r="H101" s="2846"/>
      <c r="I101" s="2776" t="s">
        <v>2092</v>
      </c>
      <c r="J101" s="2777"/>
      <c r="K101" s="2777"/>
      <c r="L101" s="2777"/>
      <c r="M101" s="2777"/>
      <c r="N101" s="2777"/>
      <c r="O101" s="2847"/>
      <c r="P101" s="2776" t="s">
        <v>2103</v>
      </c>
      <c r="Q101" s="2777"/>
      <c r="R101" s="2777"/>
      <c r="S101" s="2777"/>
      <c r="T101" s="2777"/>
      <c r="U101" s="284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8" t="s">
        <v>2095</v>
      </c>
      <c r="C102" s="2849"/>
      <c r="D102" s="2849"/>
      <c r="E102" s="2849"/>
      <c r="F102" s="2849"/>
      <c r="G102" s="2849"/>
      <c r="H102" s="2849"/>
      <c r="I102" s="2829"/>
      <c r="J102" s="2830"/>
      <c r="K102" s="2830"/>
      <c r="L102" s="2830"/>
      <c r="M102" s="2830"/>
      <c r="N102" s="2830"/>
      <c r="O102" s="2831"/>
      <c r="P102" s="2829"/>
      <c r="Q102" s="2830"/>
      <c r="R102" s="2830"/>
      <c r="S102" s="2830"/>
      <c r="T102" s="2830"/>
      <c r="U102" s="28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9" t="s">
        <v>2096</v>
      </c>
      <c r="C103" s="2780"/>
      <c r="D103" s="2780"/>
      <c r="E103" s="2780"/>
      <c r="F103" s="2780"/>
      <c r="G103" s="2780"/>
      <c r="H103" s="2780"/>
      <c r="I103" s="2829"/>
      <c r="J103" s="2830"/>
      <c r="K103" s="2830"/>
      <c r="L103" s="2830"/>
      <c r="M103" s="2830"/>
      <c r="N103" s="2830"/>
      <c r="O103" s="2831"/>
      <c r="P103" s="2829"/>
      <c r="Q103" s="2830"/>
      <c r="R103" s="2830"/>
      <c r="S103" s="2830"/>
      <c r="T103" s="2830"/>
      <c r="U103" s="28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2" t="s">
        <v>2104</v>
      </c>
      <c r="C105" s="2833"/>
      <c r="D105" s="2833"/>
      <c r="E105" s="2833"/>
      <c r="F105" s="2833"/>
      <c r="G105" s="2833"/>
      <c r="H105" s="2833"/>
      <c r="I105" s="2833"/>
      <c r="J105" s="2833"/>
      <c r="K105" s="2833"/>
      <c r="L105" s="2833"/>
      <c r="M105" s="2833"/>
      <c r="N105" s="2833"/>
      <c r="O105" s="2833"/>
      <c r="P105" s="2833"/>
      <c r="Q105" s="2833"/>
      <c r="R105" s="2834"/>
      <c r="S105" s="2834"/>
      <c r="T105" s="2834"/>
      <c r="U105" s="2834"/>
      <c r="V105" s="2834"/>
      <c r="W105" s="2834"/>
      <c r="X105" s="2834"/>
      <c r="Y105" s="2834"/>
      <c r="Z105" s="2834"/>
      <c r="AA105" s="2834"/>
      <c r="AB105" s="2834"/>
      <c r="AC105" s="2834"/>
      <c r="AD105" s="2834"/>
      <c r="AE105" s="2834"/>
      <c r="AF105" s="2834"/>
      <c r="AG105" s="2835" t="s">
        <v>2038</v>
      </c>
      <c r="AH105" s="2835"/>
      <c r="AI105" s="2835"/>
      <c r="AJ105" s="283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7" t="s">
        <v>2105</v>
      </c>
      <c r="C106" s="2838"/>
      <c r="D106" s="2838"/>
      <c r="E106" s="2838"/>
      <c r="F106" s="2838"/>
      <c r="G106" s="2838"/>
      <c r="H106" s="2838"/>
      <c r="I106" s="2838"/>
      <c r="J106" s="2838"/>
      <c r="K106" s="2838"/>
      <c r="L106" s="2838"/>
      <c r="M106" s="2838"/>
      <c r="N106" s="2838"/>
      <c r="O106" s="2838"/>
      <c r="P106" s="2838"/>
      <c r="Q106" s="2839"/>
      <c r="R106" s="2840" t="s">
        <v>2106</v>
      </c>
      <c r="S106" s="2841"/>
      <c r="T106" s="2841"/>
      <c r="U106" s="2841"/>
      <c r="V106" s="2841"/>
      <c r="W106" s="2841"/>
      <c r="X106" s="2841"/>
      <c r="Y106" s="2841"/>
      <c r="Z106" s="2841"/>
      <c r="AA106" s="2841"/>
      <c r="AB106" s="2841"/>
      <c r="AC106" s="2841"/>
      <c r="AD106" s="2841"/>
      <c r="AE106" s="2841"/>
      <c r="AF106" s="2841"/>
      <c r="AG106" s="2841"/>
      <c r="AH106" s="2841"/>
      <c r="AI106" s="2841"/>
      <c r="AJ106" s="2841"/>
      <c r="AK106" s="2841"/>
      <c r="AL106" s="2841"/>
      <c r="AM106" s="2841"/>
      <c r="AN106" s="2841"/>
      <c r="AO106" s="2841"/>
      <c r="AP106" s="2841"/>
      <c r="AQ106" s="2841"/>
      <c r="AR106" s="2841"/>
      <c r="AS106" s="2841"/>
      <c r="AT106" s="2841"/>
      <c r="AU106" s="2841"/>
      <c r="AV106" s="2841"/>
      <c r="AW106" s="2841"/>
      <c r="AX106" s="2842"/>
      <c r="AY106" s="1529"/>
      <c r="AZ106" s="1529"/>
      <c r="BA106" s="1529"/>
      <c r="BB106" s="1529"/>
      <c r="BC106" s="1529"/>
      <c r="BD106" s="1529"/>
      <c r="BE106" s="1535"/>
    </row>
    <row r="107" spans="1:57" ht="15.75" customHeight="1">
      <c r="A107" s="1818"/>
      <c r="B107" s="2863" t="s">
        <v>2107</v>
      </c>
      <c r="C107" s="2864"/>
      <c r="D107" s="2864"/>
      <c r="E107" s="2864"/>
      <c r="F107" s="2864"/>
      <c r="G107" s="2864"/>
      <c r="H107" s="2864"/>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4"/>
      <c r="AD107" s="2864"/>
      <c r="AE107" s="2864"/>
      <c r="AF107" s="2864"/>
      <c r="AG107" s="2864"/>
      <c r="AH107" s="2864"/>
      <c r="AI107" s="2864"/>
      <c r="AJ107" s="2864"/>
      <c r="AK107" s="2864"/>
      <c r="AL107" s="2864"/>
      <c r="AM107" s="2864"/>
      <c r="AN107" s="2864"/>
      <c r="AO107" s="2864"/>
      <c r="AP107" s="2864"/>
      <c r="AQ107" s="2864"/>
      <c r="AR107" s="2864"/>
      <c r="AS107" s="2864"/>
      <c r="AT107" s="2864"/>
      <c r="AU107" s="2864"/>
      <c r="AV107" s="2864"/>
      <c r="AW107" s="2864"/>
      <c r="AX107" s="2865"/>
      <c r="AY107" s="1529"/>
      <c r="AZ107" s="1529"/>
      <c r="BA107" s="1529"/>
      <c r="BB107" s="1529"/>
      <c r="BC107" s="1529"/>
      <c r="BD107" s="1529"/>
      <c r="BE107" s="1535"/>
    </row>
    <row r="108" spans="1:57" ht="15.75" customHeight="1">
      <c r="A108" s="1818"/>
      <c r="B108" s="2866"/>
      <c r="C108" s="2867"/>
      <c r="D108" s="2867"/>
      <c r="E108" s="2867"/>
      <c r="F108" s="2867"/>
      <c r="G108" s="2867"/>
      <c r="H108" s="2867"/>
      <c r="I108" s="2867"/>
      <c r="J108" s="2867"/>
      <c r="K108" s="2867"/>
      <c r="L108" s="2867"/>
      <c r="M108" s="2867"/>
      <c r="N108" s="2867"/>
      <c r="O108" s="2867"/>
      <c r="P108" s="2867"/>
      <c r="Q108" s="2867"/>
      <c r="R108" s="2867"/>
      <c r="S108" s="2867"/>
      <c r="T108" s="2867"/>
      <c r="U108" s="2867"/>
      <c r="V108" s="2867"/>
      <c r="W108" s="2867"/>
      <c r="X108" s="2867"/>
      <c r="Y108" s="2867"/>
      <c r="Z108" s="2867"/>
      <c r="AA108" s="2867"/>
      <c r="AB108" s="2867"/>
      <c r="AC108" s="2867"/>
      <c r="AD108" s="2867"/>
      <c r="AE108" s="2867"/>
      <c r="AF108" s="2867"/>
      <c r="AG108" s="2867"/>
      <c r="AH108" s="2867"/>
      <c r="AI108" s="2867"/>
      <c r="AJ108" s="2867"/>
      <c r="AK108" s="2867"/>
      <c r="AL108" s="2867"/>
      <c r="AM108" s="2867"/>
      <c r="AN108" s="2867"/>
      <c r="AO108" s="2867"/>
      <c r="AP108" s="2867"/>
      <c r="AQ108" s="2867"/>
      <c r="AR108" s="2867"/>
      <c r="AS108" s="2867"/>
      <c r="AT108" s="2867"/>
      <c r="AU108" s="2867"/>
      <c r="AV108" s="2867"/>
      <c r="AW108" s="2867"/>
      <c r="AX108" s="2868"/>
      <c r="AY108" s="1529"/>
      <c r="AZ108" s="1529"/>
      <c r="BA108" s="1529"/>
      <c r="BB108" s="1529"/>
      <c r="BC108" s="1529"/>
      <c r="BD108" s="1529"/>
      <c r="BE108" s="1535"/>
    </row>
    <row r="109" spans="1:57" ht="15.75" customHeight="1">
      <c r="A109" s="1818"/>
      <c r="B109" s="2866"/>
      <c r="C109" s="2867"/>
      <c r="D109" s="2867"/>
      <c r="E109" s="2867"/>
      <c r="F109" s="2867"/>
      <c r="G109" s="2867"/>
      <c r="H109" s="2867"/>
      <c r="I109" s="2867"/>
      <c r="J109" s="2867"/>
      <c r="K109" s="2867"/>
      <c r="L109" s="2867"/>
      <c r="M109" s="2867"/>
      <c r="N109" s="2867"/>
      <c r="O109" s="2867"/>
      <c r="P109" s="2867"/>
      <c r="Q109" s="2867"/>
      <c r="R109" s="2867"/>
      <c r="S109" s="2867"/>
      <c r="T109" s="2867"/>
      <c r="U109" s="2867"/>
      <c r="V109" s="2867"/>
      <c r="W109" s="2867"/>
      <c r="X109" s="2867"/>
      <c r="Y109" s="2867"/>
      <c r="Z109" s="2867"/>
      <c r="AA109" s="2867"/>
      <c r="AB109" s="2867"/>
      <c r="AC109" s="2867"/>
      <c r="AD109" s="2867"/>
      <c r="AE109" s="2867"/>
      <c r="AF109" s="2867"/>
      <c r="AG109" s="2867"/>
      <c r="AH109" s="2867"/>
      <c r="AI109" s="2867"/>
      <c r="AJ109" s="2867"/>
      <c r="AK109" s="2867"/>
      <c r="AL109" s="2867"/>
      <c r="AM109" s="2867"/>
      <c r="AN109" s="2867"/>
      <c r="AO109" s="2867"/>
      <c r="AP109" s="2867"/>
      <c r="AQ109" s="2867"/>
      <c r="AR109" s="2867"/>
      <c r="AS109" s="2867"/>
      <c r="AT109" s="2867"/>
      <c r="AU109" s="2867"/>
      <c r="AV109" s="2867"/>
      <c r="AW109" s="2867"/>
      <c r="AX109" s="2868"/>
      <c r="AY109" s="1529"/>
      <c r="AZ109" s="1529"/>
      <c r="BA109" s="1529"/>
      <c r="BB109" s="1529"/>
      <c r="BC109" s="1529"/>
      <c r="BD109" s="1529"/>
      <c r="BE109" s="1535"/>
    </row>
    <row r="110" spans="1:57" ht="15.75" customHeight="1">
      <c r="A110" s="1818"/>
      <c r="B110" s="2866"/>
      <c r="C110" s="2867"/>
      <c r="D110" s="2867"/>
      <c r="E110" s="2867"/>
      <c r="F110" s="2867"/>
      <c r="G110" s="2867"/>
      <c r="H110" s="2867"/>
      <c r="I110" s="2867"/>
      <c r="J110" s="2867"/>
      <c r="K110" s="2867"/>
      <c r="L110" s="2867"/>
      <c r="M110" s="2867"/>
      <c r="N110" s="2867"/>
      <c r="O110" s="2867"/>
      <c r="P110" s="2867"/>
      <c r="Q110" s="2867"/>
      <c r="R110" s="2867"/>
      <c r="S110" s="2867"/>
      <c r="T110" s="2867"/>
      <c r="U110" s="2867"/>
      <c r="V110" s="2867"/>
      <c r="W110" s="2867"/>
      <c r="X110" s="2867"/>
      <c r="Y110" s="2867"/>
      <c r="Z110" s="2867"/>
      <c r="AA110" s="2867"/>
      <c r="AB110" s="2867"/>
      <c r="AC110" s="2867"/>
      <c r="AD110" s="2867"/>
      <c r="AE110" s="2867"/>
      <c r="AF110" s="2867"/>
      <c r="AG110" s="2867"/>
      <c r="AH110" s="2867"/>
      <c r="AI110" s="2867"/>
      <c r="AJ110" s="2867"/>
      <c r="AK110" s="2867"/>
      <c r="AL110" s="2867"/>
      <c r="AM110" s="2867"/>
      <c r="AN110" s="2867"/>
      <c r="AO110" s="2867"/>
      <c r="AP110" s="2867"/>
      <c r="AQ110" s="2867"/>
      <c r="AR110" s="2867"/>
      <c r="AS110" s="2867"/>
      <c r="AT110" s="2867"/>
      <c r="AU110" s="2867"/>
      <c r="AV110" s="2867"/>
      <c r="AW110" s="2867"/>
      <c r="AX110" s="2868"/>
      <c r="AY110" s="1529"/>
      <c r="AZ110" s="1529"/>
      <c r="BA110" s="1529"/>
      <c r="BB110" s="1529"/>
      <c r="BC110" s="1529"/>
      <c r="BD110" s="1529"/>
      <c r="BE110" s="1535"/>
    </row>
    <row r="111" spans="1:57" ht="15.75" customHeight="1">
      <c r="A111" s="1818"/>
      <c r="B111" s="2866"/>
      <c r="C111" s="2867"/>
      <c r="D111" s="2867"/>
      <c r="E111" s="2867"/>
      <c r="F111" s="2867"/>
      <c r="G111" s="2867"/>
      <c r="H111" s="2867"/>
      <c r="I111" s="2867"/>
      <c r="J111" s="2867"/>
      <c r="K111" s="2867"/>
      <c r="L111" s="2867"/>
      <c r="M111" s="2867"/>
      <c r="N111" s="2867"/>
      <c r="O111" s="2867"/>
      <c r="P111" s="2867"/>
      <c r="Q111" s="2867"/>
      <c r="R111" s="2867"/>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529"/>
      <c r="AZ111" s="1529"/>
      <c r="BA111" s="1529"/>
      <c r="BB111" s="1529"/>
      <c r="BC111" s="1529"/>
      <c r="BD111" s="1529"/>
      <c r="BE111" s="1535"/>
    </row>
    <row r="112" spans="1:57" ht="15.75" customHeight="1">
      <c r="A112" s="1818"/>
      <c r="B112" s="2866"/>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529"/>
      <c r="AZ112" s="1529"/>
      <c r="BA112" s="1529"/>
      <c r="BB112" s="1529"/>
      <c r="BC112" s="1529"/>
      <c r="BD112" s="1529"/>
      <c r="BE112" s="1535"/>
    </row>
    <row r="113" spans="1:57" ht="15.75" customHeight="1">
      <c r="A113" s="1818"/>
      <c r="B113" s="2866"/>
      <c r="C113" s="2867"/>
      <c r="D113" s="2867"/>
      <c r="E113" s="2867"/>
      <c r="F113" s="2867"/>
      <c r="G113" s="2867"/>
      <c r="H113" s="2867"/>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7"/>
      <c r="AD113" s="2867"/>
      <c r="AE113" s="2867"/>
      <c r="AF113" s="2867"/>
      <c r="AG113" s="2867"/>
      <c r="AH113" s="2867"/>
      <c r="AI113" s="2867"/>
      <c r="AJ113" s="2867"/>
      <c r="AK113" s="2867"/>
      <c r="AL113" s="2867"/>
      <c r="AM113" s="2867"/>
      <c r="AN113" s="2867"/>
      <c r="AO113" s="2867"/>
      <c r="AP113" s="2867"/>
      <c r="AQ113" s="2867"/>
      <c r="AR113" s="2867"/>
      <c r="AS113" s="2867"/>
      <c r="AT113" s="2867"/>
      <c r="AU113" s="2867"/>
      <c r="AV113" s="2867"/>
      <c r="AW113" s="2867"/>
      <c r="AX113" s="2868"/>
      <c r="AY113" s="1529"/>
      <c r="AZ113" s="1529"/>
      <c r="BA113" s="1529"/>
      <c r="BB113" s="1529"/>
      <c r="BC113" s="1529"/>
      <c r="BD113" s="1529"/>
      <c r="BE113" s="1535"/>
    </row>
    <row r="114" spans="1:57" ht="15.75" customHeight="1">
      <c r="A114" s="1818"/>
      <c r="B114" s="2866"/>
      <c r="C114" s="2867"/>
      <c r="D114" s="2867"/>
      <c r="E114" s="2867"/>
      <c r="F114" s="2867"/>
      <c r="G114" s="2867"/>
      <c r="H114" s="2867"/>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7"/>
      <c r="AD114" s="2867"/>
      <c r="AE114" s="2867"/>
      <c r="AF114" s="2867"/>
      <c r="AG114" s="2867"/>
      <c r="AH114" s="2867"/>
      <c r="AI114" s="2867"/>
      <c r="AJ114" s="2867"/>
      <c r="AK114" s="2867"/>
      <c r="AL114" s="2867"/>
      <c r="AM114" s="2867"/>
      <c r="AN114" s="2867"/>
      <c r="AO114" s="2867"/>
      <c r="AP114" s="2867"/>
      <c r="AQ114" s="2867"/>
      <c r="AR114" s="2867"/>
      <c r="AS114" s="2867"/>
      <c r="AT114" s="2867"/>
      <c r="AU114" s="2867"/>
      <c r="AV114" s="2867"/>
      <c r="AW114" s="2867"/>
      <c r="AX114" s="2868"/>
      <c r="AY114" s="1529"/>
      <c r="AZ114" s="1529"/>
      <c r="BA114" s="1529"/>
      <c r="BB114" s="1529"/>
      <c r="BC114" s="1529"/>
      <c r="BD114" s="1529"/>
      <c r="BE114" s="1535"/>
    </row>
    <row r="115" spans="1:57" ht="15.75" customHeight="1">
      <c r="A115" s="1818"/>
      <c r="B115" s="2866"/>
      <c r="C115" s="2867"/>
      <c r="D115" s="2867"/>
      <c r="E115" s="2867"/>
      <c r="F115" s="2867"/>
      <c r="G115" s="2867"/>
      <c r="H115" s="2867"/>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7"/>
      <c r="AD115" s="2867"/>
      <c r="AE115" s="2867"/>
      <c r="AF115" s="2867"/>
      <c r="AG115" s="2867"/>
      <c r="AH115" s="2867"/>
      <c r="AI115" s="2867"/>
      <c r="AJ115" s="2867"/>
      <c r="AK115" s="2867"/>
      <c r="AL115" s="2867"/>
      <c r="AM115" s="2867"/>
      <c r="AN115" s="2867"/>
      <c r="AO115" s="2867"/>
      <c r="AP115" s="2867"/>
      <c r="AQ115" s="2867"/>
      <c r="AR115" s="2867"/>
      <c r="AS115" s="2867"/>
      <c r="AT115" s="2867"/>
      <c r="AU115" s="2867"/>
      <c r="AV115" s="2867"/>
      <c r="AW115" s="2867"/>
      <c r="AX115" s="2868"/>
      <c r="AY115" s="1529"/>
      <c r="AZ115" s="1529"/>
      <c r="BA115" s="1529"/>
      <c r="BB115" s="1529"/>
      <c r="BC115" s="1529"/>
      <c r="BD115" s="1529"/>
      <c r="BE115" s="1535"/>
    </row>
    <row r="116" spans="1:57" ht="15.75" customHeight="1" thickBot="1">
      <c r="A116" s="1818"/>
      <c r="B116" s="2869"/>
      <c r="C116" s="2870"/>
      <c r="D116" s="2870"/>
      <c r="E116" s="2870"/>
      <c r="F116" s="2870"/>
      <c r="G116" s="2870"/>
      <c r="H116" s="2870"/>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70"/>
      <c r="AD116" s="2870"/>
      <c r="AE116" s="2870"/>
      <c r="AF116" s="2870"/>
      <c r="AG116" s="2870"/>
      <c r="AH116" s="2870"/>
      <c r="AI116" s="2870"/>
      <c r="AJ116" s="2870"/>
      <c r="AK116" s="2870"/>
      <c r="AL116" s="2870"/>
      <c r="AM116" s="2870"/>
      <c r="AN116" s="2870"/>
      <c r="AO116" s="2870"/>
      <c r="AP116" s="2870"/>
      <c r="AQ116" s="2870"/>
      <c r="AR116" s="2870"/>
      <c r="AS116" s="2870"/>
      <c r="AT116" s="2870"/>
      <c r="AU116" s="2870"/>
      <c r="AV116" s="2870"/>
      <c r="AW116" s="2870"/>
      <c r="AX116" s="28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9" t="s">
        <v>2109</v>
      </c>
      <c r="C120" s="2640"/>
      <c r="D120" s="2640"/>
      <c r="E120" s="2640"/>
      <c r="F120" s="2640"/>
      <c r="G120" s="2640"/>
      <c r="H120" s="2640"/>
      <c r="I120" s="2640"/>
      <c r="J120" s="2640"/>
      <c r="K120" s="2640"/>
      <c r="L120" s="2640"/>
      <c r="M120" s="2640"/>
      <c r="N120" s="2640"/>
      <c r="O120" s="2640"/>
      <c r="P120" s="2640"/>
      <c r="Q120" s="2640"/>
      <c r="R120" s="2640"/>
      <c r="S120" s="2640"/>
      <c r="T120" s="2640"/>
      <c r="U120" s="284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4"/>
      <c r="C121" s="2845"/>
      <c r="D121" s="2845"/>
      <c r="E121" s="2845"/>
      <c r="F121" s="2845"/>
      <c r="G121" s="2845"/>
      <c r="H121" s="2846"/>
      <c r="I121" s="2776" t="s">
        <v>2092</v>
      </c>
      <c r="J121" s="2777"/>
      <c r="K121" s="2777"/>
      <c r="L121" s="2777"/>
      <c r="M121" s="2777"/>
      <c r="N121" s="2777"/>
      <c r="O121" s="2847"/>
      <c r="P121" s="2776" t="s">
        <v>2103</v>
      </c>
      <c r="Q121" s="2777"/>
      <c r="R121" s="2777"/>
      <c r="S121" s="2777"/>
      <c r="T121" s="2777"/>
      <c r="U121" s="284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8" t="s">
        <v>2095</v>
      </c>
      <c r="C122" s="2849"/>
      <c r="D122" s="2849"/>
      <c r="E122" s="2849"/>
      <c r="F122" s="2849"/>
      <c r="G122" s="2849"/>
      <c r="H122" s="2849"/>
      <c r="I122" s="2829"/>
      <c r="J122" s="2830"/>
      <c r="K122" s="2830"/>
      <c r="L122" s="2830"/>
      <c r="M122" s="2830"/>
      <c r="N122" s="2830"/>
      <c r="O122" s="2831"/>
      <c r="P122" s="2829"/>
      <c r="Q122" s="2830"/>
      <c r="R122" s="2830"/>
      <c r="S122" s="2830"/>
      <c r="T122" s="2830"/>
      <c r="U122" s="28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9" t="s">
        <v>2096</v>
      </c>
      <c r="C123" s="2780"/>
      <c r="D123" s="2780"/>
      <c r="E123" s="2780"/>
      <c r="F123" s="2780"/>
      <c r="G123" s="2780"/>
      <c r="H123" s="2780"/>
      <c r="I123" s="2829"/>
      <c r="J123" s="2830"/>
      <c r="K123" s="2830"/>
      <c r="L123" s="2830"/>
      <c r="M123" s="2830"/>
      <c r="N123" s="2830"/>
      <c r="O123" s="2831"/>
      <c r="P123" s="2829"/>
      <c r="Q123" s="2830"/>
      <c r="R123" s="2830"/>
      <c r="S123" s="2830"/>
      <c r="T123" s="2830"/>
      <c r="U123" s="28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0" t="s">
        <v>2110</v>
      </c>
      <c r="D125" s="2851"/>
      <c r="E125" s="2851"/>
      <c r="F125" s="2851"/>
      <c r="G125" s="2851"/>
      <c r="H125" s="2851"/>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51"/>
      <c r="AD125" s="2851"/>
      <c r="AE125" s="2851"/>
      <c r="AF125" s="2851"/>
      <c r="AG125" s="285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3" t="s">
        <v>2111</v>
      </c>
      <c r="D126" s="2854"/>
      <c r="E126" s="2854"/>
      <c r="F126" s="2854"/>
      <c r="G126" s="2854"/>
      <c r="H126" s="2854"/>
      <c r="I126" s="2854"/>
      <c r="J126" s="2854"/>
      <c r="K126" s="2854"/>
      <c r="L126" s="2854"/>
      <c r="M126" s="2854"/>
      <c r="N126" s="2854"/>
      <c r="O126" s="2854"/>
      <c r="P126" s="2855"/>
      <c r="Q126" s="2856" t="s">
        <v>2112</v>
      </c>
      <c r="R126" s="2854"/>
      <c r="S126" s="2855"/>
      <c r="T126" s="2857" t="s">
        <v>2113</v>
      </c>
      <c r="U126" s="2858"/>
      <c r="V126" s="2858"/>
      <c r="W126" s="2858"/>
      <c r="X126" s="2858"/>
      <c r="Y126" s="2858"/>
      <c r="Z126" s="2858"/>
      <c r="AA126" s="2859"/>
      <c r="AB126" s="2860" t="s">
        <v>2114</v>
      </c>
      <c r="AC126" s="2861"/>
      <c r="AD126" s="2861"/>
      <c r="AE126" s="2861"/>
      <c r="AF126" s="2861"/>
      <c r="AG126" s="28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2" t="s">
        <v>2115</v>
      </c>
      <c r="D127" s="2873"/>
      <c r="E127" s="2873"/>
      <c r="F127" s="2873"/>
      <c r="G127" s="2873"/>
      <c r="H127" s="2873"/>
      <c r="I127" s="2873"/>
      <c r="J127" s="2873"/>
      <c r="K127" s="2873"/>
      <c r="L127" s="2873"/>
      <c r="M127" s="2873"/>
      <c r="N127" s="2873"/>
      <c r="O127" s="2873"/>
      <c r="P127" s="2874"/>
      <c r="Q127" s="2875">
        <v>55</v>
      </c>
      <c r="R127" s="2876"/>
      <c r="S127" s="2877"/>
      <c r="T127" s="2883"/>
      <c r="U127" s="2884"/>
      <c r="V127" s="2884"/>
      <c r="W127" s="2884"/>
      <c r="X127" s="2884"/>
      <c r="Y127" s="2884"/>
      <c r="Z127" s="2884"/>
      <c r="AA127" s="288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2" t="s">
        <v>430</v>
      </c>
      <c r="D128" s="2873"/>
      <c r="E128" s="2873"/>
      <c r="F128" s="2873"/>
      <c r="G128" s="2873"/>
      <c r="H128" s="2873"/>
      <c r="I128" s="2873"/>
      <c r="J128" s="2873"/>
      <c r="K128" s="2873"/>
      <c r="L128" s="2873"/>
      <c r="M128" s="2873"/>
      <c r="N128" s="2873"/>
      <c r="O128" s="2873"/>
      <c r="P128" s="2874"/>
      <c r="Q128" s="2875">
        <v>55</v>
      </c>
      <c r="R128" s="2876"/>
      <c r="S128" s="2877"/>
      <c r="T128" s="2885" t="str">
        <f>_xlfn.CONCAT(Application!AC515,"/", Application!AH515)</f>
        <v>N/A/</v>
      </c>
      <c r="U128" s="2886"/>
      <c r="V128" s="2886"/>
      <c r="W128" s="2886"/>
      <c r="X128" s="2886"/>
      <c r="Y128" s="2886"/>
      <c r="Z128" s="2886"/>
      <c r="AA128" s="288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2" t="s">
        <v>2116</v>
      </c>
      <c r="D129" s="2873"/>
      <c r="E129" s="2873"/>
      <c r="F129" s="2873"/>
      <c r="G129" s="2873"/>
      <c r="H129" s="2873"/>
      <c r="I129" s="2873"/>
      <c r="J129" s="2873"/>
      <c r="K129" s="2873"/>
      <c r="L129" s="2873"/>
      <c r="M129" s="2873"/>
      <c r="N129" s="2873"/>
      <c r="O129" s="2873"/>
      <c r="P129" s="2874"/>
      <c r="Q129" s="2875">
        <v>55</v>
      </c>
      <c r="R129" s="2876"/>
      <c r="S129" s="2877"/>
      <c r="T129" s="2878"/>
      <c r="U129" s="2879"/>
      <c r="V129" s="2879"/>
      <c r="W129" s="2879"/>
      <c r="X129" s="2879"/>
      <c r="Y129" s="2879"/>
      <c r="Z129" s="2879"/>
      <c r="AA129" s="287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2" t="s">
        <v>2117</v>
      </c>
      <c r="D130" s="2873"/>
      <c r="E130" s="2873"/>
      <c r="F130" s="2873"/>
      <c r="G130" s="2873"/>
      <c r="H130" s="2873"/>
      <c r="I130" s="2873"/>
      <c r="J130" s="2873"/>
      <c r="K130" s="2873"/>
      <c r="L130" s="2873"/>
      <c r="M130" s="2873"/>
      <c r="N130" s="2873"/>
      <c r="O130" s="2873"/>
      <c r="P130" s="2874"/>
      <c r="Q130" s="2880"/>
      <c r="R130" s="2881"/>
      <c r="S130" s="2882"/>
      <c r="T130" s="2883"/>
      <c r="U130" s="2884"/>
      <c r="V130" s="2884"/>
      <c r="W130" s="2884"/>
      <c r="X130" s="2884"/>
      <c r="Y130" s="2884"/>
      <c r="Z130" s="2884"/>
      <c r="AA130" s="288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2" t="s">
        <v>2070</v>
      </c>
      <c r="D131" s="2873"/>
      <c r="E131" s="2873"/>
      <c r="F131" s="2873"/>
      <c r="G131" s="2873"/>
      <c r="H131" s="2873"/>
      <c r="I131" s="2873"/>
      <c r="J131" s="2873"/>
      <c r="K131" s="2873"/>
      <c r="L131" s="2873"/>
      <c r="M131" s="2873"/>
      <c r="N131" s="2873"/>
      <c r="O131" s="2873"/>
      <c r="P131" s="2874"/>
      <c r="Q131" s="2887">
        <f>Application!AG400</f>
        <v>0</v>
      </c>
      <c r="R131" s="2888"/>
      <c r="S131" s="2889"/>
      <c r="T131" s="2883"/>
      <c r="U131" s="2884"/>
      <c r="V131" s="2884"/>
      <c r="W131" s="2884"/>
      <c r="X131" s="2884"/>
      <c r="Y131" s="2884"/>
      <c r="Z131" s="2884"/>
      <c r="AA131" s="2890"/>
      <c r="AB131" s="2891">
        <f>Application!AE401</f>
        <v>0</v>
      </c>
      <c r="AC131" s="2892"/>
      <c r="AD131" s="2892"/>
      <c r="AE131" s="2892"/>
      <c r="AF131" s="2892"/>
      <c r="AG131" s="289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8" t="s">
        <v>175</v>
      </c>
      <c r="D132" s="2609"/>
      <c r="E132" s="2609"/>
      <c r="F132" s="2894" t="s">
        <v>2118</v>
      </c>
      <c r="G132" s="2894"/>
      <c r="H132" s="2894"/>
      <c r="I132" s="2894"/>
      <c r="J132" s="2894"/>
      <c r="K132" s="2894"/>
      <c r="L132" s="2894"/>
      <c r="M132" s="2894"/>
      <c r="N132" s="2894"/>
      <c r="O132" s="2894"/>
      <c r="P132" s="2894"/>
      <c r="Q132" s="2895">
        <v>55</v>
      </c>
      <c r="R132" s="2895"/>
      <c r="S132" s="2895"/>
      <c r="T132" s="2896"/>
      <c r="U132" s="2896"/>
      <c r="V132" s="2896"/>
      <c r="W132" s="2896"/>
      <c r="X132" s="2896"/>
      <c r="Y132" s="2896"/>
      <c r="Z132" s="2896"/>
      <c r="AA132" s="2896"/>
      <c r="AB132" s="2897"/>
      <c r="AC132" s="2898"/>
      <c r="AD132" s="2898"/>
      <c r="AE132" s="2898"/>
      <c r="AF132" s="2898"/>
      <c r="AG132" s="289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8" t="s">
        <v>175</v>
      </c>
      <c r="D133" s="2609"/>
      <c r="E133" s="2609"/>
      <c r="F133" s="2894" t="s">
        <v>2118</v>
      </c>
      <c r="G133" s="2894"/>
      <c r="H133" s="2894"/>
      <c r="I133" s="2894"/>
      <c r="J133" s="2894"/>
      <c r="K133" s="2894"/>
      <c r="L133" s="2894"/>
      <c r="M133" s="2894"/>
      <c r="N133" s="2894"/>
      <c r="O133" s="2894"/>
      <c r="P133" s="2894"/>
      <c r="Q133" s="2895">
        <v>55</v>
      </c>
      <c r="R133" s="2895"/>
      <c r="S133" s="2895"/>
      <c r="T133" s="2896"/>
      <c r="U133" s="2896"/>
      <c r="V133" s="2896"/>
      <c r="W133" s="2896"/>
      <c r="X133" s="2896"/>
      <c r="Y133" s="2896"/>
      <c r="Z133" s="2896"/>
      <c r="AA133" s="2896"/>
      <c r="AB133" s="2897"/>
      <c r="AC133" s="2898"/>
      <c r="AD133" s="2898"/>
      <c r="AE133" s="2898"/>
      <c r="AF133" s="2898"/>
      <c r="AG133" s="289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8" t="s">
        <v>175</v>
      </c>
      <c r="D134" s="2609"/>
      <c r="E134" s="2609"/>
      <c r="F134" s="2900" t="s">
        <v>2118</v>
      </c>
      <c r="G134" s="2900"/>
      <c r="H134" s="2900"/>
      <c r="I134" s="2900"/>
      <c r="J134" s="2900"/>
      <c r="K134" s="2900"/>
      <c r="L134" s="2900"/>
      <c r="M134" s="2900"/>
      <c r="N134" s="2900"/>
      <c r="O134" s="2900"/>
      <c r="P134" s="2900"/>
      <c r="Q134" s="2782">
        <v>55</v>
      </c>
      <c r="R134" s="2782"/>
      <c r="S134" s="2782"/>
      <c r="T134" s="2781"/>
      <c r="U134" s="2781"/>
      <c r="V134" s="2781"/>
      <c r="W134" s="2781"/>
      <c r="X134" s="2781"/>
      <c r="Y134" s="2781"/>
      <c r="Z134" s="2781"/>
      <c r="AA134" s="2781"/>
      <c r="AB134" s="2901"/>
      <c r="AC134" s="2902"/>
      <c r="AD134" s="2902"/>
      <c r="AE134" s="2902"/>
      <c r="AF134" s="2902"/>
      <c r="AG134" s="290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0" t="s">
        <v>2119</v>
      </c>
      <c r="D136" s="2611"/>
      <c r="E136" s="2611"/>
      <c r="F136" s="2611"/>
      <c r="G136" s="2611"/>
      <c r="H136" s="2611"/>
      <c r="I136" s="2611"/>
      <c r="J136" s="2611"/>
      <c r="K136" s="2611"/>
      <c r="L136" s="2611"/>
      <c r="M136" s="2611"/>
      <c r="N136" s="2612"/>
      <c r="O136" s="1529"/>
      <c r="P136" s="2905" t="s">
        <v>2120</v>
      </c>
      <c r="Q136" s="2906"/>
      <c r="R136" s="2906"/>
      <c r="S136" s="2906"/>
      <c r="T136" s="2906"/>
      <c r="U136" s="2906"/>
      <c r="V136" s="2906"/>
      <c r="W136" s="2906"/>
      <c r="X136" s="2906"/>
      <c r="Y136" s="2906"/>
      <c r="Z136" s="2906"/>
      <c r="AA136" s="2906"/>
      <c r="AB136" s="2906"/>
      <c r="AC136" s="2906"/>
      <c r="AD136" s="2906"/>
      <c r="AE136" s="2906"/>
      <c r="AF136" s="2906"/>
      <c r="AG136" s="2906"/>
      <c r="AH136" s="2906"/>
      <c r="AI136" s="2906"/>
      <c r="AJ136" s="2906"/>
      <c r="AK136" s="2906"/>
      <c r="AL136" s="2906"/>
      <c r="AM136" s="2906"/>
      <c r="AN136" s="2906"/>
      <c r="AO136" s="290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5" t="s">
        <v>2121</v>
      </c>
      <c r="D137" s="2816"/>
      <c r="E137" s="2816"/>
      <c r="F137" s="2816"/>
      <c r="G137" s="2816"/>
      <c r="H137" s="2817"/>
      <c r="I137" s="2815" t="s">
        <v>2122</v>
      </c>
      <c r="J137" s="2816"/>
      <c r="K137" s="2816"/>
      <c r="L137" s="2816"/>
      <c r="M137" s="2816"/>
      <c r="N137" s="2817"/>
      <c r="O137" s="1529"/>
      <c r="P137" s="2908"/>
      <c r="Q137" s="2909"/>
      <c r="R137" s="2909"/>
      <c r="S137" s="2909"/>
      <c r="T137" s="2909"/>
      <c r="U137" s="2909"/>
      <c r="V137" s="2909"/>
      <c r="W137" s="2909"/>
      <c r="X137" s="2909"/>
      <c r="Y137" s="2909"/>
      <c r="Z137" s="2909"/>
      <c r="AA137" s="2909"/>
      <c r="AB137" s="2909"/>
      <c r="AC137" s="2909"/>
      <c r="AD137" s="2909"/>
      <c r="AE137" s="2909"/>
      <c r="AF137" s="2909"/>
      <c r="AG137" s="2909"/>
      <c r="AH137" s="2909"/>
      <c r="AI137" s="2909"/>
      <c r="AJ137" s="2909"/>
      <c r="AK137" s="2909"/>
      <c r="AL137" s="2909"/>
      <c r="AM137" s="2909"/>
      <c r="AN137" s="2909"/>
      <c r="AO137" s="291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9"/>
      <c r="D138" s="2719"/>
      <c r="E138" s="2719"/>
      <c r="F138" s="2719"/>
      <c r="G138" s="2719"/>
      <c r="H138" s="2719"/>
      <c r="I138" s="2904"/>
      <c r="J138" s="2904"/>
      <c r="K138" s="2904"/>
      <c r="L138" s="2904"/>
      <c r="M138" s="2904"/>
      <c r="N138" s="2904"/>
      <c r="O138" s="1529"/>
      <c r="P138" s="2908"/>
      <c r="Q138" s="2909"/>
      <c r="R138" s="2909"/>
      <c r="S138" s="2909"/>
      <c r="T138" s="2909"/>
      <c r="U138" s="2909"/>
      <c r="V138" s="2909"/>
      <c r="W138" s="2909"/>
      <c r="X138" s="2909"/>
      <c r="Y138" s="2909"/>
      <c r="Z138" s="2909"/>
      <c r="AA138" s="2909"/>
      <c r="AB138" s="2909"/>
      <c r="AC138" s="2909"/>
      <c r="AD138" s="2909"/>
      <c r="AE138" s="2909"/>
      <c r="AF138" s="2909"/>
      <c r="AG138" s="2909"/>
      <c r="AH138" s="2909"/>
      <c r="AI138" s="2909"/>
      <c r="AJ138" s="2909"/>
      <c r="AK138" s="2909"/>
      <c r="AL138" s="2909"/>
      <c r="AM138" s="2909"/>
      <c r="AN138" s="2909"/>
      <c r="AO138" s="291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9"/>
      <c r="D139" s="2719"/>
      <c r="E139" s="2719"/>
      <c r="F139" s="2719"/>
      <c r="G139" s="2719"/>
      <c r="H139" s="2719"/>
      <c r="I139" s="2904"/>
      <c r="J139" s="2904"/>
      <c r="K139" s="2904"/>
      <c r="L139" s="2904"/>
      <c r="M139" s="2904"/>
      <c r="N139" s="2904"/>
      <c r="O139" s="1529"/>
      <c r="P139" s="2908"/>
      <c r="Q139" s="2909"/>
      <c r="R139" s="2909"/>
      <c r="S139" s="2909"/>
      <c r="T139" s="2909"/>
      <c r="U139" s="2909"/>
      <c r="V139" s="2909"/>
      <c r="W139" s="2909"/>
      <c r="X139" s="2909"/>
      <c r="Y139" s="2909"/>
      <c r="Z139" s="2909"/>
      <c r="AA139" s="2909"/>
      <c r="AB139" s="2909"/>
      <c r="AC139" s="2909"/>
      <c r="AD139" s="2909"/>
      <c r="AE139" s="2909"/>
      <c r="AF139" s="2909"/>
      <c r="AG139" s="2909"/>
      <c r="AH139" s="2909"/>
      <c r="AI139" s="2909"/>
      <c r="AJ139" s="2909"/>
      <c r="AK139" s="2909"/>
      <c r="AL139" s="2909"/>
      <c r="AM139" s="2909"/>
      <c r="AN139" s="2909"/>
      <c r="AO139" s="291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9"/>
      <c r="D140" s="2719"/>
      <c r="E140" s="2719"/>
      <c r="F140" s="2719"/>
      <c r="G140" s="2719"/>
      <c r="H140" s="2719"/>
      <c r="I140" s="2904"/>
      <c r="J140" s="2904"/>
      <c r="K140" s="2904"/>
      <c r="L140" s="2904"/>
      <c r="M140" s="2904"/>
      <c r="N140" s="2904"/>
      <c r="O140" s="1529"/>
      <c r="P140" s="2908"/>
      <c r="Q140" s="2909"/>
      <c r="R140" s="2909"/>
      <c r="S140" s="2909"/>
      <c r="T140" s="2909"/>
      <c r="U140" s="2909"/>
      <c r="V140" s="2909"/>
      <c r="W140" s="2909"/>
      <c r="X140" s="2909"/>
      <c r="Y140" s="2909"/>
      <c r="Z140" s="2909"/>
      <c r="AA140" s="2909"/>
      <c r="AB140" s="2909"/>
      <c r="AC140" s="2909"/>
      <c r="AD140" s="2909"/>
      <c r="AE140" s="2909"/>
      <c r="AF140" s="2909"/>
      <c r="AG140" s="2909"/>
      <c r="AH140" s="2909"/>
      <c r="AI140" s="2909"/>
      <c r="AJ140" s="2909"/>
      <c r="AK140" s="2909"/>
      <c r="AL140" s="2909"/>
      <c r="AM140" s="2909"/>
      <c r="AN140" s="2909"/>
      <c r="AO140" s="291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9"/>
      <c r="D141" s="2719"/>
      <c r="E141" s="2719"/>
      <c r="F141" s="2719"/>
      <c r="G141" s="2719"/>
      <c r="H141" s="2719"/>
      <c r="I141" s="2904"/>
      <c r="J141" s="2904"/>
      <c r="K141" s="2904"/>
      <c r="L141" s="2904"/>
      <c r="M141" s="2904"/>
      <c r="N141" s="2904"/>
      <c r="O141" s="1529"/>
      <c r="P141" s="2908"/>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9"/>
      <c r="D142" s="2719"/>
      <c r="E142" s="2719"/>
      <c r="F142" s="2719"/>
      <c r="G142" s="2719"/>
      <c r="H142" s="2719"/>
      <c r="I142" s="2904"/>
      <c r="J142" s="2904"/>
      <c r="K142" s="2904"/>
      <c r="L142" s="2904"/>
      <c r="M142" s="2904"/>
      <c r="N142" s="2904"/>
      <c r="O142" s="1529"/>
      <c r="P142" s="2908"/>
      <c r="Q142" s="2909"/>
      <c r="R142" s="2909"/>
      <c r="S142" s="2909"/>
      <c r="T142" s="2909"/>
      <c r="U142" s="2909"/>
      <c r="V142" s="2909"/>
      <c r="W142" s="2909"/>
      <c r="X142" s="2909"/>
      <c r="Y142" s="2909"/>
      <c r="Z142" s="2909"/>
      <c r="AA142" s="2909"/>
      <c r="AB142" s="2909"/>
      <c r="AC142" s="2909"/>
      <c r="AD142" s="2909"/>
      <c r="AE142" s="2909"/>
      <c r="AF142" s="2909"/>
      <c r="AG142" s="2909"/>
      <c r="AH142" s="2909"/>
      <c r="AI142" s="2909"/>
      <c r="AJ142" s="2909"/>
      <c r="AK142" s="2909"/>
      <c r="AL142" s="2909"/>
      <c r="AM142" s="2909"/>
      <c r="AN142" s="2909"/>
      <c r="AO142" s="291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9"/>
      <c r="D143" s="2719"/>
      <c r="E143" s="2719"/>
      <c r="F143" s="2719"/>
      <c r="G143" s="2719"/>
      <c r="H143" s="2719"/>
      <c r="I143" s="2904"/>
      <c r="J143" s="2904"/>
      <c r="K143" s="2904"/>
      <c r="L143" s="2904"/>
      <c r="M143" s="2904"/>
      <c r="N143" s="2904"/>
      <c r="O143" s="1529"/>
      <c r="P143" s="2908"/>
      <c r="Q143" s="2909"/>
      <c r="R143" s="2909"/>
      <c r="S143" s="2909"/>
      <c r="T143" s="2909"/>
      <c r="U143" s="2909"/>
      <c r="V143" s="2909"/>
      <c r="W143" s="2909"/>
      <c r="X143" s="2909"/>
      <c r="Y143" s="2909"/>
      <c r="Z143" s="2909"/>
      <c r="AA143" s="2909"/>
      <c r="AB143" s="2909"/>
      <c r="AC143" s="2909"/>
      <c r="AD143" s="2909"/>
      <c r="AE143" s="2909"/>
      <c r="AF143" s="2909"/>
      <c r="AG143" s="2909"/>
      <c r="AH143" s="2909"/>
      <c r="AI143" s="2909"/>
      <c r="AJ143" s="2909"/>
      <c r="AK143" s="2909"/>
      <c r="AL143" s="2909"/>
      <c r="AM143" s="2909"/>
      <c r="AN143" s="2909"/>
      <c r="AO143" s="291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9"/>
      <c r="D144" s="2719"/>
      <c r="E144" s="2719"/>
      <c r="F144" s="2719"/>
      <c r="G144" s="2719"/>
      <c r="H144" s="2719"/>
      <c r="I144" s="2904"/>
      <c r="J144" s="2904"/>
      <c r="K144" s="2904"/>
      <c r="L144" s="2904"/>
      <c r="M144" s="2904"/>
      <c r="N144" s="2904"/>
      <c r="O144" s="1529"/>
      <c r="P144" s="2911"/>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4"/>
      <c r="D149" s="2925"/>
      <c r="E149" s="2925"/>
      <c r="F149" s="2925"/>
      <c r="G149" s="2925"/>
      <c r="H149" s="2925"/>
      <c r="I149" s="2925"/>
      <c r="J149" s="2925"/>
      <c r="K149" s="2925"/>
      <c r="L149" s="2925"/>
      <c r="M149" s="2926"/>
      <c r="N149" s="2927" t="s">
        <v>2125</v>
      </c>
      <c r="O149" s="2927"/>
      <c r="P149" s="2927"/>
      <c r="Q149" s="2927"/>
      <c r="R149" s="2927"/>
      <c r="S149" s="2927"/>
      <c r="T149" s="2928"/>
      <c r="U149" s="2929" t="s">
        <v>2111</v>
      </c>
      <c r="V149" s="2759"/>
      <c r="W149" s="2759"/>
      <c r="X149" s="2759"/>
      <c r="Y149" s="2759"/>
      <c r="Z149" s="2759"/>
      <c r="AA149" s="2759"/>
      <c r="AB149" s="2759"/>
      <c r="AC149" s="2759"/>
      <c r="AD149" s="2759"/>
      <c r="AE149" s="2760"/>
      <c r="AF149" s="1529"/>
      <c r="AG149" s="1529"/>
      <c r="AH149" s="2603" t="s">
        <v>2126</v>
      </c>
      <c r="AI149" s="2604"/>
      <c r="AJ149" s="2604"/>
      <c r="AK149" s="2604"/>
      <c r="AL149" s="2604"/>
      <c r="AM149" s="2604"/>
      <c r="AN149" s="2604"/>
      <c r="AO149" s="2604"/>
      <c r="AP149" s="2604"/>
      <c r="AQ149" s="2604"/>
      <c r="AR149" s="2604"/>
      <c r="AS149" s="2914"/>
      <c r="AT149" s="2915"/>
      <c r="AU149" s="2915"/>
      <c r="AV149" s="2915"/>
      <c r="AW149" s="2915"/>
      <c r="AX149" s="1529"/>
      <c r="AY149" s="1529"/>
      <c r="AZ149" s="1529"/>
      <c r="BA149" s="1529"/>
      <c r="BB149" s="1529"/>
      <c r="BC149" s="1529"/>
      <c r="BD149" s="1529"/>
      <c r="BE149" s="1535"/>
    </row>
    <row r="150" spans="1:57" ht="15.75" customHeight="1">
      <c r="A150" s="1818"/>
      <c r="B150" s="1529"/>
      <c r="C150" s="2853" t="s">
        <v>2127</v>
      </c>
      <c r="D150" s="2854"/>
      <c r="E150" s="2854"/>
      <c r="F150" s="2854"/>
      <c r="G150" s="2854"/>
      <c r="H150" s="2854"/>
      <c r="I150" s="2854"/>
      <c r="J150" s="2854"/>
      <c r="K150" s="2854"/>
      <c r="L150" s="2854"/>
      <c r="M150" s="2916"/>
      <c r="N150" s="2917">
        <f>'Sources and Uses Budget'!B104</f>
        <v>11931962</v>
      </c>
      <c r="O150" s="2917"/>
      <c r="P150" s="2917"/>
      <c r="Q150" s="2917"/>
      <c r="R150" s="2917"/>
      <c r="S150" s="2917"/>
      <c r="T150" s="2918"/>
      <c r="U150" s="2919"/>
      <c r="V150" s="2920"/>
      <c r="W150" s="2920"/>
      <c r="X150" s="2920"/>
      <c r="Y150" s="2920"/>
      <c r="Z150" s="2920"/>
      <c r="AA150" s="2920"/>
      <c r="AB150" s="2920"/>
      <c r="AC150" s="2920"/>
      <c r="AD150" s="2920"/>
      <c r="AE150" s="2921"/>
      <c r="AF150" s="1529"/>
      <c r="AG150" s="1529"/>
      <c r="AH150" s="2922" t="s">
        <v>2128</v>
      </c>
      <c r="AI150" s="2923"/>
      <c r="AJ150" s="2923"/>
      <c r="AK150" s="2923"/>
      <c r="AL150" s="2923"/>
      <c r="AM150" s="2923"/>
      <c r="AN150" s="2923"/>
      <c r="AO150" s="2923"/>
      <c r="AP150" s="2923"/>
      <c r="AQ150" s="2923"/>
      <c r="AR150" s="2923"/>
      <c r="AS150" s="2914"/>
      <c r="AT150" s="2915"/>
      <c r="AU150" s="2915"/>
      <c r="AV150" s="2915"/>
      <c r="AW150" s="2915"/>
      <c r="AX150" s="1529"/>
      <c r="AY150" s="1529"/>
      <c r="AZ150" s="1529"/>
      <c r="BA150" s="1529"/>
      <c r="BB150" s="1529"/>
      <c r="BC150" s="1529"/>
      <c r="BD150" s="1529"/>
      <c r="BE150" s="1535"/>
    </row>
    <row r="151" spans="1:57" ht="15.75" customHeight="1">
      <c r="A151" s="1818"/>
      <c r="B151" s="1529"/>
      <c r="C151" s="2853" t="s">
        <v>2129</v>
      </c>
      <c r="D151" s="2854"/>
      <c r="E151" s="2854"/>
      <c r="F151" s="2854"/>
      <c r="G151" s="2854"/>
      <c r="H151" s="2854"/>
      <c r="I151" s="2854"/>
      <c r="J151" s="2854"/>
      <c r="K151" s="2854"/>
      <c r="L151" s="2854"/>
      <c r="M151" s="2916"/>
      <c r="N151" s="2917">
        <f>N150/J29</f>
        <v>41430.423611111109</v>
      </c>
      <c r="O151" s="2917"/>
      <c r="P151" s="2917"/>
      <c r="Q151" s="2917"/>
      <c r="R151" s="2917"/>
      <c r="S151" s="2917"/>
      <c r="T151" s="2918"/>
      <c r="U151" s="1553"/>
      <c r="V151" s="1553"/>
      <c r="W151" s="1553"/>
      <c r="X151" s="1553"/>
      <c r="Y151" s="1553"/>
      <c r="Z151" s="1553"/>
      <c r="AA151" s="1553"/>
      <c r="AB151" s="1553"/>
      <c r="AC151" s="1553"/>
      <c r="AD151" s="1553"/>
      <c r="AE151" s="1554"/>
      <c r="AF151" s="1529"/>
      <c r="AG151" s="1529"/>
      <c r="AH151" s="2872" t="s">
        <v>2130</v>
      </c>
      <c r="AI151" s="2873"/>
      <c r="AJ151" s="2873"/>
      <c r="AK151" s="2873"/>
      <c r="AL151" s="2873"/>
      <c r="AM151" s="2873"/>
      <c r="AN151" s="2873"/>
      <c r="AO151" s="2873"/>
      <c r="AP151" s="2873"/>
      <c r="AQ151" s="2873"/>
      <c r="AR151" s="2874"/>
      <c r="AS151" s="2914"/>
      <c r="AT151" s="2915"/>
      <c r="AU151" s="2915"/>
      <c r="AV151" s="2915"/>
      <c r="AW151" s="2915"/>
      <c r="AX151" s="1529"/>
      <c r="AY151" s="1529"/>
      <c r="AZ151" s="1529"/>
      <c r="BA151" s="1529"/>
      <c r="BB151" s="1529"/>
      <c r="BC151" s="1529"/>
      <c r="BD151" s="1529"/>
      <c r="BE151" s="1535"/>
    </row>
    <row r="152" spans="1:57" ht="15.75" customHeight="1">
      <c r="A152" s="1818"/>
      <c r="B152" s="1529"/>
      <c r="C152" s="2940" t="s">
        <v>2131</v>
      </c>
      <c r="D152" s="2777"/>
      <c r="E152" s="2777"/>
      <c r="F152" s="2777"/>
      <c r="G152" s="2777"/>
      <c r="H152" s="2777"/>
      <c r="I152" s="2777"/>
      <c r="J152" s="2777"/>
      <c r="K152" s="2777"/>
      <c r="L152" s="2777"/>
      <c r="M152" s="2778"/>
      <c r="N152" s="2941"/>
      <c r="O152" s="2941"/>
      <c r="P152" s="2941"/>
      <c r="Q152" s="2941"/>
      <c r="R152" s="2941"/>
      <c r="S152" s="2941"/>
      <c r="T152" s="2942"/>
      <c r="U152" s="2947"/>
      <c r="V152" s="2948"/>
      <c r="W152" s="2948"/>
      <c r="X152" s="2948"/>
      <c r="Y152" s="2948"/>
      <c r="Z152" s="2948"/>
      <c r="AA152" s="2948"/>
      <c r="AB152" s="2948"/>
      <c r="AC152" s="2948"/>
      <c r="AD152" s="2948"/>
      <c r="AE152" s="2949"/>
      <c r="AF152" s="1529"/>
      <c r="AG152" s="1529"/>
      <c r="AH152" s="2919"/>
      <c r="AI152" s="2920"/>
      <c r="AJ152" s="2920"/>
      <c r="AK152" s="2920"/>
      <c r="AL152" s="2920"/>
      <c r="AM152" s="2920"/>
      <c r="AN152" s="2920"/>
      <c r="AO152" s="2920"/>
      <c r="AP152" s="2920"/>
      <c r="AQ152" s="2920"/>
      <c r="AR152" s="2943"/>
      <c r="AS152" s="2944"/>
      <c r="AT152" s="2945"/>
      <c r="AU152" s="2945"/>
      <c r="AV152" s="2945"/>
      <c r="AW152" s="2946"/>
      <c r="AX152" s="1529"/>
      <c r="AY152" s="1529"/>
      <c r="AZ152" s="1529"/>
      <c r="BA152" s="1529"/>
      <c r="BB152" s="1529"/>
      <c r="BC152" s="1529"/>
      <c r="BD152" s="1529"/>
      <c r="BE152" s="1535"/>
    </row>
    <row r="153" spans="1:57" ht="15.75" customHeight="1" thickBot="1">
      <c r="A153" s="1818"/>
      <c r="B153" s="1529"/>
      <c r="C153" s="2872" t="s">
        <v>2132</v>
      </c>
      <c r="D153" s="2873"/>
      <c r="E153" s="2873"/>
      <c r="F153" s="2873"/>
      <c r="G153" s="2873"/>
      <c r="H153" s="2873"/>
      <c r="I153" s="2873"/>
      <c r="J153" s="2873"/>
      <c r="K153" s="2873"/>
      <c r="L153" s="2873"/>
      <c r="M153" s="2930"/>
      <c r="N153" s="2931">
        <f>SUM('Sources and Uses Budget'!B85:B86)</f>
        <v>11776007</v>
      </c>
      <c r="O153" s="2931"/>
      <c r="P153" s="2931"/>
      <c r="Q153" s="2931"/>
      <c r="R153" s="2931"/>
      <c r="S153" s="2931"/>
      <c r="T153" s="2932"/>
      <c r="U153" s="2933"/>
      <c r="V153" s="2934"/>
      <c r="W153" s="2934"/>
      <c r="X153" s="2934"/>
      <c r="Y153" s="2934"/>
      <c r="Z153" s="2934"/>
      <c r="AA153" s="2934"/>
      <c r="AB153" s="2934"/>
      <c r="AC153" s="2934"/>
      <c r="AD153" s="2934"/>
      <c r="AE153" s="2935"/>
      <c r="AF153" s="1529"/>
      <c r="AG153" s="1529"/>
      <c r="AH153" s="2936" t="s">
        <v>2133</v>
      </c>
      <c r="AI153" s="2937"/>
      <c r="AJ153" s="2937"/>
      <c r="AK153" s="2937"/>
      <c r="AL153" s="2937"/>
      <c r="AM153" s="2937"/>
      <c r="AN153" s="2937"/>
      <c r="AO153" s="2937"/>
      <c r="AP153" s="2937"/>
      <c r="AQ153" s="2937"/>
      <c r="AR153" s="2937"/>
      <c r="AS153" s="2938">
        <f>SUM(AS149:AW151)</f>
        <v>0</v>
      </c>
      <c r="AT153" s="2939"/>
      <c r="AU153" s="2939"/>
      <c r="AV153" s="2939"/>
      <c r="AW153" s="2939"/>
      <c r="AX153" s="1529"/>
      <c r="AY153" s="1529"/>
      <c r="AZ153" s="1529"/>
      <c r="BA153" s="1529"/>
      <c r="BB153" s="1529"/>
      <c r="BC153" s="1529"/>
      <c r="BD153" s="1529"/>
      <c r="BE153" s="1535"/>
    </row>
    <row r="154" spans="1:57" ht="15.75" customHeight="1">
      <c r="A154" s="1818"/>
      <c r="B154" s="1529"/>
      <c r="C154" s="2872" t="s">
        <v>2134</v>
      </c>
      <c r="D154" s="2873"/>
      <c r="E154" s="2873"/>
      <c r="F154" s="2873"/>
      <c r="G154" s="2873"/>
      <c r="H154" s="2873"/>
      <c r="I154" s="2873"/>
      <c r="J154" s="2873"/>
      <c r="K154" s="2873"/>
      <c r="L154" s="2873"/>
      <c r="M154" s="2930"/>
      <c r="N154" s="2931">
        <f>'Sources and Uses Budget'!B8</f>
        <v>800000</v>
      </c>
      <c r="O154" s="2931"/>
      <c r="P154" s="2931"/>
      <c r="Q154" s="2931"/>
      <c r="R154" s="2931"/>
      <c r="S154" s="2931"/>
      <c r="T154" s="2932"/>
      <c r="U154" s="2933"/>
      <c r="V154" s="2934"/>
      <c r="W154" s="2934"/>
      <c r="X154" s="2934"/>
      <c r="Y154" s="2934"/>
      <c r="Z154" s="2934"/>
      <c r="AA154" s="2934"/>
      <c r="AB154" s="2934"/>
      <c r="AC154" s="2934"/>
      <c r="AD154" s="2934"/>
      <c r="AE154" s="29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2" t="s">
        <v>2135</v>
      </c>
      <c r="D155" s="2873"/>
      <c r="E155" s="2873"/>
      <c r="F155" s="2873"/>
      <c r="G155" s="2873"/>
      <c r="H155" s="2873"/>
      <c r="I155" s="2873"/>
      <c r="J155" s="2873"/>
      <c r="K155" s="2873"/>
      <c r="L155" s="2873"/>
      <c r="M155" s="2930"/>
      <c r="N155" s="2953"/>
      <c r="O155" s="2953"/>
      <c r="P155" s="2953"/>
      <c r="Q155" s="2953"/>
      <c r="R155" s="2953"/>
      <c r="S155" s="2953"/>
      <c r="T155" s="2954"/>
      <c r="U155" s="2933"/>
      <c r="V155" s="2934"/>
      <c r="W155" s="2934"/>
      <c r="X155" s="2934"/>
      <c r="Y155" s="2934"/>
      <c r="Z155" s="2934"/>
      <c r="AA155" s="2934"/>
      <c r="AB155" s="2934"/>
      <c r="AC155" s="2934"/>
      <c r="AD155" s="2934"/>
      <c r="AE155" s="29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2" t="s">
        <v>2128</v>
      </c>
      <c r="D156" s="2873"/>
      <c r="E156" s="2873"/>
      <c r="F156" s="2873"/>
      <c r="G156" s="2873"/>
      <c r="H156" s="2873"/>
      <c r="I156" s="2873"/>
      <c r="J156" s="2873"/>
      <c r="K156" s="2873"/>
      <c r="L156" s="2873"/>
      <c r="M156" s="2930"/>
      <c r="N156" s="2953"/>
      <c r="O156" s="2953"/>
      <c r="P156" s="2953"/>
      <c r="Q156" s="2953"/>
      <c r="R156" s="2953"/>
      <c r="S156" s="2953"/>
      <c r="T156" s="2954"/>
      <c r="U156" s="2933"/>
      <c r="V156" s="2934"/>
      <c r="W156" s="2934"/>
      <c r="X156" s="2934"/>
      <c r="Y156" s="2934"/>
      <c r="Z156" s="2934"/>
      <c r="AA156" s="2934"/>
      <c r="AB156" s="2934"/>
      <c r="AC156" s="2934"/>
      <c r="AD156" s="2934"/>
      <c r="AE156" s="29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0" t="s">
        <v>308</v>
      </c>
      <c r="D157" s="2951"/>
      <c r="E157" s="2894" t="s">
        <v>2118</v>
      </c>
      <c r="F157" s="2894"/>
      <c r="G157" s="2894"/>
      <c r="H157" s="2894"/>
      <c r="I157" s="2894"/>
      <c r="J157" s="2894"/>
      <c r="K157" s="2894"/>
      <c r="L157" s="2894"/>
      <c r="M157" s="2952"/>
      <c r="N157" s="2953"/>
      <c r="O157" s="2953"/>
      <c r="P157" s="2953"/>
      <c r="Q157" s="2953"/>
      <c r="R157" s="2953"/>
      <c r="S157" s="2953"/>
      <c r="T157" s="2954"/>
      <c r="U157" s="2933"/>
      <c r="V157" s="2934"/>
      <c r="W157" s="2934"/>
      <c r="X157" s="2934"/>
      <c r="Y157" s="2934"/>
      <c r="Z157" s="2934"/>
      <c r="AA157" s="2934"/>
      <c r="AB157" s="2934"/>
      <c r="AC157" s="2934"/>
      <c r="AD157" s="2934"/>
      <c r="AE157" s="29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7" t="s">
        <v>308</v>
      </c>
      <c r="D158" s="2948"/>
      <c r="E158" s="2894" t="s">
        <v>2118</v>
      </c>
      <c r="F158" s="2894"/>
      <c r="G158" s="2894"/>
      <c r="H158" s="2894"/>
      <c r="I158" s="2894"/>
      <c r="J158" s="2894"/>
      <c r="K158" s="2894"/>
      <c r="L158" s="2894"/>
      <c r="M158" s="2952"/>
      <c r="N158" s="2953"/>
      <c r="O158" s="2953"/>
      <c r="P158" s="2953"/>
      <c r="Q158" s="2953"/>
      <c r="R158" s="2953"/>
      <c r="S158" s="2953"/>
      <c r="T158" s="2954"/>
      <c r="U158" s="2933"/>
      <c r="V158" s="2934"/>
      <c r="W158" s="2934"/>
      <c r="X158" s="2934"/>
      <c r="Y158" s="2934"/>
      <c r="Z158" s="2934"/>
      <c r="AA158" s="2934"/>
      <c r="AB158" s="2934"/>
      <c r="AC158" s="2934"/>
      <c r="AD158" s="2934"/>
      <c r="AE158" s="29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6" t="s">
        <v>308</v>
      </c>
      <c r="D159" s="2967"/>
      <c r="E159" s="2900" t="s">
        <v>2118</v>
      </c>
      <c r="F159" s="2900"/>
      <c r="G159" s="2900"/>
      <c r="H159" s="2900"/>
      <c r="I159" s="2900"/>
      <c r="J159" s="2900"/>
      <c r="K159" s="2900"/>
      <c r="L159" s="2900"/>
      <c r="M159" s="2968"/>
      <c r="N159" s="2969"/>
      <c r="O159" s="2969"/>
      <c r="P159" s="2969"/>
      <c r="Q159" s="2969"/>
      <c r="R159" s="2969"/>
      <c r="S159" s="2969"/>
      <c r="T159" s="2970"/>
      <c r="U159" s="2971"/>
      <c r="V159" s="2972"/>
      <c r="W159" s="2972"/>
      <c r="X159" s="2972"/>
      <c r="Y159" s="2972"/>
      <c r="Z159" s="2972"/>
      <c r="AA159" s="2972"/>
      <c r="AB159" s="2972"/>
      <c r="AC159" s="2972"/>
      <c r="AD159" s="2972"/>
      <c r="AE159" s="297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4" t="s">
        <v>2136</v>
      </c>
      <c r="D160" s="2975"/>
      <c r="E160" s="2975"/>
      <c r="F160" s="2975"/>
      <c r="G160" s="2975"/>
      <c r="H160" s="2975"/>
      <c r="I160" s="2975"/>
      <c r="J160" s="2975"/>
      <c r="K160" s="2975"/>
      <c r="L160" s="2975"/>
      <c r="M160" s="2976"/>
      <c r="N160" s="2977">
        <f>SUM(N152:T159)</f>
        <v>12576007</v>
      </c>
      <c r="O160" s="2978"/>
      <c r="P160" s="2978"/>
      <c r="Q160" s="2978"/>
      <c r="R160" s="2978"/>
      <c r="S160" s="2978"/>
      <c r="T160" s="297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9" t="s">
        <v>2137</v>
      </c>
      <c r="D161" s="2780"/>
      <c r="E161" s="2780"/>
      <c r="F161" s="2780"/>
      <c r="G161" s="2780"/>
      <c r="H161" s="2780"/>
      <c r="I161" s="2780"/>
      <c r="J161" s="2780"/>
      <c r="K161" s="2780"/>
      <c r="L161" s="2780"/>
      <c r="M161" s="2780"/>
      <c r="N161" s="2955">
        <f>(N150-N160)/J29</f>
        <v>-2236.2673611111113</v>
      </c>
      <c r="O161" s="2955"/>
      <c r="P161" s="2955"/>
      <c r="Q161" s="2955"/>
      <c r="R161" s="2955"/>
      <c r="S161" s="2955"/>
      <c r="T161" s="295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7" t="s">
        <v>2138</v>
      </c>
      <c r="C164" s="2958"/>
      <c r="D164" s="2958"/>
      <c r="E164" s="2958"/>
      <c r="F164" s="2958"/>
      <c r="G164" s="2958"/>
      <c r="H164" s="2958"/>
      <c r="I164" s="2958"/>
      <c r="J164" s="2958"/>
      <c r="K164" s="2958"/>
      <c r="L164" s="2958"/>
      <c r="M164" s="2958"/>
      <c r="N164" s="2958"/>
      <c r="O164" s="2958"/>
      <c r="P164" s="2958"/>
      <c r="Q164" s="2958"/>
      <c r="R164" s="2958"/>
      <c r="S164" s="2958"/>
      <c r="T164" s="2958"/>
      <c r="U164" s="2958"/>
      <c r="V164" s="2958"/>
      <c r="W164" s="2958"/>
      <c r="X164" s="2958"/>
      <c r="Y164" s="2958"/>
      <c r="Z164" s="2958"/>
      <c r="AA164" s="2958"/>
      <c r="AB164" s="2958"/>
      <c r="AC164" s="2958"/>
      <c r="AD164" s="2958"/>
      <c r="AE164" s="2958"/>
      <c r="AF164" s="2958"/>
      <c r="AG164" s="2958"/>
      <c r="AH164" s="2958"/>
      <c r="AI164" s="2958"/>
      <c r="AJ164" s="2958"/>
      <c r="AK164" s="2958"/>
      <c r="AL164" s="2958"/>
      <c r="AM164" s="2958"/>
      <c r="AN164" s="2958"/>
      <c r="AO164" s="2958"/>
      <c r="AP164" s="2958"/>
      <c r="AQ164" s="2958"/>
      <c r="AR164" s="2958"/>
      <c r="AS164" s="2958"/>
      <c r="AT164" s="2958"/>
      <c r="AU164" s="2958"/>
      <c r="AV164" s="2958"/>
      <c r="AW164" s="2958"/>
      <c r="AX164" s="2958"/>
      <c r="AY164" s="2958"/>
      <c r="AZ164" s="2958"/>
      <c r="BA164" s="2958"/>
      <c r="BB164" s="2958"/>
      <c r="BC164" s="2958"/>
      <c r="BD164" s="2959"/>
      <c r="BE164" s="1535"/>
    </row>
    <row r="165" spans="1:57" ht="15.75" customHeight="1">
      <c r="A165" s="1818"/>
      <c r="B165" s="2960"/>
      <c r="C165" s="2961"/>
      <c r="D165" s="2961"/>
      <c r="E165" s="2961"/>
      <c r="F165" s="2961"/>
      <c r="G165" s="2961"/>
      <c r="H165" s="2961"/>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61"/>
      <c r="AD165" s="2961"/>
      <c r="AE165" s="2961"/>
      <c r="AF165" s="2961"/>
      <c r="AG165" s="2961"/>
      <c r="AH165" s="2961"/>
      <c r="AI165" s="2961"/>
      <c r="AJ165" s="2961"/>
      <c r="AK165" s="2961"/>
      <c r="AL165" s="2961"/>
      <c r="AM165" s="2961"/>
      <c r="AN165" s="2961"/>
      <c r="AO165" s="2961"/>
      <c r="AP165" s="2961"/>
      <c r="AQ165" s="2961"/>
      <c r="AR165" s="2961"/>
      <c r="AS165" s="2961"/>
      <c r="AT165" s="2961"/>
      <c r="AU165" s="2961"/>
      <c r="AV165" s="2961"/>
      <c r="AW165" s="2961"/>
      <c r="AX165" s="2961"/>
      <c r="AY165" s="2961"/>
      <c r="AZ165" s="2961"/>
      <c r="BA165" s="2961"/>
      <c r="BB165" s="2961"/>
      <c r="BC165" s="2961"/>
      <c r="BD165" s="2962"/>
      <c r="BE165" s="1535"/>
    </row>
    <row r="166" spans="1:57" ht="15.75" customHeight="1">
      <c r="A166" s="1818"/>
      <c r="B166" s="2963" t="s">
        <v>2139</v>
      </c>
      <c r="C166" s="2964"/>
      <c r="D166" s="2964"/>
      <c r="E166" s="2964"/>
      <c r="F166" s="2964"/>
      <c r="G166" s="2964"/>
      <c r="H166" s="2964"/>
      <c r="I166" s="2964"/>
      <c r="J166" s="2964"/>
      <c r="K166" s="2964"/>
      <c r="L166" s="2964"/>
      <c r="M166" s="2964"/>
      <c r="N166" s="2964"/>
      <c r="O166" s="2964"/>
      <c r="P166" s="2964"/>
      <c r="Q166" s="2964"/>
      <c r="R166" s="2964"/>
      <c r="S166" s="2964"/>
      <c r="T166" s="2964"/>
      <c r="U166" s="2964"/>
      <c r="V166" s="2964"/>
      <c r="W166" s="2964"/>
      <c r="X166" s="2964"/>
      <c r="Y166" s="2964"/>
      <c r="Z166" s="2964"/>
      <c r="AA166" s="2964"/>
      <c r="AB166" s="2964"/>
      <c r="AC166" s="2964"/>
      <c r="AD166" s="2964"/>
      <c r="AE166" s="2964"/>
      <c r="AF166" s="2964"/>
      <c r="AG166" s="2964"/>
      <c r="AH166" s="2964"/>
      <c r="AI166" s="2964"/>
      <c r="AJ166" s="2964"/>
      <c r="AK166" s="2964"/>
      <c r="AL166" s="2964"/>
      <c r="AM166" s="2964"/>
      <c r="AN166" s="2964"/>
      <c r="AO166" s="2964"/>
      <c r="AP166" s="2964"/>
      <c r="AQ166" s="2964"/>
      <c r="AR166" s="2964"/>
      <c r="AS166" s="2964"/>
      <c r="AT166" s="2964"/>
      <c r="AU166" s="2964"/>
      <c r="AV166" s="2964"/>
      <c r="AW166" s="2964"/>
      <c r="AX166" s="2964"/>
      <c r="AY166" s="2964"/>
      <c r="AZ166" s="2964"/>
      <c r="BA166" s="2964"/>
      <c r="BB166" s="2964"/>
      <c r="BC166" s="2964"/>
      <c r="BD166" s="2965"/>
      <c r="BE166" s="1535"/>
    </row>
    <row r="167" spans="1:57" ht="15.75" customHeight="1">
      <c r="A167" s="1818"/>
      <c r="B167" s="2963" t="s">
        <v>2140</v>
      </c>
      <c r="C167" s="2964"/>
      <c r="D167" s="2964"/>
      <c r="E167" s="2964"/>
      <c r="F167" s="2964"/>
      <c r="G167" s="2964"/>
      <c r="H167" s="2964"/>
      <c r="I167" s="2964"/>
      <c r="J167" s="2964"/>
      <c r="K167" s="2964"/>
      <c r="L167" s="2964"/>
      <c r="M167" s="2964"/>
      <c r="N167" s="2964"/>
      <c r="O167" s="2964"/>
      <c r="P167" s="2964"/>
      <c r="Q167" s="2964"/>
      <c r="R167" s="2964"/>
      <c r="S167" s="2964"/>
      <c r="T167" s="2964"/>
      <c r="U167" s="2964"/>
      <c r="V167" s="2964"/>
      <c r="W167" s="2964"/>
      <c r="X167" s="2964"/>
      <c r="Y167" s="2964"/>
      <c r="Z167" s="2964"/>
      <c r="AA167" s="2964"/>
      <c r="AB167" s="2964"/>
      <c r="AC167" s="2964"/>
      <c r="AD167" s="2964"/>
      <c r="AE167" s="2964"/>
      <c r="AF167" s="2964"/>
      <c r="AG167" s="2964"/>
      <c r="AH167" s="2964"/>
      <c r="AI167" s="2964"/>
      <c r="AJ167" s="2964"/>
      <c r="AK167" s="2964"/>
      <c r="AL167" s="2964"/>
      <c r="AM167" s="2964"/>
      <c r="AN167" s="2964"/>
      <c r="AO167" s="2964"/>
      <c r="AP167" s="2964"/>
      <c r="AQ167" s="2964"/>
      <c r="AR167" s="2964"/>
      <c r="AS167" s="2964"/>
      <c r="AT167" s="2964"/>
      <c r="AU167" s="2964"/>
      <c r="AV167" s="2964"/>
      <c r="AW167" s="2964"/>
      <c r="AX167" s="2964"/>
      <c r="AY167" s="2964"/>
      <c r="AZ167" s="2964"/>
      <c r="BA167" s="2964"/>
      <c r="BB167" s="2964"/>
      <c r="BC167" s="2964"/>
      <c r="BD167" s="296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6" t="s">
        <v>2141</v>
      </c>
      <c r="C169" s="2987"/>
      <c r="D169" s="2987"/>
      <c r="E169" s="2987"/>
      <c r="F169" s="2987"/>
      <c r="G169" s="2987"/>
      <c r="H169" s="2987"/>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7"/>
      <c r="AD169" s="2987"/>
      <c r="AE169" s="2987"/>
      <c r="AF169" s="2987"/>
      <c r="AG169" s="2987"/>
      <c r="AH169" s="2987"/>
      <c r="AI169" s="2987"/>
      <c r="AJ169" s="2987"/>
      <c r="AK169" s="2987"/>
      <c r="AL169" s="2987"/>
      <c r="AM169" s="2987"/>
      <c r="AN169" s="2987"/>
      <c r="AO169" s="2987"/>
      <c r="AP169" s="2987"/>
      <c r="AQ169" s="2987"/>
      <c r="AR169" s="2987"/>
      <c r="AS169" s="2987"/>
      <c r="AT169" s="2987"/>
      <c r="AU169" s="2987"/>
      <c r="AV169" s="2987"/>
      <c r="AW169" s="2987"/>
      <c r="AX169" s="2987"/>
      <c r="AY169" s="2987"/>
      <c r="AZ169" s="2987"/>
      <c r="BA169" s="2987"/>
      <c r="BB169" s="2987"/>
      <c r="BC169" s="2987"/>
      <c r="BD169" s="298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9" t="s">
        <v>2143</v>
      </c>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0" t="s">
        <v>2144</v>
      </c>
      <c r="I175" s="2990"/>
      <c r="J175" s="2990"/>
      <c r="K175" s="2990"/>
      <c r="L175" s="2990"/>
      <c r="M175" s="2990"/>
      <c r="N175" s="2990"/>
      <c r="O175" s="2990"/>
      <c r="P175" s="2990"/>
      <c r="Q175" s="2990"/>
      <c r="R175" s="2990"/>
      <c r="S175" s="2990"/>
      <c r="T175" s="2990"/>
      <c r="U175" s="2990"/>
      <c r="V175" s="2990"/>
      <c r="W175" s="2990"/>
      <c r="X175" s="2990"/>
      <c r="Y175" s="2990"/>
      <c r="Z175" s="2990"/>
      <c r="AA175" s="2990"/>
      <c r="AB175" s="2990"/>
      <c r="AC175" s="2990"/>
      <c r="AD175" s="2990"/>
      <c r="AE175" s="2990"/>
      <c r="AF175" s="2990"/>
      <c r="AG175" s="2990"/>
      <c r="AH175" s="2990"/>
      <c r="AI175" s="2990"/>
      <c r="AJ175" s="2990"/>
      <c r="AK175" s="2990"/>
      <c r="AL175" s="2990"/>
      <c r="AM175" s="2990"/>
      <c r="AN175" s="2990"/>
      <c r="AO175" s="2990"/>
      <c r="AP175" s="2990"/>
      <c r="AQ175" s="2990"/>
      <c r="AR175" s="2990"/>
      <c r="AS175" s="2990"/>
      <c r="AT175" s="2990"/>
      <c r="AU175" s="2990"/>
      <c r="AV175" s="2990"/>
      <c r="AW175" s="2990"/>
      <c r="AX175" s="2990"/>
      <c r="AY175" s="2990"/>
      <c r="AZ175" s="2990"/>
      <c r="BA175" s="1555"/>
      <c r="BB175" s="1555"/>
      <c r="BC175" s="1555"/>
      <c r="BD175" s="1535"/>
      <c r="BE175" s="1535"/>
    </row>
    <row r="176" spans="1:57" ht="15.75" customHeight="1">
      <c r="A176" s="1818"/>
      <c r="B176" s="1528"/>
      <c r="C176" s="1555"/>
      <c r="D176" s="1555"/>
      <c r="E176" s="1555"/>
      <c r="F176" s="1555"/>
      <c r="G176" s="1555"/>
      <c r="H176" s="2990"/>
      <c r="I176" s="2990"/>
      <c r="J176" s="2990"/>
      <c r="K176" s="2990"/>
      <c r="L176" s="2990"/>
      <c r="M176" s="2990"/>
      <c r="N176" s="2990"/>
      <c r="O176" s="2990"/>
      <c r="P176" s="2990"/>
      <c r="Q176" s="2990"/>
      <c r="R176" s="2990"/>
      <c r="S176" s="2990"/>
      <c r="T176" s="2990"/>
      <c r="U176" s="2990"/>
      <c r="V176" s="2990"/>
      <c r="W176" s="2990"/>
      <c r="X176" s="2990"/>
      <c r="Y176" s="2990"/>
      <c r="Z176" s="2990"/>
      <c r="AA176" s="2990"/>
      <c r="AB176" s="2990"/>
      <c r="AC176" s="2990"/>
      <c r="AD176" s="2990"/>
      <c r="AE176" s="2990"/>
      <c r="AF176" s="2990"/>
      <c r="AG176" s="2990"/>
      <c r="AH176" s="2990"/>
      <c r="AI176" s="2990"/>
      <c r="AJ176" s="2990"/>
      <c r="AK176" s="2990"/>
      <c r="AL176" s="2990"/>
      <c r="AM176" s="2990"/>
      <c r="AN176" s="2990"/>
      <c r="AO176" s="2990"/>
      <c r="AP176" s="2990"/>
      <c r="AQ176" s="2990"/>
      <c r="AR176" s="2990"/>
      <c r="AS176" s="2990"/>
      <c r="AT176" s="2990"/>
      <c r="AU176" s="2990"/>
      <c r="AV176" s="2990"/>
      <c r="AW176" s="2990"/>
      <c r="AX176" s="2990"/>
      <c r="AY176" s="2990"/>
      <c r="AZ176" s="2990"/>
      <c r="BA176" s="1555"/>
      <c r="BB176" s="1555"/>
      <c r="BC176" s="1555"/>
      <c r="BD176" s="1535"/>
      <c r="BE176" s="1535"/>
    </row>
    <row r="177" spans="1:57" ht="15.75" customHeight="1">
      <c r="A177" s="1818"/>
      <c r="B177" s="1528"/>
      <c r="C177" s="1555"/>
      <c r="D177" s="1555"/>
      <c r="E177" s="1555"/>
      <c r="F177" s="1555"/>
      <c r="G177" s="1555"/>
      <c r="H177" s="2990"/>
      <c r="I177" s="2990"/>
      <c r="J177" s="2990"/>
      <c r="K177" s="2990"/>
      <c r="L177" s="2990"/>
      <c r="M177" s="2990"/>
      <c r="N177" s="2990"/>
      <c r="O177" s="2990"/>
      <c r="P177" s="2990"/>
      <c r="Q177" s="2990"/>
      <c r="R177" s="2990"/>
      <c r="S177" s="2990"/>
      <c r="T177" s="2990"/>
      <c r="U177" s="2990"/>
      <c r="V177" s="2990"/>
      <c r="W177" s="2990"/>
      <c r="X177" s="2990"/>
      <c r="Y177" s="2990"/>
      <c r="Z177" s="2990"/>
      <c r="AA177" s="2990"/>
      <c r="AB177" s="2990"/>
      <c r="AC177" s="2990"/>
      <c r="AD177" s="2990"/>
      <c r="AE177" s="2990"/>
      <c r="AF177" s="2990"/>
      <c r="AG177" s="2990"/>
      <c r="AH177" s="2990"/>
      <c r="AI177" s="2990"/>
      <c r="AJ177" s="2990"/>
      <c r="AK177" s="2990"/>
      <c r="AL177" s="2990"/>
      <c r="AM177" s="2990"/>
      <c r="AN177" s="2990"/>
      <c r="AO177" s="2990"/>
      <c r="AP177" s="2990"/>
      <c r="AQ177" s="2990"/>
      <c r="AR177" s="2990"/>
      <c r="AS177" s="2990"/>
      <c r="AT177" s="2990"/>
      <c r="AU177" s="2990"/>
      <c r="AV177" s="2990"/>
      <c r="AW177" s="2990"/>
      <c r="AX177" s="2990"/>
      <c r="AY177" s="2990"/>
      <c r="AZ177" s="299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1" t="s">
        <v>2145</v>
      </c>
      <c r="I180" s="2991"/>
      <c r="J180" s="2991"/>
      <c r="K180" s="2991"/>
      <c r="L180" s="2991"/>
      <c r="M180" s="2991"/>
      <c r="N180" s="2991"/>
      <c r="O180" s="2991"/>
      <c r="P180" s="2991"/>
      <c r="Q180" s="2991"/>
      <c r="R180" s="2991"/>
      <c r="S180" s="2991"/>
      <c r="T180" s="2991"/>
      <c r="U180" s="2991"/>
      <c r="V180" s="2991"/>
      <c r="W180" s="2991"/>
      <c r="X180" s="2991"/>
      <c r="Y180" s="2991"/>
      <c r="Z180" s="2991"/>
      <c r="AA180" s="2991"/>
      <c r="AB180" s="2991"/>
      <c r="AC180" s="2991"/>
      <c r="AD180" s="2991"/>
      <c r="AE180" s="2991"/>
      <c r="AF180" s="2991"/>
      <c r="AG180" s="2991"/>
      <c r="AH180" s="2991"/>
      <c r="AI180" s="2991"/>
      <c r="AJ180" s="2991"/>
      <c r="AK180" s="2991"/>
      <c r="AL180" s="2991"/>
      <c r="AM180" s="2991"/>
      <c r="AN180" s="2991"/>
      <c r="AO180" s="2991"/>
      <c r="AP180" s="2991"/>
      <c r="AQ180" s="2991"/>
      <c r="AR180" s="2991"/>
      <c r="AS180" s="2991"/>
      <c r="AT180" s="2991"/>
      <c r="AU180" s="2991"/>
      <c r="AV180" s="299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4" t="s">
        <v>2146</v>
      </c>
      <c r="I182" s="2984"/>
      <c r="J182" s="2984"/>
      <c r="K182" s="2984"/>
      <c r="L182" s="1564"/>
      <c r="M182" s="1564"/>
      <c r="N182" s="1564"/>
      <c r="O182" s="1564"/>
      <c r="P182" s="1564"/>
      <c r="Q182" s="1564"/>
      <c r="R182" s="1564"/>
      <c r="S182" s="2981"/>
      <c r="T182" s="2982"/>
      <c r="U182" s="2982"/>
      <c r="V182" s="2982"/>
      <c r="W182" s="2982"/>
      <c r="X182" s="2982"/>
      <c r="Y182" s="2982"/>
      <c r="Z182" s="2982"/>
      <c r="AA182" s="2982"/>
      <c r="AB182" s="2982"/>
      <c r="AC182" s="2982"/>
      <c r="AD182" s="2982"/>
      <c r="AE182" s="2982"/>
      <c r="AF182" s="2982"/>
      <c r="AG182" s="2982"/>
      <c r="AH182" s="2982"/>
      <c r="AI182" s="2982"/>
      <c r="AJ182" s="298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4" t="s">
        <v>2147</v>
      </c>
      <c r="I184" s="2984"/>
      <c r="J184" s="2984"/>
      <c r="K184" s="1566"/>
      <c r="L184" s="1564"/>
      <c r="M184" s="1564"/>
      <c r="N184" s="1564"/>
      <c r="O184" s="1564"/>
      <c r="P184" s="1564"/>
      <c r="Q184" s="1564"/>
      <c r="R184" s="1564"/>
      <c r="S184" s="2981"/>
      <c r="T184" s="2982"/>
      <c r="U184" s="2982"/>
      <c r="V184" s="2982"/>
      <c r="W184" s="2982"/>
      <c r="X184" s="2982"/>
      <c r="Y184" s="2982"/>
      <c r="Z184" s="2982"/>
      <c r="AA184" s="2982"/>
      <c r="AB184" s="2982"/>
      <c r="AC184" s="2982"/>
      <c r="AD184" s="2982"/>
      <c r="AE184" s="2982"/>
      <c r="AF184" s="2982"/>
      <c r="AG184" s="2982"/>
      <c r="AH184" s="2982"/>
      <c r="AI184" s="2982"/>
      <c r="AJ184" s="298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4" t="s">
        <v>463</v>
      </c>
      <c r="I186" s="2984"/>
      <c r="J186" s="1566"/>
      <c r="K186" s="1566"/>
      <c r="L186" s="1564"/>
      <c r="M186" s="1564"/>
      <c r="N186" s="1564"/>
      <c r="O186" s="1564"/>
      <c r="P186" s="1564"/>
      <c r="Q186" s="1564"/>
      <c r="R186" s="1564"/>
      <c r="S186" s="2981"/>
      <c r="T186" s="2982"/>
      <c r="U186" s="2982"/>
      <c r="V186" s="2982"/>
      <c r="W186" s="2982"/>
      <c r="X186" s="2982"/>
      <c r="Y186" s="2982"/>
      <c r="Z186" s="2982"/>
      <c r="AA186" s="2982"/>
      <c r="AB186" s="2982"/>
      <c r="AC186" s="2982"/>
      <c r="AD186" s="2982"/>
      <c r="AE186" s="2982"/>
      <c r="AF186" s="2982"/>
      <c r="AG186" s="2982"/>
      <c r="AH186" s="2982"/>
      <c r="AI186" s="2982"/>
      <c r="AJ186" s="298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5" t="s">
        <v>2148</v>
      </c>
      <c r="I188" s="2985"/>
      <c r="J188" s="2985"/>
      <c r="K188" s="2985"/>
      <c r="L188" s="2985"/>
      <c r="M188" s="2985"/>
      <c r="N188" s="2985"/>
      <c r="O188" s="2985"/>
      <c r="P188" s="1564"/>
      <c r="Q188" s="1564"/>
      <c r="R188" s="1564"/>
      <c r="S188" s="2981"/>
      <c r="T188" s="2982"/>
      <c r="U188" s="2982"/>
      <c r="V188" s="2982"/>
      <c r="W188" s="2982"/>
      <c r="X188" s="2982"/>
      <c r="Y188" s="2982"/>
      <c r="Z188" s="2982"/>
      <c r="AA188" s="2982"/>
      <c r="AB188" s="2982"/>
      <c r="AC188" s="2982"/>
      <c r="AD188" s="2982"/>
      <c r="AE188" s="2982"/>
      <c r="AF188" s="2982"/>
      <c r="AG188" s="2982"/>
      <c r="AH188" s="2982"/>
      <c r="AI188" s="2982"/>
      <c r="AJ188" s="298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0" t="s">
        <v>2149</v>
      </c>
      <c r="I190" s="2980"/>
      <c r="J190" s="1564"/>
      <c r="K190" s="1564"/>
      <c r="L190" s="1564"/>
      <c r="M190" s="1564"/>
      <c r="N190" s="1564"/>
      <c r="O190" s="1564"/>
      <c r="P190" s="1564"/>
      <c r="Q190" s="1564"/>
      <c r="R190" s="1564"/>
      <c r="S190" s="2981"/>
      <c r="T190" s="2982"/>
      <c r="U190" s="2982"/>
      <c r="V190" s="2982"/>
      <c r="W190" s="2982"/>
      <c r="X190" s="2982"/>
      <c r="Y190" s="2982"/>
      <c r="Z190" s="2982"/>
      <c r="AA190" s="2982"/>
      <c r="AB190" s="2982"/>
      <c r="AC190" s="2982"/>
      <c r="AD190" s="2982"/>
      <c r="AE190" s="2982"/>
      <c r="AF190" s="2982"/>
      <c r="AG190" s="2982"/>
      <c r="AH190" s="2982"/>
      <c r="AI190" s="2982"/>
      <c r="AJ190" s="298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8" t="s">
        <v>1558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7"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4" t="s">
        <v>1563</v>
      </c>
      <c r="AF7" s="3214"/>
      <c r="AG7" s="3214"/>
      <c r="AH7" s="3214"/>
      <c r="AI7" s="3214"/>
      <c r="AJ7" s="3214"/>
      <c r="AK7" s="3214"/>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3" t="s">
        <v>625</v>
      </c>
      <c r="C12" s="3223"/>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0"/>
      <c r="AH12" s="3240"/>
      <c r="AI12" s="3240"/>
      <c r="AJ12" s="324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3" t="s">
        <v>625</v>
      </c>
      <c r="C15" s="3223"/>
      <c r="D15" s="940"/>
      <c r="E15" s="3242" t="s">
        <v>1566</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3"/>
      <c r="AL15" s="933"/>
      <c r="AM15" s="933"/>
      <c r="AN15" s="929"/>
      <c r="AO15" s="943">
        <f>IF($B24="yes",20,0)</f>
        <v>0</v>
      </c>
      <c r="AP15" s="51"/>
    </row>
    <row r="16" spans="1:42" s="930" customFormat="1" ht="12.75" customHeight="1">
      <c r="A16" s="933"/>
      <c r="B16" s="933"/>
      <c r="C16" s="933"/>
      <c r="D16" s="944"/>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3"/>
      <c r="AL16" s="933"/>
      <c r="AM16" s="933"/>
      <c r="AN16" s="929"/>
      <c r="AO16" s="930">
        <f>IF(SUM(AO12:AO15)&gt;20,20,(SUM(AO12:AO15)))</f>
        <v>0</v>
      </c>
      <c r="AP16" s="930" t="s">
        <v>1567</v>
      </c>
    </row>
    <row r="17" spans="1:42" s="930" customFormat="1" ht="12.75" customHeight="1">
      <c r="A17" s="933"/>
      <c r="B17" s="933"/>
      <c r="C17" s="933"/>
      <c r="D17" s="944"/>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3" t="s">
        <v>625</v>
      </c>
      <c r="C21" s="3223"/>
      <c r="D21" s="940"/>
      <c r="E21" s="3252" t="s">
        <v>1569</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3"/>
      <c r="AL21" s="933"/>
      <c r="AM21" s="933"/>
      <c r="AN21" s="929"/>
      <c r="AO21" s="930">
        <f>SUM(AO20)</f>
        <v>0</v>
      </c>
      <c r="AP21" s="930" t="s">
        <v>1567</v>
      </c>
    </row>
    <row r="22" spans="1:42" s="930" customFormat="1" ht="12.75" customHeight="1">
      <c r="A22" s="933"/>
      <c r="B22" s="933"/>
      <c r="C22" s="933"/>
      <c r="D22" s="943"/>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3" t="s">
        <v>625</v>
      </c>
      <c r="C24" s="3223"/>
      <c r="D24" s="940"/>
      <c r="E24" s="3154" t="s">
        <v>1570</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33"/>
      <c r="AL24" s="933"/>
      <c r="AM24" s="933"/>
      <c r="AN24" s="929"/>
      <c r="AO24" s="943">
        <f>IF($B39="yes",6,0)</f>
        <v>0</v>
      </c>
    </row>
    <row r="25" spans="1:42" s="930" customFormat="1" ht="12.75" customHeight="1">
      <c r="A25" s="933"/>
      <c r="B25" s="933"/>
      <c r="C25" s="933"/>
      <c r="D25" s="943"/>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3" t="s">
        <v>625</v>
      </c>
      <c r="C29" s="3223"/>
      <c r="D29" s="940"/>
      <c r="E29" s="3154" t="s">
        <v>1572</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33"/>
      <c r="AL29" s="933"/>
      <c r="AM29" s="933"/>
      <c r="AN29" s="929"/>
      <c r="AO29" s="943">
        <f>IF($B49="yes",6,0)</f>
        <v>0</v>
      </c>
    </row>
    <row r="30" spans="1:42" s="930" customFormat="1" ht="12.75" customHeight="1">
      <c r="A30" s="933"/>
      <c r="B30" s="933"/>
      <c r="C30" s="933"/>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33"/>
      <c r="AL30" s="933"/>
      <c r="AM30" s="933"/>
      <c r="AN30" s="929"/>
      <c r="AO30" s="930">
        <f>IF(SUM(AO23:AO29)&gt;6,6,(SUM(AO23:AO29)))</f>
        <v>0</v>
      </c>
      <c r="AP30" s="930" t="s">
        <v>1567</v>
      </c>
    </row>
    <row r="31" spans="1:42" s="930" customFormat="1" ht="12.75" customHeight="1">
      <c r="A31" s="933"/>
      <c r="B31" s="933"/>
      <c r="C31" s="933"/>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8" t="s">
        <v>2399</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3"/>
      <c r="AM34" s="933"/>
      <c r="AN34" s="929"/>
    </row>
    <row r="35" spans="1:41" s="930" customFormat="1" ht="12.75" customHeight="1">
      <c r="A35" s="933"/>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3" t="s">
        <v>625</v>
      </c>
      <c r="C37" s="3223"/>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3" t="s">
        <v>625</v>
      </c>
      <c r="C39" s="3223"/>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3" t="s">
        <v>625</v>
      </c>
      <c r="C41" s="3223"/>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3" t="s">
        <v>625</v>
      </c>
      <c r="C43" s="3223"/>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3" t="s">
        <v>625</v>
      </c>
      <c r="C45" s="3223"/>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3" t="s">
        <v>625</v>
      </c>
      <c r="C47" s="3223"/>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3" t="s">
        <v>625</v>
      </c>
      <c r="C49" s="3223"/>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8">
        <f>AO32</f>
        <v>0</v>
      </c>
      <c r="AL51" s="3199"/>
      <c r="AM51" s="320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4" t="s">
        <v>1584</v>
      </c>
      <c r="AF54" s="3214"/>
      <c r="AG54" s="3214"/>
      <c r="AH54" s="3214"/>
      <c r="AI54" s="3214"/>
      <c r="AJ54" s="3214"/>
      <c r="AK54" s="3214"/>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3" t="s">
        <v>625</v>
      </c>
      <c r="C57" s="3223"/>
      <c r="D57" s="940" t="s">
        <v>1585</v>
      </c>
      <c r="E57" s="3242" t="s">
        <v>2238</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6"/>
      <c r="AL57" s="933"/>
      <c r="AM57" s="933"/>
      <c r="AN57" s="929"/>
      <c r="AO57" s="943">
        <f>IF($B57="yes",10,0)</f>
        <v>0</v>
      </c>
    </row>
    <row r="58" spans="1:50" s="930" customFormat="1" ht="12.75" customHeight="1">
      <c r="A58" s="931"/>
      <c r="B58" s="933"/>
      <c r="C58" s="933"/>
      <c r="D58" s="944"/>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6"/>
      <c r="AL58" s="933"/>
      <c r="AM58" s="933"/>
      <c r="AN58" s="929"/>
      <c r="AO58" s="943">
        <f>IF($B62="yes",10,0)</f>
        <v>10</v>
      </c>
    </row>
    <row r="59" spans="1:50" s="930" customFormat="1" ht="12.75" customHeight="1">
      <c r="A59" s="931"/>
      <c r="B59" s="933"/>
      <c r="C59" s="933"/>
      <c r="D59" s="944"/>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6"/>
      <c r="AL59" s="933"/>
      <c r="AM59" s="933"/>
      <c r="AN59" s="929"/>
      <c r="AO59" s="943">
        <f>IF($B69="yes",10,0)</f>
        <v>0</v>
      </c>
    </row>
    <row r="60" spans="1:50" s="930" customFormat="1" ht="12.75" customHeight="1">
      <c r="A60" s="931"/>
      <c r="B60" s="933"/>
      <c r="C60" s="933"/>
      <c r="D60" s="944"/>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3" t="s">
        <v>577</v>
      </c>
      <c r="C62" s="3223"/>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7" t="s">
        <v>625</v>
      </c>
      <c r="F63" s="3223"/>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1" t="s">
        <v>625</v>
      </c>
      <c r="F64" s="322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1" t="s">
        <v>625</v>
      </c>
      <c r="F65" s="322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7" t="s">
        <v>577</v>
      </c>
      <c r="F67" s="3223"/>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3" t="s">
        <v>625</v>
      </c>
      <c r="C69" s="3223"/>
      <c r="D69" s="940" t="s">
        <v>1590</v>
      </c>
      <c r="E69" s="3154" t="s">
        <v>2239</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6"/>
      <c r="AL69" s="933"/>
      <c r="AM69" s="933"/>
      <c r="AN69" s="929"/>
    </row>
    <row r="70" spans="1:40" s="930" customFormat="1" ht="12.75" customHeight="1">
      <c r="A70" s="931"/>
      <c r="B70" s="933"/>
      <c r="C70" s="933"/>
      <c r="D70" s="943"/>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8">
        <f>IF(AK51&gt;0,0,AO60)</f>
        <v>10</v>
      </c>
      <c r="AL72" s="3199"/>
      <c r="AM72" s="320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4" t="s">
        <v>1563</v>
      </c>
      <c r="AF75" s="3214"/>
      <c r="AG75" s="3214"/>
      <c r="AH75" s="3214"/>
      <c r="AI75" s="3214"/>
      <c r="AJ75" s="3214"/>
      <c r="AK75" s="3214"/>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3" t="s">
        <v>625</v>
      </c>
      <c r="C78" s="3223"/>
      <c r="D78" s="940" t="s">
        <v>1585</v>
      </c>
      <c r="E78" s="3230" t="s">
        <v>1595</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6"/>
      <c r="AL78" s="933"/>
      <c r="AM78" s="933"/>
      <c r="AN78" s="929"/>
    </row>
    <row r="79" spans="1:40" s="930" customFormat="1" ht="12.75" customHeight="1">
      <c r="A79" s="931"/>
      <c r="B79" s="932"/>
      <c r="C79" s="932"/>
      <c r="D79" s="932"/>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2">
        <f>Application!AH753</f>
        <v>0.59824561403508758</v>
      </c>
      <c r="F81" s="3213"/>
      <c r="G81" s="3213"/>
      <c r="H81" s="321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6">
        <f>0.6-ROUNDUP(E81,2)</f>
        <v>0</v>
      </c>
      <c r="F82" s="3237"/>
      <c r="G82" s="3237"/>
      <c r="H82" s="3237"/>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8">
        <f>IF(E82*200&gt;20,20,E82*200)</f>
        <v>0</v>
      </c>
      <c r="F83" s="3229"/>
      <c r="G83" s="3229"/>
      <c r="H83" s="322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3" t="s">
        <v>577</v>
      </c>
      <c r="C86" s="3223"/>
      <c r="D86" s="940" t="s">
        <v>1587</v>
      </c>
      <c r="E86" s="3230" t="s">
        <v>2223</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6"/>
      <c r="AL86" s="933"/>
      <c r="AM86" s="933"/>
      <c r="AN86" s="929"/>
    </row>
    <row r="87" spans="1:47" s="930" customFormat="1" ht="12.75" customHeight="1">
      <c r="A87" s="931"/>
      <c r="B87" s="932"/>
      <c r="C87" s="932"/>
      <c r="D87" s="932"/>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6"/>
      <c r="AL87" s="933"/>
      <c r="AM87" s="933"/>
      <c r="AN87" s="929"/>
    </row>
    <row r="88" spans="1:47" s="930" customFormat="1" ht="12.75" customHeight="1">
      <c r="A88" s="931"/>
      <c r="B88" s="932"/>
      <c r="C88" s="932"/>
      <c r="D88" s="932"/>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6"/>
      <c r="AL88" s="933"/>
      <c r="AM88" s="933"/>
      <c r="AN88" s="929"/>
    </row>
    <row r="89" spans="1:47" s="930" customFormat="1" ht="12.75" customHeight="1">
      <c r="A89" s="931"/>
      <c r="B89" s="932"/>
      <c r="C89" s="932"/>
      <c r="D89" s="932"/>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2">
        <f>Application!AH753</f>
        <v>0.59824561403508758</v>
      </c>
      <c r="F91" s="3213"/>
      <c r="G91" s="3213"/>
      <c r="H91" s="321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2">
        <f ca="1">SUMIF(Application!AH728:AL752,0.2,Application!G728:J752)/Application!G753+SUMIF(Application!AH728:AL752,0.25,Application!G728:J752)/Application!G753+SUMIF(Application!AH728:AL752,0.3,Application!G728:J752)/Application!G753</f>
        <v>0.10175438596491228</v>
      </c>
      <c r="F92" s="3213"/>
      <c r="G92" s="3213"/>
      <c r="H92" s="321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2">
        <f ca="1">SUMIF(Application!AH728:AL752,0.35,Application!G728:J752)/Application!G753+SUMIF(Application!AH728:AL752,0.4,Application!G728:J752)/Application!G753+SUMIF(Application!AH728:AL752,0.45,Application!G728:J752)/Application!G753+SUMIF(Application!AH728:AL752,0.5,Application!G728:J752)/Application!G753</f>
        <v>0.21052631578947367</v>
      </c>
      <c r="F93" s="3213"/>
      <c r="G93" s="3213"/>
      <c r="H93" s="321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5">
        <f ca="1">IF(AND(E91&lt;=0.6,E92&gt;=0.1,OR(E93&gt;=0.1,E92=1)),20,0)</f>
        <v>20</v>
      </c>
      <c r="F94" s="3216"/>
      <c r="G94" s="3216"/>
      <c r="H94" s="3216"/>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8">
        <f ca="1">MAX(AP83,AP94)</f>
        <v>20</v>
      </c>
      <c r="AL97" s="3199"/>
      <c r="AM97" s="320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4" t="s">
        <v>1584</v>
      </c>
      <c r="AF100" s="3214"/>
      <c r="AG100" s="3214"/>
      <c r="AH100" s="3214"/>
      <c r="AI100" s="3214"/>
      <c r="AJ100" s="3214"/>
      <c r="AK100" s="3214"/>
      <c r="AL100" s="933"/>
      <c r="AM100" s="933"/>
      <c r="AN100" s="929"/>
      <c r="AO100" s="930" t="str">
        <f>Application!B728</f>
        <v>1 Bedroom</v>
      </c>
      <c r="AQ100" s="930">
        <f>Application!O728</f>
        <v>461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801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971</v>
      </c>
    </row>
    <row r="103" spans="1:49" s="930" customFormat="1" ht="12.75" customHeight="1">
      <c r="A103" s="933"/>
      <c r="B103" s="3223" t="s">
        <v>625</v>
      </c>
      <c r="C103" s="3223"/>
      <c r="D103" s="940" t="s">
        <v>1585</v>
      </c>
      <c r="E103" s="3230" t="s">
        <v>2385</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3"/>
      <c r="AL103" s="933"/>
      <c r="AM103" s="933"/>
      <c r="AN103" s="929"/>
      <c r="AO103" s="930" t="str">
        <f>Application!B731</f>
        <v>1 Bedroom</v>
      </c>
      <c r="AQ103" s="930">
        <f>Application!O731</f>
        <v>1141</v>
      </c>
      <c r="AU103" s="930" t="s">
        <v>2363</v>
      </c>
      <c r="AV103" s="1765" t="s">
        <v>2364</v>
      </c>
      <c r="AW103" s="930" t="s">
        <v>2365</v>
      </c>
    </row>
    <row r="104" spans="1:49" s="930" customFormat="1" ht="12.75" customHeight="1">
      <c r="A104" s="933"/>
      <c r="B104" s="932"/>
      <c r="C104" s="932"/>
      <c r="D104" s="932"/>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3"/>
      <c r="AL104" s="933"/>
      <c r="AM104" s="933"/>
      <c r="AN104" s="929"/>
      <c r="AO104" s="930" t="str">
        <f>Application!B732</f>
        <v>2 Bedrooms</v>
      </c>
      <c r="AQ104" s="930">
        <f>Application!O732</f>
        <v>542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3"/>
      <c r="AL105" s="933"/>
      <c r="AM105" s="933"/>
      <c r="AN105" s="929"/>
      <c r="AO105" s="930" t="str">
        <f>Application!B733</f>
        <v>2 Bedrooms</v>
      </c>
      <c r="AQ105" s="930">
        <f>Application!O733</f>
        <v>950</v>
      </c>
      <c r="AU105" s="1768" t="str">
        <f>J112</f>
        <v>1-bedroom</v>
      </c>
      <c r="AV105" s="930">
        <f t="array" ref="AV105">SUM(IF(Application!B728:F752="1 Bedroom",Application!G728:J752))</f>
        <v>72</v>
      </c>
      <c r="AW105" s="1803">
        <f>AV105/AV110</f>
        <v>0.25263157894736843</v>
      </c>
    </row>
    <row r="106" spans="1:49" s="930" customFormat="1" ht="12.75" customHeight="1">
      <c r="A106" s="933"/>
      <c r="B106" s="932"/>
      <c r="C106" s="932"/>
      <c r="D106" s="932"/>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3"/>
      <c r="AL106" s="933"/>
      <c r="AM106" s="933"/>
      <c r="AN106" s="929"/>
      <c r="AO106" s="930" t="str">
        <f>Application!B734</f>
        <v>2 Bedrooms</v>
      </c>
      <c r="AQ106" s="930">
        <f>Application!O734</f>
        <v>1154</v>
      </c>
      <c r="AU106" s="1768" t="str">
        <f>O112</f>
        <v>2-bedroom</v>
      </c>
      <c r="AV106" s="930">
        <f t="array" ref="AV106">SUM(IF(Application!B728:F752="2 Bedrooms",Application!G728:J752))</f>
        <v>141</v>
      </c>
      <c r="AW106" s="1803">
        <f>AV106/AV110</f>
        <v>0.49473684210526314</v>
      </c>
    </row>
    <row r="107" spans="1:49" s="930" customFormat="1" ht="12.75" customHeight="1">
      <c r="A107" s="933"/>
      <c r="B107" s="932"/>
      <c r="C107" s="932"/>
      <c r="D107" s="932"/>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3"/>
      <c r="AL107" s="933"/>
      <c r="AM107" s="933"/>
      <c r="AN107" s="929"/>
      <c r="AO107" s="930" t="str">
        <f>Application!B735</f>
        <v>2 Bedrooms</v>
      </c>
      <c r="AQ107" s="930">
        <f>Application!O735</f>
        <v>1358</v>
      </c>
      <c r="AU107" s="1768" t="str">
        <f>T112</f>
        <v>3-bedroom</v>
      </c>
      <c r="AV107" s="930">
        <f t="array" ref="AV107">SUM(IF(Application!B728:F752="3 Bedrooms",Application!G728:J752))</f>
        <v>72</v>
      </c>
      <c r="AW107" s="1803">
        <f>AV107/AV110</f>
        <v>0.25263157894736843</v>
      </c>
    </row>
    <row r="108" spans="1:49" s="930" customFormat="1" ht="12.75" customHeight="1">
      <c r="A108" s="933"/>
      <c r="B108" s="932"/>
      <c r="C108" s="932"/>
      <c r="D108" s="932"/>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3"/>
      <c r="AL108" s="933"/>
      <c r="AM108" s="933"/>
      <c r="AN108" s="929"/>
      <c r="AO108" s="930" t="str">
        <f>Application!B736</f>
        <v>3 Bedrooms</v>
      </c>
      <c r="AQ108" s="930">
        <f>Application!O736</f>
        <v>613</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3"/>
      <c r="AL109" s="933"/>
      <c r="AM109" s="933"/>
      <c r="AN109" s="929"/>
      <c r="AO109" s="930" t="str">
        <f>Application!B737</f>
        <v>3 Bedrooms</v>
      </c>
      <c r="AQ109" s="930">
        <f>Application!O737</f>
        <v>1085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3"/>
      <c r="AL110" s="933"/>
      <c r="AM110" s="933"/>
      <c r="AN110" s="929"/>
      <c r="AO110" s="930" t="str">
        <f>Application!B738</f>
        <v>3 Bedrooms</v>
      </c>
      <c r="AQ110" s="930">
        <f>Application!O738</f>
        <v>1320</v>
      </c>
      <c r="AV110" s="930">
        <f>SUM(AV104:AV109)</f>
        <v>285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1556</v>
      </c>
    </row>
    <row r="112" spans="1:49" s="930" customFormat="1" ht="12.75" customHeight="1">
      <c r="A112" s="933"/>
      <c r="B112" s="932"/>
      <c r="C112" s="933"/>
      <c r="D112" s="933"/>
      <c r="E112" s="3212" t="s">
        <v>1886</v>
      </c>
      <c r="F112" s="3213"/>
      <c r="G112" s="3213"/>
      <c r="H112" s="3213"/>
      <c r="I112" s="1473"/>
      <c r="J112" s="3213" t="s">
        <v>1979</v>
      </c>
      <c r="K112" s="3213"/>
      <c r="L112" s="3213"/>
      <c r="M112" s="3213"/>
      <c r="N112" s="1473"/>
      <c r="O112" s="3213" t="s">
        <v>1980</v>
      </c>
      <c r="P112" s="3213"/>
      <c r="Q112" s="3213"/>
      <c r="R112" s="3213"/>
      <c r="S112" s="1473"/>
      <c r="T112" s="3213" t="s">
        <v>1604</v>
      </c>
      <c r="U112" s="3213"/>
      <c r="V112" s="3213"/>
      <c r="W112" s="3213"/>
      <c r="X112" s="1473"/>
      <c r="Y112" s="3213" t="s">
        <v>1981</v>
      </c>
      <c r="Z112" s="3213"/>
      <c r="AA112" s="3213"/>
      <c r="AB112" s="3213"/>
      <c r="AC112" s="1473"/>
      <c r="AD112" s="3213" t="s">
        <v>1982</v>
      </c>
      <c r="AE112" s="3213"/>
      <c r="AF112" s="3213"/>
      <c r="AG112" s="321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7"/>
      <c r="F115" s="3218"/>
      <c r="G115" s="3218"/>
      <c r="H115" s="3218"/>
      <c r="I115" s="1475"/>
      <c r="J115" s="3218">
        <v>1806</v>
      </c>
      <c r="K115" s="3218"/>
      <c r="L115" s="3218"/>
      <c r="M115" s="3218"/>
      <c r="N115" s="1475"/>
      <c r="O115" s="3218">
        <v>2173</v>
      </c>
      <c r="P115" s="3218"/>
      <c r="Q115" s="3218"/>
      <c r="R115" s="3218"/>
      <c r="S115" s="1475"/>
      <c r="T115" s="3218">
        <v>2468</v>
      </c>
      <c r="U115" s="3218"/>
      <c r="V115" s="3218"/>
      <c r="W115" s="3218"/>
      <c r="X115" s="1475"/>
      <c r="Y115" s="3218"/>
      <c r="Z115" s="3218"/>
      <c r="AA115" s="3218"/>
      <c r="AB115" s="3218"/>
      <c r="AC115" s="1475"/>
      <c r="AD115" s="3218"/>
      <c r="AE115" s="3218"/>
      <c r="AF115" s="3218"/>
      <c r="AG115" s="321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9">
        <f>Application!DX663</f>
        <v>0</v>
      </c>
      <c r="F118" s="3220"/>
      <c r="G118" s="3220"/>
      <c r="H118" s="3220"/>
      <c r="I118" s="1475"/>
      <c r="J118" s="3220">
        <f>Application!EC663</f>
        <v>973.36111111111109</v>
      </c>
      <c r="K118" s="3220"/>
      <c r="L118" s="3220"/>
      <c r="M118" s="3220"/>
      <c r="N118" s="1475"/>
      <c r="O118" s="3220">
        <f>Application!EH663</f>
        <v>1146.7659574468084</v>
      </c>
      <c r="P118" s="3220"/>
      <c r="Q118" s="3220"/>
      <c r="R118" s="3220"/>
      <c r="S118" s="1479"/>
      <c r="T118" s="3220">
        <f>Application!EM663</f>
        <v>1317.0277777777778</v>
      </c>
      <c r="U118" s="3220"/>
      <c r="V118" s="3220"/>
      <c r="W118" s="3220"/>
      <c r="X118" s="1479"/>
      <c r="Y118" s="3220">
        <f>Application!ER663</f>
        <v>0</v>
      </c>
      <c r="Z118" s="3220"/>
      <c r="AA118" s="3220"/>
      <c r="AB118" s="3220"/>
      <c r="AC118" s="1479"/>
      <c r="AD118" s="3220">
        <f>Application!EW663</f>
        <v>0</v>
      </c>
      <c r="AE118" s="3220"/>
      <c r="AF118" s="3220"/>
      <c r="AG118" s="322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5" t="e">
        <f>(E115-E118)/E115</f>
        <v>#DIV/0!</v>
      </c>
      <c r="F121" s="3006"/>
      <c r="G121" s="3006"/>
      <c r="H121" s="3007"/>
      <c r="I121" s="971"/>
      <c r="J121" s="3005">
        <f>(J115-J118)/J115</f>
        <v>0.46104035929617326</v>
      </c>
      <c r="K121" s="3006"/>
      <c r="L121" s="3006"/>
      <c r="M121" s="3007"/>
      <c r="N121" s="971"/>
      <c r="O121" s="3005">
        <f>(O115-O118)/O115</f>
        <v>0.47226601129921381</v>
      </c>
      <c r="P121" s="3006"/>
      <c r="Q121" s="3006"/>
      <c r="R121" s="3007"/>
      <c r="S121" s="971"/>
      <c r="T121" s="3005">
        <f>(T115-T118)/T115</f>
        <v>0.46635827480641096</v>
      </c>
      <c r="U121" s="3006"/>
      <c r="V121" s="3006"/>
      <c r="W121" s="3007"/>
      <c r="X121" s="971"/>
      <c r="Y121" s="3005" t="e">
        <f>(Y115-Y118)/Y115</f>
        <v>#DIV/0!</v>
      </c>
      <c r="Z121" s="3006"/>
      <c r="AA121" s="3006"/>
      <c r="AB121" s="3007"/>
      <c r="AC121" s="971"/>
      <c r="AD121" s="3005" t="e">
        <f>(AD115-AD118)/AD115</f>
        <v>#DIV/0!</v>
      </c>
      <c r="AE121" s="3006"/>
      <c r="AF121" s="3006"/>
      <c r="AG121" s="300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1" t="e">
        <f>IF(((E121-0.1)*AW104)&gt;0,((E121-0.1)*AW104),0)</f>
        <v>#DIV/0!</v>
      </c>
      <c r="F124" s="3262"/>
      <c r="G124" s="3262"/>
      <c r="H124" s="3263"/>
      <c r="I124" s="971"/>
      <c r="J124" s="3261">
        <f>IF(((J121-0.1)*AW105)&gt;0,((J121-0.1)*AW105),0)</f>
        <v>9.1210196032717461E-2</v>
      </c>
      <c r="K124" s="3262"/>
      <c r="L124" s="3262"/>
      <c r="M124" s="3263"/>
      <c r="N124" s="971"/>
      <c r="O124" s="3261">
        <f>IF(((O121-0.1)*AW106)&gt;0,((O121-0.1)*AW106),0)</f>
        <v>0.18417371085329523</v>
      </c>
      <c r="P124" s="3262"/>
      <c r="Q124" s="3262"/>
      <c r="R124" s="3263"/>
      <c r="S124" s="971"/>
      <c r="T124" s="3261">
        <f>IF(((T121-0.1)*AW107)&gt;0,((T121-0.1)*AW107),0)</f>
        <v>9.2553669424777496E-2</v>
      </c>
      <c r="U124" s="3262"/>
      <c r="V124" s="3262"/>
      <c r="W124" s="3263"/>
      <c r="X124" s="971"/>
      <c r="Y124" s="3261" t="e">
        <f>IF(((Y121-0.1)*AW108)&gt;0,((Y121-0.1)*AW108),0)</f>
        <v>#DIV/0!</v>
      </c>
      <c r="Z124" s="3262"/>
      <c r="AA124" s="3262"/>
      <c r="AB124" s="3263"/>
      <c r="AC124" s="971"/>
      <c r="AD124" s="3261" t="e">
        <f>IF(((AD121-0.1)*AW109)&gt;0,((AD121-0.1)*AW109),0)</f>
        <v>#DIV/0!</v>
      </c>
      <c r="AE124" s="3262"/>
      <c r="AF124" s="3262"/>
      <c r="AG124" s="326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5">
        <f>ROUNDDOWN(SUMIF(E124:AG124,"&gt;0"),2)</f>
        <v>0.36</v>
      </c>
      <c r="F126" s="3006"/>
      <c r="G126" s="3006"/>
      <c r="H126" s="300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8">
        <f>IF((E126*100)&gt;10,10,E126*100)</f>
        <v>10</v>
      </c>
      <c r="F127" s="3199"/>
      <c r="G127" s="3199"/>
      <c r="H127" s="320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8">
        <f>E127</f>
        <v>10</v>
      </c>
      <c r="AL131" s="3199"/>
      <c r="AM131" s="320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4" t="s">
        <v>1584</v>
      </c>
      <c r="AF134" s="3214"/>
      <c r="AG134" s="3214"/>
      <c r="AH134" s="3214"/>
      <c r="AI134" s="3214"/>
      <c r="AJ134" s="3214"/>
      <c r="AK134" s="32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4" t="s">
        <v>1608</v>
      </c>
      <c r="AG136" s="3144"/>
      <c r="AH136" s="3144"/>
      <c r="AI136" s="3144"/>
      <c r="AJ136" s="3144"/>
      <c r="AK136" s="3144"/>
      <c r="AL136" s="3144"/>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3" t="s">
        <v>2550</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4" t="s">
        <v>1611</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9" t="s">
        <v>625</v>
      </c>
      <c r="AC143" s="314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4" t="s">
        <v>1613</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5">
        <f>IF($AB$143="N/A",VLOOKUP($B$141,$AO$139:$AP$142,2,FALSE),VLOOKUP($B$146,$AO$144:$AP$147,2,FALSE))</f>
        <v>7</v>
      </c>
      <c r="AK149" s="320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4" t="s">
        <v>1622</v>
      </c>
      <c r="AG151" s="3144"/>
      <c r="AH151" s="3144"/>
      <c r="AI151" s="3144"/>
      <c r="AJ151" s="3144"/>
      <c r="AK151" s="3144"/>
      <c r="AL151" s="3144"/>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4" t="s">
        <v>1620</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9" t="s">
        <v>625</v>
      </c>
      <c r="AD155" s="314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4" t="s">
        <v>1626</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3" t="s">
        <v>2620</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2">
        <f>IF($AC$155="N/A",VLOOKUP($C$153,$AO$153:$AP$156,2,FALSE),VLOOKUP($C$157,$AO$160:$AP$162,2,FALSE))</f>
        <v>3</v>
      </c>
      <c r="AK163" s="306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8">
        <f>$AJ$149+$AJ$163</f>
        <v>10</v>
      </c>
      <c r="AL166" s="3199"/>
      <c r="AM166" s="320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9" t="s">
        <v>1584</v>
      </c>
      <c r="AF169" s="3109"/>
      <c r="AG169" s="3109"/>
      <c r="AH169" s="3109"/>
      <c r="AI169" s="3109"/>
      <c r="AJ169" s="3109"/>
      <c r="AK169" s="310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1" t="s">
        <v>1154</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3"/>
      <c r="AE171" s="1023"/>
      <c r="AF171" s="3144" t="s">
        <v>1633</v>
      </c>
      <c r="AG171" s="3144"/>
      <c r="AH171" s="3144"/>
      <c r="AI171" s="3144"/>
      <c r="AJ171" s="3144"/>
      <c r="AK171" s="3144"/>
      <c r="AL171" s="3144"/>
      <c r="AN171" s="1000"/>
      <c r="AP171" s="943" t="s">
        <v>1156</v>
      </c>
      <c r="AQ171" s="943">
        <v>10</v>
      </c>
    </row>
    <row r="172" spans="1:81" s="943" customFormat="1" ht="12.75" customHeight="1">
      <c r="A172" s="927"/>
      <c r="B172" s="3202" t="s">
        <v>2224</v>
      </c>
      <c r="C172" s="3202"/>
      <c r="D172" s="3202"/>
      <c r="E172" s="3202"/>
      <c r="F172" s="3202"/>
      <c r="G172" s="3202"/>
      <c r="H172" s="3202"/>
      <c r="I172" s="3202"/>
      <c r="J172" s="3202"/>
      <c r="K172" s="3202"/>
      <c r="L172" s="3202"/>
      <c r="M172" s="3202"/>
      <c r="N172" s="3202"/>
      <c r="O172" s="3202"/>
      <c r="P172" s="3202"/>
      <c r="Q172" s="3202"/>
      <c r="R172" s="3202"/>
      <c r="S172" s="3202"/>
      <c r="T172" s="3203" t="s">
        <v>625</v>
      </c>
      <c r="U172" s="3203"/>
      <c r="V172" s="3203"/>
      <c r="W172" s="3203"/>
      <c r="X172" s="3203"/>
      <c r="Y172" s="3203"/>
      <c r="Z172" s="3203"/>
      <c r="AA172" s="3203"/>
      <c r="AB172" s="3203"/>
      <c r="AC172" s="320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7">
        <f>IF(AK72&gt;0,VLOOKUP($B$171,AP168:AQ175,2,FALSE),0)</f>
        <v>10</v>
      </c>
      <c r="AL174" s="3028"/>
      <c r="AM174" s="3029"/>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9" t="s">
        <v>1642</v>
      </c>
      <c r="AF177" s="3109"/>
      <c r="AG177" s="3109"/>
      <c r="AH177" s="3109"/>
      <c r="AI177" s="3109"/>
      <c r="AJ177" s="3109"/>
      <c r="AK177" s="310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5" t="s">
        <v>2537</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7"/>
      <c r="AD182" s="3185">
        <v>16000000</v>
      </c>
      <c r="AE182" s="3185"/>
      <c r="AF182" s="3185"/>
      <c r="AG182" s="3185"/>
      <c r="AH182" s="3185"/>
      <c r="AI182" s="3185"/>
      <c r="AJ182" s="3185"/>
      <c r="AK182" s="1024"/>
    </row>
    <row r="183" spans="1:37">
      <c r="A183" s="1016"/>
      <c r="B183" s="3195"/>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7"/>
      <c r="AD183" s="3185"/>
      <c r="AE183" s="3185"/>
      <c r="AF183" s="3185"/>
      <c r="AG183" s="3185"/>
      <c r="AH183" s="3185"/>
      <c r="AI183" s="3185"/>
      <c r="AJ183" s="3185"/>
      <c r="AK183" s="1024"/>
    </row>
    <row r="184" spans="1:37">
      <c r="A184" s="1016"/>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7"/>
      <c r="AD184" s="3185"/>
      <c r="AE184" s="3185"/>
      <c r="AF184" s="3185"/>
      <c r="AG184" s="3185"/>
      <c r="AH184" s="3185"/>
      <c r="AI184" s="3185"/>
      <c r="AJ184" s="3185"/>
      <c r="AK184" s="1024"/>
    </row>
    <row r="185" spans="1:37">
      <c r="A185" s="1016"/>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7"/>
      <c r="AD185" s="3185"/>
      <c r="AE185" s="3185"/>
      <c r="AF185" s="3185"/>
      <c r="AG185" s="3185"/>
      <c r="AH185" s="3185"/>
      <c r="AI185" s="3185"/>
      <c r="AJ185" s="3185"/>
      <c r="AK185" s="1024"/>
    </row>
    <row r="186" spans="1:37">
      <c r="A186" s="1016"/>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7"/>
      <c r="AD186" s="3185"/>
      <c r="AE186" s="3185"/>
      <c r="AF186" s="3185"/>
      <c r="AG186" s="3185"/>
      <c r="AH186" s="3185"/>
      <c r="AI186" s="3185"/>
      <c r="AJ186" s="3185"/>
      <c r="AK186" s="1024"/>
    </row>
    <row r="187" spans="1:37">
      <c r="A187" s="1016"/>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7"/>
      <c r="AD187" s="3185"/>
      <c r="AE187" s="3185"/>
      <c r="AF187" s="3185"/>
      <c r="AG187" s="3185"/>
      <c r="AH187" s="3185"/>
      <c r="AI187" s="3185"/>
      <c r="AJ187" s="3185"/>
      <c r="AK187" s="1024"/>
    </row>
    <row r="188" spans="1:37">
      <c r="A188" s="1016"/>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7"/>
      <c r="AD188" s="3185"/>
      <c r="AE188" s="3185"/>
      <c r="AF188" s="3185"/>
      <c r="AG188" s="3185"/>
      <c r="AH188" s="3185"/>
      <c r="AI188" s="3185"/>
      <c r="AJ188" s="3185"/>
      <c r="AK188" s="1024"/>
    </row>
    <row r="189" spans="1:37">
      <c r="A189" s="1016"/>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7"/>
      <c r="AD189" s="3185"/>
      <c r="AE189" s="3185"/>
      <c r="AF189" s="3185"/>
      <c r="AG189" s="3185"/>
      <c r="AH189" s="3185"/>
      <c r="AI189" s="3185"/>
      <c r="AJ189" s="3185"/>
      <c r="AK189" s="1024"/>
    </row>
    <row r="190" spans="1:37">
      <c r="A190" s="1016"/>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7"/>
      <c r="AD190" s="3185"/>
      <c r="AE190" s="3185"/>
      <c r="AF190" s="3185"/>
      <c r="AG190" s="3185"/>
      <c r="AH190" s="3185"/>
      <c r="AI190" s="3185"/>
      <c r="AJ190" s="3185"/>
      <c r="AK190" s="1024"/>
    </row>
    <row r="191" spans="1:37">
      <c r="A191" s="1016"/>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7"/>
      <c r="AD191" s="3185"/>
      <c r="AE191" s="3185"/>
      <c r="AF191" s="3185"/>
      <c r="AG191" s="3185"/>
      <c r="AH191" s="3185"/>
      <c r="AI191" s="3185"/>
      <c r="AJ191" s="3185"/>
      <c r="AK191" s="1024"/>
    </row>
    <row r="192" spans="1:37">
      <c r="A192" s="1016"/>
      <c r="B192" s="3049" t="s">
        <v>1930</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7"/>
      <c r="AD192" s="3183">
        <f>AB243</f>
        <v>0</v>
      </c>
      <c r="AE192" s="3183"/>
      <c r="AF192" s="3183"/>
      <c r="AG192" s="3183"/>
      <c r="AH192" s="3183"/>
      <c r="AI192" s="3183"/>
      <c r="AJ192" s="3183"/>
      <c r="AK192" s="1024"/>
    </row>
    <row r="193" spans="1:37">
      <c r="A193" s="1016"/>
      <c r="B193" s="3047" t="s">
        <v>1893</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7"/>
      <c r="AD193" s="3184">
        <f>'Sources and Uses Budget'!B15</f>
        <v>0</v>
      </c>
      <c r="AE193" s="3184"/>
      <c r="AF193" s="3184"/>
      <c r="AG193" s="3184"/>
      <c r="AH193" s="3184"/>
      <c r="AI193" s="3184"/>
      <c r="AJ193" s="31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9">
        <f>SUM(AD182:AJ192)-AD193</f>
        <v>16000000</v>
      </c>
      <c r="AE194" s="3189"/>
      <c r="AF194" s="3189"/>
      <c r="AG194" s="3189"/>
      <c r="AH194" s="3189"/>
      <c r="AI194" s="3189"/>
      <c r="AJ194" s="318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0" t="s">
        <v>1910</v>
      </c>
      <c r="J205" s="3210"/>
      <c r="K205" s="3210"/>
      <c r="L205" s="991"/>
      <c r="M205" s="991"/>
      <c r="N205" s="991"/>
      <c r="O205" s="991"/>
      <c r="P205" s="991"/>
      <c r="Q205" s="991"/>
      <c r="R205" s="991"/>
      <c r="S205" s="991"/>
      <c r="T205" s="3010" t="s">
        <v>1904</v>
      </c>
      <c r="U205" s="3010"/>
      <c r="V205" s="3010"/>
      <c r="W205" s="3010"/>
      <c r="X205" s="3010"/>
      <c r="Y205" s="3010"/>
      <c r="Z205" s="1401"/>
      <c r="AA205" s="1402"/>
      <c r="AB205" s="3206" t="s">
        <v>1905</v>
      </c>
      <c r="AC205" s="3206"/>
      <c r="AD205" s="3206"/>
      <c r="AE205" s="3206"/>
      <c r="AF205" s="3206"/>
      <c r="AG205" s="3206"/>
      <c r="AH205" s="1371"/>
      <c r="AI205" s="1371"/>
      <c r="AJ205" s="1371"/>
      <c r="AK205" s="1024"/>
    </row>
    <row r="206" spans="1:37">
      <c r="A206" s="1016"/>
      <c r="B206" s="3208" t="s">
        <v>1883</v>
      </c>
      <c r="C206" s="3208"/>
      <c r="D206" s="3208"/>
      <c r="E206" s="3208"/>
      <c r="F206" s="3208"/>
      <c r="G206" s="3208"/>
      <c r="I206" s="3209" t="s">
        <v>1911</v>
      </c>
      <c r="J206" s="3209"/>
      <c r="K206" s="3209"/>
      <c r="L206" s="1799"/>
      <c r="N206" s="3048" t="s">
        <v>1906</v>
      </c>
      <c r="O206" s="3048"/>
      <c r="P206" s="3048"/>
      <c r="Q206" s="3048"/>
      <c r="R206" s="3048"/>
      <c r="T206" s="3048" t="s">
        <v>1907</v>
      </c>
      <c r="U206" s="3048"/>
      <c r="V206" s="3048"/>
      <c r="W206" s="3048"/>
      <c r="X206" s="3048"/>
      <c r="Y206" s="3048"/>
      <c r="Z206" s="1403"/>
      <c r="AA206" s="1402"/>
      <c r="AB206" s="3051" t="s">
        <v>1908</v>
      </c>
      <c r="AC206" s="3051"/>
      <c r="AD206" s="3051"/>
      <c r="AE206" s="3051"/>
      <c r="AF206" s="3051"/>
      <c r="AG206" s="3051"/>
      <c r="AH206" s="1371"/>
      <c r="AI206" s="1371"/>
      <c r="AJ206" s="1371"/>
      <c r="AK206" s="1024"/>
    </row>
    <row r="207" spans="1:37">
      <c r="A207" s="1016"/>
      <c r="B207" s="3050" t="s">
        <v>1383</v>
      </c>
      <c r="C207" s="3050"/>
      <c r="D207" s="3050"/>
      <c r="E207" s="3050"/>
      <c r="F207" s="3050"/>
      <c r="G207" s="3050"/>
      <c r="H207" s="1405"/>
      <c r="I207" s="3015"/>
      <c r="J207" s="3015"/>
      <c r="K207" s="3015"/>
      <c r="L207" s="1799"/>
      <c r="N207" s="3012"/>
      <c r="O207" s="3012"/>
      <c r="P207" s="3012"/>
      <c r="Q207" s="3012"/>
      <c r="R207" s="3012"/>
      <c r="T207" s="3011"/>
      <c r="U207" s="3011"/>
      <c r="V207" s="3011"/>
      <c r="W207" s="3011"/>
      <c r="X207" s="3011"/>
      <c r="Y207" s="3011"/>
      <c r="Z207" s="1404"/>
      <c r="AA207" s="1404"/>
      <c r="AB207" s="3009">
        <f t="shared" ref="AB207:AB216" si="0">MAX(($T207-$N207)*$I207*12,0)</f>
        <v>0</v>
      </c>
      <c r="AC207" s="3009"/>
      <c r="AD207" s="3009"/>
      <c r="AE207" s="3009"/>
      <c r="AF207" s="3009"/>
      <c r="AG207" s="3009"/>
      <c r="AH207" s="1371"/>
      <c r="AI207" s="1371"/>
      <c r="AJ207" s="1371"/>
      <c r="AK207" s="1024"/>
    </row>
    <row r="208" spans="1:37">
      <c r="A208" s="1016"/>
      <c r="B208" s="3050" t="s">
        <v>1383</v>
      </c>
      <c r="C208" s="3050"/>
      <c r="D208" s="3050"/>
      <c r="E208" s="3050"/>
      <c r="F208" s="3050"/>
      <c r="G208" s="3050"/>
      <c r="I208" s="3015"/>
      <c r="J208" s="3015"/>
      <c r="K208" s="3015"/>
      <c r="L208" s="1799"/>
      <c r="N208" s="3012"/>
      <c r="O208" s="3012"/>
      <c r="P208" s="3012"/>
      <c r="Q208" s="3012"/>
      <c r="R208" s="3012"/>
      <c r="T208" s="3011"/>
      <c r="U208" s="3011"/>
      <c r="V208" s="3011"/>
      <c r="W208" s="3011"/>
      <c r="X208" s="3011"/>
      <c r="Y208" s="3011"/>
      <c r="Z208" s="1404"/>
      <c r="AA208" s="1404"/>
      <c r="AB208" s="3009">
        <f t="shared" si="0"/>
        <v>0</v>
      </c>
      <c r="AC208" s="3009"/>
      <c r="AD208" s="3009"/>
      <c r="AE208" s="3009"/>
      <c r="AF208" s="3009"/>
      <c r="AG208" s="3009"/>
      <c r="AH208" s="1371"/>
      <c r="AI208" s="1371"/>
      <c r="AJ208" s="1371"/>
      <c r="AK208" s="1024"/>
    </row>
    <row r="209" spans="1:37">
      <c r="A209" s="1016"/>
      <c r="B209" s="3050" t="s">
        <v>1383</v>
      </c>
      <c r="C209" s="3050"/>
      <c r="D209" s="3050"/>
      <c r="E209" s="3050"/>
      <c r="F209" s="3050"/>
      <c r="G209" s="3050"/>
      <c r="I209" s="3015"/>
      <c r="J209" s="3015"/>
      <c r="K209" s="3015"/>
      <c r="L209" s="1799"/>
      <c r="N209" s="3012"/>
      <c r="O209" s="3012"/>
      <c r="P209" s="3012"/>
      <c r="Q209" s="3012"/>
      <c r="R209" s="3012"/>
      <c r="T209" s="3011"/>
      <c r="U209" s="3011"/>
      <c r="V209" s="3011"/>
      <c r="W209" s="3011"/>
      <c r="X209" s="3011"/>
      <c r="Y209" s="3011"/>
      <c r="Z209" s="1404"/>
      <c r="AA209" s="1404"/>
      <c r="AB209" s="3009">
        <f t="shared" si="0"/>
        <v>0</v>
      </c>
      <c r="AC209" s="3009"/>
      <c r="AD209" s="3009"/>
      <c r="AE209" s="3009"/>
      <c r="AF209" s="3009"/>
      <c r="AG209" s="3009"/>
      <c r="AH209" s="1371"/>
      <c r="AI209" s="1371"/>
      <c r="AJ209" s="1371"/>
      <c r="AK209" s="1024"/>
    </row>
    <row r="210" spans="1:37">
      <c r="A210" s="1016"/>
      <c r="B210" s="3050" t="s">
        <v>1383</v>
      </c>
      <c r="C210" s="3050"/>
      <c r="D210" s="3050"/>
      <c r="E210" s="3050"/>
      <c r="F210" s="3050"/>
      <c r="G210" s="3050"/>
      <c r="I210" s="3015"/>
      <c r="J210" s="3015"/>
      <c r="K210" s="3015"/>
      <c r="L210" s="1799"/>
      <c r="N210" s="3012"/>
      <c r="O210" s="3012"/>
      <c r="P210" s="3012"/>
      <c r="Q210" s="3012"/>
      <c r="R210" s="3012"/>
      <c r="T210" s="3011"/>
      <c r="U210" s="3011"/>
      <c r="V210" s="3011"/>
      <c r="W210" s="3011"/>
      <c r="X210" s="3011"/>
      <c r="Y210" s="3011"/>
      <c r="Z210" s="1404"/>
      <c r="AA210" s="1404"/>
      <c r="AB210" s="3009">
        <f t="shared" si="0"/>
        <v>0</v>
      </c>
      <c r="AC210" s="3009"/>
      <c r="AD210" s="3009"/>
      <c r="AE210" s="3009"/>
      <c r="AF210" s="3009"/>
      <c r="AG210" s="3009"/>
      <c r="AH210" s="1371"/>
      <c r="AI210" s="1371"/>
      <c r="AJ210" s="1371"/>
      <c r="AK210" s="1024"/>
    </row>
    <row r="211" spans="1:37">
      <c r="A211" s="1016"/>
      <c r="B211" s="3050" t="s">
        <v>1383</v>
      </c>
      <c r="C211" s="3050"/>
      <c r="D211" s="3050"/>
      <c r="E211" s="3050"/>
      <c r="F211" s="3050"/>
      <c r="G211" s="3050"/>
      <c r="I211" s="3015"/>
      <c r="J211" s="3015"/>
      <c r="K211" s="3015"/>
      <c r="L211" s="1811"/>
      <c r="N211" s="3012"/>
      <c r="O211" s="3012"/>
      <c r="P211" s="3012"/>
      <c r="Q211" s="3012"/>
      <c r="R211" s="3012"/>
      <c r="T211" s="3011"/>
      <c r="U211" s="3011"/>
      <c r="V211" s="3011"/>
      <c r="W211" s="3011"/>
      <c r="X211" s="3011"/>
      <c r="Y211" s="3011"/>
      <c r="Z211" s="1404"/>
      <c r="AA211" s="1404"/>
      <c r="AB211" s="3009">
        <f t="shared" si="0"/>
        <v>0</v>
      </c>
      <c r="AC211" s="3009"/>
      <c r="AD211" s="3009"/>
      <c r="AE211" s="3009"/>
      <c r="AF211" s="3009"/>
      <c r="AG211" s="3009"/>
      <c r="AH211" s="1371"/>
      <c r="AI211" s="1371"/>
      <c r="AJ211" s="1371"/>
      <c r="AK211" s="1024"/>
    </row>
    <row r="212" spans="1:37">
      <c r="A212" s="1016"/>
      <c r="B212" s="3050" t="s">
        <v>1383</v>
      </c>
      <c r="C212" s="3050"/>
      <c r="D212" s="3050"/>
      <c r="E212" s="3050"/>
      <c r="F212" s="3050"/>
      <c r="G212" s="3050"/>
      <c r="I212" s="3015"/>
      <c r="J212" s="3015"/>
      <c r="K212" s="3015"/>
      <c r="L212" s="1811"/>
      <c r="N212" s="3012"/>
      <c r="O212" s="3012"/>
      <c r="P212" s="3012"/>
      <c r="Q212" s="3012"/>
      <c r="R212" s="3012"/>
      <c r="T212" s="3011"/>
      <c r="U212" s="3011"/>
      <c r="V212" s="3011"/>
      <c r="W212" s="3011"/>
      <c r="X212" s="3011"/>
      <c r="Y212" s="3011"/>
      <c r="Z212" s="1404"/>
      <c r="AA212" s="1404"/>
      <c r="AB212" s="3009">
        <f t="shared" si="0"/>
        <v>0</v>
      </c>
      <c r="AC212" s="3009"/>
      <c r="AD212" s="3009"/>
      <c r="AE212" s="3009"/>
      <c r="AF212" s="3009"/>
      <c r="AG212" s="3009"/>
      <c r="AH212" s="1371"/>
      <c r="AI212" s="1371"/>
      <c r="AJ212" s="1371"/>
      <c r="AK212" s="1024"/>
    </row>
    <row r="213" spans="1:37">
      <c r="A213" s="1016"/>
      <c r="B213" s="3050" t="s">
        <v>1383</v>
      </c>
      <c r="C213" s="3050"/>
      <c r="D213" s="3050"/>
      <c r="E213" s="3050"/>
      <c r="F213" s="3050"/>
      <c r="G213" s="3050"/>
      <c r="I213" s="3015"/>
      <c r="J213" s="3015"/>
      <c r="K213" s="3015"/>
      <c r="L213" s="1811"/>
      <c r="N213" s="3012"/>
      <c r="O213" s="3012"/>
      <c r="P213" s="3012"/>
      <c r="Q213" s="3012"/>
      <c r="R213" s="3012"/>
      <c r="T213" s="3011"/>
      <c r="U213" s="3011"/>
      <c r="V213" s="3011"/>
      <c r="W213" s="3011"/>
      <c r="X213" s="3011"/>
      <c r="Y213" s="3011"/>
      <c r="Z213" s="1404"/>
      <c r="AA213" s="1404"/>
      <c r="AB213" s="3009">
        <f t="shared" si="0"/>
        <v>0</v>
      </c>
      <c r="AC213" s="3009"/>
      <c r="AD213" s="3009"/>
      <c r="AE213" s="3009"/>
      <c r="AF213" s="3009"/>
      <c r="AG213" s="3009"/>
      <c r="AH213" s="1371"/>
      <c r="AI213" s="1371"/>
      <c r="AJ213" s="1371"/>
      <c r="AK213" s="1024"/>
    </row>
    <row r="214" spans="1:37">
      <c r="A214" s="1016"/>
      <c r="B214" s="3050" t="s">
        <v>1383</v>
      </c>
      <c r="C214" s="3050"/>
      <c r="D214" s="3050"/>
      <c r="E214" s="3050"/>
      <c r="F214" s="3050"/>
      <c r="G214" s="3050"/>
      <c r="I214" s="3015"/>
      <c r="J214" s="3015"/>
      <c r="K214" s="3015"/>
      <c r="L214" s="1811"/>
      <c r="N214" s="3012"/>
      <c r="O214" s="3012"/>
      <c r="P214" s="3012"/>
      <c r="Q214" s="3012"/>
      <c r="R214" s="3012"/>
      <c r="T214" s="3011"/>
      <c r="U214" s="3011"/>
      <c r="V214" s="3011"/>
      <c r="W214" s="3011"/>
      <c r="X214" s="3011"/>
      <c r="Y214" s="3011"/>
      <c r="Z214" s="1404"/>
      <c r="AA214" s="1404"/>
      <c r="AB214" s="3009">
        <f t="shared" si="0"/>
        <v>0</v>
      </c>
      <c r="AC214" s="3009"/>
      <c r="AD214" s="3009"/>
      <c r="AE214" s="3009"/>
      <c r="AF214" s="3009"/>
      <c r="AG214" s="3009"/>
      <c r="AH214" s="1371"/>
      <c r="AI214" s="1371"/>
      <c r="AJ214" s="1371"/>
      <c r="AK214" s="1024"/>
    </row>
    <row r="215" spans="1:37">
      <c r="A215" s="1016"/>
      <c r="B215" s="3050" t="s">
        <v>1383</v>
      </c>
      <c r="C215" s="3050"/>
      <c r="D215" s="3050"/>
      <c r="E215" s="3050"/>
      <c r="F215" s="3050"/>
      <c r="G215" s="3050"/>
      <c r="I215" s="3015"/>
      <c r="J215" s="3015"/>
      <c r="K215" s="3015"/>
      <c r="L215" s="1811"/>
      <c r="N215" s="3012"/>
      <c r="O215" s="3012"/>
      <c r="P215" s="3012"/>
      <c r="Q215" s="3012"/>
      <c r="R215" s="3012"/>
      <c r="T215" s="3011"/>
      <c r="U215" s="3011"/>
      <c r="V215" s="3011"/>
      <c r="W215" s="3011"/>
      <c r="X215" s="3011"/>
      <c r="Y215" s="3011"/>
      <c r="Z215" s="1404"/>
      <c r="AA215" s="1404"/>
      <c r="AB215" s="3009">
        <f t="shared" si="0"/>
        <v>0</v>
      </c>
      <c r="AC215" s="3009"/>
      <c r="AD215" s="3009"/>
      <c r="AE215" s="3009"/>
      <c r="AF215" s="3009"/>
      <c r="AG215" s="3009"/>
      <c r="AH215" s="1371"/>
      <c r="AI215" s="1371"/>
      <c r="AJ215" s="1371"/>
      <c r="AK215" s="1024"/>
    </row>
    <row r="216" spans="1:37">
      <c r="A216" s="1016"/>
      <c r="B216" s="3050" t="s">
        <v>1383</v>
      </c>
      <c r="C216" s="3050"/>
      <c r="D216" s="3050"/>
      <c r="E216" s="3050"/>
      <c r="F216" s="3050"/>
      <c r="G216" s="3050"/>
      <c r="I216" s="3211"/>
      <c r="J216" s="3211"/>
      <c r="K216" s="3211"/>
      <c r="L216" s="1811"/>
      <c r="N216" s="3012"/>
      <c r="O216" s="3012"/>
      <c r="P216" s="3012"/>
      <c r="Q216" s="3012"/>
      <c r="R216" s="3012"/>
      <c r="T216" s="3011"/>
      <c r="U216" s="3011"/>
      <c r="V216" s="3011"/>
      <c r="W216" s="3011"/>
      <c r="X216" s="3011"/>
      <c r="Y216" s="3011"/>
      <c r="Z216" s="1404"/>
      <c r="AA216" s="1404"/>
      <c r="AB216" s="3017">
        <f t="shared" si="0"/>
        <v>0</v>
      </c>
      <c r="AC216" s="3017"/>
      <c r="AD216" s="3017"/>
      <c r="AE216" s="3017"/>
      <c r="AF216" s="3017"/>
      <c r="AG216" s="301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9">
        <f>SUM(AB207:AB216)</f>
        <v>0</v>
      </c>
      <c r="AC217" s="3009"/>
      <c r="AD217" s="3009"/>
      <c r="AE217" s="3009"/>
      <c r="AF217" s="3009"/>
      <c r="AG217" s="300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2"/>
      <c r="AC223" s="3052"/>
      <c r="AD223" s="3052"/>
      <c r="AE223" s="3052"/>
      <c r="AF223" s="3052"/>
      <c r="AG223" s="3052"/>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2"/>
      <c r="AC226" s="3052"/>
      <c r="AD226" s="3052"/>
      <c r="AE226" s="3052"/>
      <c r="AF226" s="3052"/>
      <c r="AG226" s="3052"/>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8"/>
      <c r="AC227" s="3008"/>
      <c r="AD227" s="3008"/>
      <c r="AE227" s="3008"/>
      <c r="AF227" s="3008"/>
      <c r="AG227" s="300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8">
        <f>IFERROR(AB226/AB227,0)</f>
        <v>0</v>
      </c>
      <c r="AC228" s="3018"/>
      <c r="AD228" s="3018"/>
      <c r="AE228" s="3018"/>
      <c r="AF228" s="3018"/>
      <c r="AG228" s="301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6">
        <f>MAX(AB223,AB228)</f>
        <v>0</v>
      </c>
      <c r="AC230" s="3046"/>
      <c r="AD230" s="3046"/>
      <c r="AE230" s="3046"/>
      <c r="AF230" s="3046"/>
      <c r="AG230" s="30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6">
        <f>AB217+AB230</f>
        <v>0</v>
      </c>
      <c r="AC233" s="3016"/>
      <c r="AD233" s="3016"/>
      <c r="AE233" s="3016"/>
      <c r="AF233" s="3016"/>
      <c r="AG233" s="301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3">
        <v>0.05</v>
      </c>
      <c r="AC234" s="3193"/>
      <c r="AD234" s="3193"/>
      <c r="AE234" s="3193"/>
      <c r="AF234" s="3193"/>
      <c r="AG234" s="3193"/>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4">
        <f>AB233-(AB233*AB234)</f>
        <v>0</v>
      </c>
      <c r="AC235" s="3194"/>
      <c r="AD235" s="3194"/>
      <c r="AE235" s="3194"/>
      <c r="AF235" s="3194"/>
      <c r="AG235" s="3194"/>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6">
        <f>AB235/AB241</f>
        <v>0</v>
      </c>
      <c r="AC237" s="3016"/>
      <c r="AD237" s="3016"/>
      <c r="AE237" s="3016"/>
      <c r="AF237" s="3016"/>
      <c r="AG237" s="301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7">
        <v>15</v>
      </c>
      <c r="AC239" s="3207"/>
      <c r="AD239" s="3207"/>
      <c r="AE239" s="3207"/>
      <c r="AF239" s="3207"/>
      <c r="AG239" s="320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6">
        <v>0.04</v>
      </c>
      <c r="AC240" s="3196"/>
      <c r="AD240" s="3196"/>
      <c r="AE240" s="3196"/>
      <c r="AF240" s="3196"/>
      <c r="AG240" s="3196"/>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7">
        <v>1.1499999999999999</v>
      </c>
      <c r="AC241" s="3197"/>
      <c r="AD241" s="3197"/>
      <c r="AE241" s="3197"/>
      <c r="AF241" s="3197"/>
      <c r="AG241" s="31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6">
        <f>PV(AB240/12,AB239*12,-AB237/12, ,0)</f>
        <v>0</v>
      </c>
      <c r="AC243" s="3187"/>
      <c r="AD243" s="3187"/>
      <c r="AE243" s="3187"/>
      <c r="AF243" s="3187"/>
      <c r="AG243" s="318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0">
        <f>IFERROR(('Sources and Uses Budget'!D105/'Sources and Uses Budget'!B105),0)</f>
        <v>0</v>
      </c>
      <c r="AC249" s="3191"/>
      <c r="AD249" s="3191"/>
      <c r="AE249" s="3191"/>
      <c r="AF249" s="3191"/>
      <c r="AG249" s="319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4">
        <f>AD194*(1-AB249)</f>
        <v>16000000</v>
      </c>
      <c r="AH251" s="3024"/>
      <c r="AI251" s="3024"/>
      <c r="AJ251" s="3024"/>
      <c r="AK251" s="3024"/>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4">
        <f>'Sources and Uses Budget'!C105</f>
        <v>94342704</v>
      </c>
      <c r="AH252" s="3024"/>
      <c r="AI252" s="3024"/>
      <c r="AJ252" s="3024"/>
      <c r="AK252" s="302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2">
        <f>ROUNDDOWN(IF(AND(C274="Yes",AK72=10),((AG251*2)/AG252),AG251/AG252),2)</f>
        <v>0.33</v>
      </c>
      <c r="AH253" s="3182"/>
      <c r="AI253" s="3182"/>
      <c r="AJ253" s="3182"/>
      <c r="AK253" s="3182"/>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5">
        <f>IF(AG253=0,0,IF((AG253*100)&gt;8,8,(AG253*100)))</f>
        <v>8</v>
      </c>
      <c r="AL256" s="3175"/>
      <c r="AM256" s="317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1" t="s">
        <v>577</v>
      </c>
      <c r="D261" s="3041"/>
      <c r="E261" s="940"/>
      <c r="F261" s="2992" t="s">
        <v>2414</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43"/>
      <c r="AF261" s="1066"/>
      <c r="AG261" s="3180" t="s">
        <v>1633</v>
      </c>
      <c r="AH261" s="3180"/>
      <c r="AI261" s="3180"/>
      <c r="AJ261" s="3180"/>
      <c r="AK261" s="1026"/>
      <c r="AL261" s="1026"/>
      <c r="AM261" s="1026"/>
      <c r="AN261" s="1061"/>
      <c r="AO261" s="943"/>
      <c r="AS261" s="21"/>
      <c r="AT261" s="21"/>
    </row>
    <row r="262" spans="1:81" ht="13.7" customHeight="1">
      <c r="A262" s="1060"/>
      <c r="B262" s="1065"/>
      <c r="C262" s="1067"/>
      <c r="D262" s="943"/>
      <c r="E262" s="940"/>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1"/>
      <c r="D264" s="3181"/>
      <c r="E264" s="940"/>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43"/>
      <c r="AF264" s="1066"/>
      <c r="AG264" s="3180"/>
      <c r="AH264" s="3180"/>
      <c r="AI264" s="3180"/>
      <c r="AJ264" s="31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5">
        <f>IF($C$261="yes",10,0)</f>
        <v>10</v>
      </c>
      <c r="AL267" s="3175"/>
      <c r="AM267" s="317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3" t="s">
        <v>1652</v>
      </c>
      <c r="B274" s="3153"/>
      <c r="C274" s="3041" t="s">
        <v>577</v>
      </c>
      <c r="D274" s="3041"/>
      <c r="E274" s="940"/>
      <c r="F274" s="3177" t="s">
        <v>1653</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0" t="s">
        <v>1655</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0" t="s">
        <v>1656</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0" t="s">
        <v>1657</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3" t="s">
        <v>1658</v>
      </c>
      <c r="B284" s="3153"/>
      <c r="C284" s="3041" t="s">
        <v>625</v>
      </c>
      <c r="D284" s="304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0" t="s">
        <v>1661</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4"/>
      <c r="AF285" s="944"/>
      <c r="AG285" s="944"/>
      <c r="AH285" s="944"/>
      <c r="AI285" s="944"/>
      <c r="AJ285" s="943"/>
      <c r="AK285" s="1026"/>
      <c r="AL285" s="1026"/>
      <c r="AM285" s="1026"/>
      <c r="AR285" s="1086"/>
    </row>
    <row r="286" spans="1:53" ht="15" customHeight="1">
      <c r="A286" s="1060"/>
      <c r="B286" s="944"/>
      <c r="C286" s="943"/>
      <c r="D286" s="944"/>
      <c r="E286" s="943"/>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4"/>
      <c r="AF286" s="944"/>
      <c r="AG286" s="944"/>
      <c r="AH286" s="944"/>
      <c r="AI286" s="944"/>
      <c r="AJ286" s="943"/>
      <c r="AK286" s="1026"/>
      <c r="AL286" s="1026"/>
      <c r="AM286" s="1026"/>
      <c r="AR286" s="1086"/>
    </row>
    <row r="287" spans="1:53">
      <c r="A287" s="1060"/>
      <c r="B287" s="944"/>
      <c r="C287" s="943"/>
      <c r="D287" s="944"/>
      <c r="E287" s="943"/>
      <c r="F287" s="3170" t="s">
        <v>1656</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4"/>
      <c r="AF288" s="944"/>
      <c r="AG288" s="944"/>
      <c r="AH288" s="944"/>
      <c r="AI288" s="944"/>
      <c r="AJ288" s="943"/>
      <c r="AK288" s="1026"/>
      <c r="AL288" s="1026"/>
      <c r="AM288" s="1026"/>
      <c r="AP288" s="1079"/>
      <c r="AQ288" s="968"/>
      <c r="AR288" s="1086"/>
    </row>
    <row r="289" spans="1:60">
      <c r="A289" s="1060"/>
      <c r="B289" s="944"/>
      <c r="C289" s="943"/>
      <c r="D289" s="944"/>
      <c r="E289" s="943"/>
      <c r="F289" s="3170" t="s">
        <v>1662</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4"/>
      <c r="AF289" s="944"/>
      <c r="AG289" s="944"/>
      <c r="AH289" s="944"/>
      <c r="AI289" s="944"/>
      <c r="AJ289" s="943"/>
      <c r="AK289" s="1026"/>
      <c r="AL289" s="1026"/>
      <c r="AM289" s="1026"/>
      <c r="AP289" s="1079"/>
      <c r="AQ289" s="968"/>
      <c r="AR289" s="1086"/>
    </row>
    <row r="290" spans="1:60">
      <c r="A290" s="1060"/>
      <c r="B290" s="944"/>
      <c r="C290" s="943"/>
      <c r="D290" s="944"/>
      <c r="E290" s="943"/>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3" t="s">
        <v>1663</v>
      </c>
      <c r="B292" s="3153"/>
      <c r="C292" s="3041" t="s">
        <v>625</v>
      </c>
      <c r="D292" s="304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0" t="s">
        <v>1664</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4"/>
      <c r="AF293" s="944"/>
      <c r="AG293" s="1012"/>
      <c r="AH293" s="944"/>
      <c r="AI293" s="944"/>
      <c r="AJ293" s="943"/>
      <c r="AK293" s="1026"/>
      <c r="AL293" s="1026"/>
      <c r="AM293" s="1026"/>
      <c r="AN293" s="110"/>
      <c r="AO293" s="51"/>
      <c r="AP293" s="950" t="s">
        <v>1383</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0" t="s">
        <v>1383</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6" t="s">
        <v>1383</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6" t="s">
        <v>1383</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3" t="s">
        <v>1667</v>
      </c>
      <c r="B315" s="3153"/>
      <c r="C315" s="3041" t="s">
        <v>625</v>
      </c>
      <c r="D315" s="3041"/>
      <c r="E315" s="940"/>
      <c r="F315" s="3154" t="s">
        <v>1668</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4"/>
      <c r="AF316" s="944"/>
      <c r="AG316" s="944"/>
      <c r="AH316" s="944"/>
      <c r="AI316" s="944"/>
      <c r="AJ316" s="943"/>
      <c r="AK316" s="1026"/>
      <c r="AL316" s="1026"/>
      <c r="AM316" s="1026"/>
      <c r="AN316" s="110"/>
      <c r="AO316" s="51"/>
    </row>
    <row r="317" spans="1:60" ht="15" customHeight="1">
      <c r="A317" s="1060"/>
      <c r="B317" s="944"/>
      <c r="C317" s="944"/>
      <c r="D317" s="944"/>
      <c r="E317" s="944"/>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7">
        <f>AP279</f>
        <v>20</v>
      </c>
      <c r="AL320" s="3028"/>
      <c r="AM320" s="302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9" t="s">
        <v>1584</v>
      </c>
      <c r="AF323" s="3109"/>
      <c r="AG323" s="3109"/>
      <c r="AH323" s="3109"/>
      <c r="AI323" s="3109"/>
      <c r="AJ323" s="3109"/>
      <c r="AK323" s="310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5" t="s">
        <v>2191</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8"/>
      <c r="AL325" s="967"/>
      <c r="AM325" s="1027"/>
      <c r="AN325" s="1000"/>
    </row>
    <row r="326" spans="1:42" s="943" customFormat="1" ht="12.75" customHeight="1">
      <c r="A326" s="1027"/>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8"/>
      <c r="AL326" s="967"/>
      <c r="AM326" s="1027"/>
      <c r="AN326" s="1000"/>
    </row>
    <row r="327" spans="1:42" s="943" customFormat="1" ht="12.75" customHeight="1">
      <c r="A327" s="1027"/>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8"/>
      <c r="AL327" s="967"/>
      <c r="AM327" s="1027"/>
      <c r="AN327" s="1000"/>
    </row>
    <row r="328" spans="1:42" s="943" customFormat="1" ht="12.75" customHeight="1">
      <c r="A328" s="1027"/>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8"/>
      <c r="AL328" s="967"/>
      <c r="AM328" s="1027"/>
      <c r="AN328" s="1000"/>
    </row>
    <row r="329" spans="1:42" s="943" customFormat="1" ht="12.75" customHeight="1">
      <c r="A329" s="1027"/>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8"/>
      <c r="AL329" s="967"/>
      <c r="AM329" s="1027"/>
      <c r="AN329" s="1000"/>
    </row>
    <row r="330" spans="1:42" s="943" customFormat="1" ht="12.75" customHeight="1">
      <c r="A330" s="1027"/>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8"/>
      <c r="AL330" s="967"/>
      <c r="AM330" s="1027"/>
      <c r="AN330" s="1000"/>
    </row>
    <row r="331" spans="1:42" s="943" customFormat="1" ht="12.75" customHeight="1">
      <c r="A331" s="1027"/>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8"/>
      <c r="AL331" s="967"/>
      <c r="AM331" s="1027"/>
      <c r="AN331" s="1000"/>
    </row>
    <row r="332" spans="1:42" ht="12.75" customHeight="1">
      <c r="A332" s="1027"/>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8"/>
      <c r="AL332" s="967"/>
      <c r="AM332" s="1027"/>
    </row>
    <row r="333" spans="1:42" s="943" customFormat="1" ht="12.75" customHeight="1">
      <c r="A333" s="1060"/>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4" t="s">
        <v>1608</v>
      </c>
      <c r="AG339" s="3144"/>
      <c r="AH339" s="3144"/>
      <c r="AI339" s="3144"/>
      <c r="AJ339" s="3144"/>
      <c r="AK339" s="3144"/>
      <c r="AL339" s="3144"/>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4" t="s">
        <v>1674</v>
      </c>
      <c r="AG346" s="3144"/>
      <c r="AH346" s="3144"/>
      <c r="AI346" s="3144"/>
      <c r="AJ346" s="3144"/>
      <c r="AK346" s="3144"/>
      <c r="AL346" s="3144"/>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4" t="s">
        <v>1648</v>
      </c>
      <c r="AG352" s="3144"/>
      <c r="AH352" s="3144"/>
      <c r="AI352" s="3144"/>
      <c r="AJ352" s="3144"/>
      <c r="AK352" s="3144"/>
      <c r="AL352" s="3144"/>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4" t="s">
        <v>1677</v>
      </c>
      <c r="AG358" s="3144"/>
      <c r="AH358" s="3144"/>
      <c r="AI358" s="3144"/>
      <c r="AJ358" s="3144"/>
      <c r="AK358" s="3144"/>
      <c r="AL358" s="3144"/>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52" t="s">
        <v>1383</v>
      </c>
      <c r="P362" s="3152"/>
      <c r="Q362" s="3152"/>
      <c r="R362" s="3152"/>
      <c r="S362" s="3152"/>
      <c r="T362" s="3152"/>
      <c r="U362" s="3152"/>
      <c r="V362" s="3152"/>
      <c r="W362" s="3152"/>
      <c r="X362" s="3152"/>
      <c r="Y362" s="3152"/>
      <c r="Z362" s="3152"/>
      <c r="AA362" s="3152"/>
      <c r="AB362" s="315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4" t="s">
        <v>1622</v>
      </c>
      <c r="AG364" s="3144"/>
      <c r="AH364" s="3144"/>
      <c r="AI364" s="3144"/>
      <c r="AJ364" s="3144"/>
      <c r="AK364" s="3144"/>
      <c r="AL364" s="3144"/>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44" t="s">
        <v>625</v>
      </c>
      <c r="I367" s="304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51" t="s">
        <v>625</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9" t="s">
        <v>625</v>
      </c>
      <c r="C377" s="3149"/>
      <c r="D377" s="1644"/>
      <c r="E377" s="3045" t="s">
        <v>1681</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644"/>
      <c r="AI377" s="1644"/>
      <c r="AJ377" s="1644"/>
      <c r="AK377" s="1644"/>
      <c r="AL377" s="1644"/>
      <c r="AN377" s="1000"/>
    </row>
    <row r="378" spans="1:46" s="943" customFormat="1" ht="12.75" customHeight="1">
      <c r="A378" s="1060"/>
      <c r="B378" s="1023"/>
      <c r="C378" s="1639"/>
      <c r="D378" s="1644"/>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644"/>
      <c r="AI378" s="1644"/>
      <c r="AJ378" s="1644"/>
      <c r="AK378" s="1644"/>
      <c r="AL378" s="1644"/>
      <c r="AN378" s="1000"/>
    </row>
    <row r="379" spans="1:46" s="943" customFormat="1" ht="12.75" customHeight="1">
      <c r="A379" s="1060"/>
      <c r="B379" s="1023"/>
      <c r="C379" s="1639"/>
      <c r="D379" s="1644"/>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644"/>
      <c r="AI379" s="1644"/>
      <c r="AJ379" s="1644"/>
      <c r="AK379" s="1644"/>
      <c r="AL379" s="1644"/>
      <c r="AN379" s="1000"/>
    </row>
    <row r="380" spans="1:46" s="943" customFormat="1" ht="12.75" customHeight="1">
      <c r="A380" s="1060"/>
      <c r="B380" s="1023"/>
      <c r="C380" s="1639"/>
      <c r="D380" s="1646"/>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7">
        <f>VLOOKUP($H$367,$AO$347:$AP$352,2,FALSE)+VLOOKUP($I$375,$AO$374:$AP$376,2,FALSE)</f>
        <v>0</v>
      </c>
      <c r="AK382" s="302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0" t="s">
        <v>2192</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32"/>
      <c r="AF386" s="3144" t="s">
        <v>1622</v>
      </c>
      <c r="AG386" s="3144"/>
      <c r="AH386" s="3144"/>
      <c r="AI386" s="3144"/>
      <c r="AJ386" s="3144"/>
      <c r="AK386" s="3144"/>
      <c r="AL386" s="3144"/>
      <c r="AM386" s="1026"/>
      <c r="AN386" s="1125"/>
    </row>
    <row r="387" spans="1:42" s="943" customFormat="1" ht="12.75" customHeight="1">
      <c r="A387" s="1126"/>
      <c r="B387" s="1023"/>
      <c r="C387" s="1639"/>
      <c r="D387" s="1106"/>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9" t="s">
        <v>625</v>
      </c>
      <c r="Y395" s="3149"/>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4" t="s">
        <v>1686</v>
      </c>
      <c r="AG397" s="3144"/>
      <c r="AH397" s="3144"/>
      <c r="AI397" s="3144"/>
      <c r="AJ397" s="3144"/>
      <c r="AK397" s="3144"/>
      <c r="AL397" s="314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4" t="s">
        <v>724</v>
      </c>
      <c r="I399" s="304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7">
        <f>VLOOKUP($H$399,$AO$366:$AP$368,2,FALSE)</f>
        <v>3</v>
      </c>
      <c r="AK401" s="3029"/>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4" t="s">
        <v>1622</v>
      </c>
      <c r="AG405" s="3144"/>
      <c r="AH405" s="3144"/>
      <c r="AI405" s="3144"/>
      <c r="AJ405" s="3144"/>
      <c r="AK405" s="3144"/>
      <c r="AL405" s="3144"/>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4" t="s">
        <v>1686</v>
      </c>
      <c r="AG408" s="3144"/>
      <c r="AH408" s="3144"/>
      <c r="AI408" s="3144"/>
      <c r="AJ408" s="3144"/>
      <c r="AK408" s="3144"/>
      <c r="AL408" s="3144"/>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4" t="s">
        <v>541</v>
      </c>
      <c r="I411" s="304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7">
        <f>VLOOKUP(H411,AT366:AU368,2,FALSE)</f>
        <v>2</v>
      </c>
      <c r="AK413" s="3029"/>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5" t="s">
        <v>1698</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7"/>
      <c r="AE418" s="927"/>
      <c r="AF418" s="3144" t="s">
        <v>1648</v>
      </c>
      <c r="AG418" s="3144"/>
      <c r="AH418" s="3144"/>
      <c r="AI418" s="3144"/>
      <c r="AJ418" s="3144"/>
      <c r="AK418" s="3144"/>
      <c r="AL418" s="3144"/>
      <c r="AN418" s="1000"/>
    </row>
    <row r="419" spans="1:42" s="943" customFormat="1" ht="12.75" customHeight="1">
      <c r="B419" s="927"/>
      <c r="C419" s="986"/>
      <c r="D419" s="927"/>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7"/>
      <c r="AE419" s="927"/>
      <c r="AF419" s="927"/>
      <c r="AG419" s="927"/>
      <c r="AH419" s="927"/>
      <c r="AI419" s="927"/>
      <c r="AJ419" s="927"/>
      <c r="AK419" s="927"/>
      <c r="AL419" s="927"/>
      <c r="AN419" s="1000"/>
    </row>
    <row r="420" spans="1:42" s="943" customFormat="1" ht="12.75" customHeight="1">
      <c r="B420" s="927"/>
      <c r="C420" s="986"/>
      <c r="D420" s="1106"/>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5" t="s">
        <v>1699</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7"/>
      <c r="AE422" s="927"/>
      <c r="AF422" s="3144" t="s">
        <v>1677</v>
      </c>
      <c r="AG422" s="3144"/>
      <c r="AH422" s="3144"/>
      <c r="AI422" s="3144"/>
      <c r="AJ422" s="3144"/>
      <c r="AK422" s="3144"/>
      <c r="AL422" s="3144"/>
      <c r="AN422" s="1000"/>
    </row>
    <row r="423" spans="1:42" s="943" customFormat="1" ht="12.75" customHeight="1">
      <c r="B423" s="927"/>
      <c r="C423" s="986"/>
      <c r="D423" s="927"/>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7"/>
      <c r="AE423" s="927"/>
      <c r="AF423" s="927"/>
      <c r="AG423" s="927"/>
      <c r="AH423" s="927"/>
      <c r="AI423" s="927"/>
      <c r="AJ423" s="927"/>
      <c r="AK423" s="927"/>
      <c r="AL423" s="927"/>
      <c r="AN423" s="1000"/>
    </row>
    <row r="424" spans="1:42" s="943" customFormat="1" ht="15" customHeight="1">
      <c r="B424" s="927"/>
      <c r="C424" s="986"/>
      <c r="D424" s="1106"/>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5" t="s">
        <v>1700</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7"/>
      <c r="AE426" s="927"/>
      <c r="AF426" s="3144" t="s">
        <v>1622</v>
      </c>
      <c r="AG426" s="3144"/>
      <c r="AH426" s="3144"/>
      <c r="AI426" s="3144"/>
      <c r="AJ426" s="3144"/>
      <c r="AK426" s="3144"/>
      <c r="AL426" s="3144"/>
      <c r="AN426" s="1000"/>
    </row>
    <row r="427" spans="1:42" s="943" customFormat="1" ht="12.75" customHeight="1">
      <c r="A427" s="1060"/>
      <c r="B427" s="1023"/>
      <c r="C427" s="1640"/>
      <c r="D427" s="927"/>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7"/>
      <c r="AE427" s="3144"/>
      <c r="AF427" s="3144"/>
      <c r="AG427" s="3144"/>
      <c r="AH427" s="3144"/>
      <c r="AI427" s="3144"/>
      <c r="AJ427" s="3144"/>
      <c r="AK427" s="3144"/>
      <c r="AL427" s="1596"/>
      <c r="AM427" s="1026"/>
      <c r="AN427" s="1000"/>
      <c r="AO427" s="943" t="s">
        <v>625</v>
      </c>
      <c r="AP427" s="1120">
        <v>0</v>
      </c>
    </row>
    <row r="428" spans="1:42" s="943" customFormat="1" ht="12.75" customHeight="1">
      <c r="A428" s="1126"/>
      <c r="B428" s="927"/>
      <c r="C428" s="927"/>
      <c r="D428" s="1106"/>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45" t="s">
        <v>1701</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7"/>
      <c r="AE430" s="927"/>
      <c r="AF430" s="3144" t="s">
        <v>1677</v>
      </c>
      <c r="AG430" s="3144"/>
      <c r="AH430" s="3144"/>
      <c r="AI430" s="3144"/>
      <c r="AJ430" s="3144"/>
      <c r="AK430" s="3144"/>
      <c r="AL430" s="3144"/>
      <c r="AN430" s="1000"/>
    </row>
    <row r="431" spans="1:42" s="943" customFormat="1" ht="12.75" customHeight="1">
      <c r="A431" s="1115"/>
      <c r="B431" s="1023"/>
      <c r="C431" s="1656"/>
      <c r="D431" s="1106"/>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5" t="s">
        <v>1702</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7"/>
      <c r="AE434" s="927"/>
      <c r="AF434" s="3144" t="s">
        <v>1622</v>
      </c>
      <c r="AG434" s="3144"/>
      <c r="AH434" s="3144"/>
      <c r="AI434" s="3144"/>
      <c r="AJ434" s="3144"/>
      <c r="AK434" s="3144"/>
      <c r="AL434" s="3144"/>
      <c r="AM434" s="1065"/>
      <c r="AN434" s="1000"/>
    </row>
    <row r="435" spans="1:42" s="943" customFormat="1" ht="12.75" customHeight="1">
      <c r="A435" s="1060"/>
      <c r="B435" s="1023"/>
      <c r="C435" s="1640"/>
      <c r="D435" s="1106"/>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5" t="s">
        <v>1703</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7"/>
      <c r="AE438" s="927"/>
      <c r="AF438" s="3144" t="s">
        <v>1686</v>
      </c>
      <c r="AG438" s="3144"/>
      <c r="AH438" s="3144"/>
      <c r="AI438" s="3144"/>
      <c r="AJ438" s="3144"/>
      <c r="AK438" s="3144"/>
      <c r="AL438" s="3144"/>
      <c r="AM438" s="1065"/>
      <c r="AN438" s="1000"/>
    </row>
    <row r="439" spans="1:42" s="943" customFormat="1" ht="12.75" customHeight="1">
      <c r="A439" s="1599"/>
      <c r="B439" s="1006"/>
      <c r="C439" s="1637"/>
      <c r="D439" s="1106"/>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45" t="s">
        <v>1704</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7"/>
      <c r="AE442" s="927"/>
      <c r="AF442" s="3144" t="s">
        <v>1705</v>
      </c>
      <c r="AG442" s="3144"/>
      <c r="AH442" s="3144"/>
      <c r="AI442" s="3144"/>
      <c r="AJ442" s="3144"/>
      <c r="AK442" s="3144"/>
      <c r="AL442" s="3144"/>
      <c r="AM442" s="1065"/>
      <c r="AN442" s="1000"/>
      <c r="AO442" s="1118" t="s">
        <v>724</v>
      </c>
      <c r="AP442" s="943">
        <v>3</v>
      </c>
    </row>
    <row r="443" spans="1:42" s="943" customFormat="1" ht="12.75" customHeight="1">
      <c r="A443" s="1599"/>
      <c r="B443" s="1006"/>
      <c r="C443" s="1637"/>
      <c r="D443" s="1106"/>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4" t="s">
        <v>625</v>
      </c>
      <c r="I446" s="304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7">
        <f>VLOOKUP($H$446,$AO$394:$AP$401,2,FALSE)</f>
        <v>0</v>
      </c>
      <c r="AK448" s="302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45" t="s">
        <v>2188</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7"/>
      <c r="AD452" s="927"/>
      <c r="AE452" s="930"/>
      <c r="AF452" s="3144" t="s">
        <v>1622</v>
      </c>
      <c r="AG452" s="3144"/>
      <c r="AH452" s="3144"/>
      <c r="AI452" s="3144"/>
      <c r="AJ452" s="3144"/>
      <c r="AK452" s="3144"/>
      <c r="AL452" s="3144"/>
      <c r="AM452" s="1026"/>
      <c r="AN452" s="1001"/>
    </row>
    <row r="453" spans="1:42" s="1002" customFormat="1" ht="12.75" customHeight="1">
      <c r="A453" s="1060"/>
      <c r="B453" s="1023"/>
      <c r="C453" s="1649"/>
      <c r="D453" s="1106"/>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7"/>
      <c r="AD453" s="927"/>
      <c r="AE453" s="1035"/>
      <c r="AF453" s="930"/>
      <c r="AG453" s="930"/>
      <c r="AH453" s="930"/>
      <c r="AI453" s="930"/>
      <c r="AJ453" s="930"/>
      <c r="AK453" s="930"/>
      <c r="AL453" s="930"/>
      <c r="AM453" s="1026"/>
      <c r="AN453" s="1001"/>
      <c r="AO453" s="3148"/>
      <c r="AP453" s="3148"/>
    </row>
    <row r="454" spans="1:42" s="1002" customFormat="1" ht="12.75" customHeight="1">
      <c r="A454" s="1060"/>
      <c r="B454" s="1023"/>
      <c r="C454" s="1649"/>
      <c r="D454" s="1106"/>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45" t="s">
        <v>2190</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7"/>
      <c r="AD457" s="927"/>
      <c r="AE457" s="927"/>
      <c r="AF457" s="3144" t="s">
        <v>1686</v>
      </c>
      <c r="AG457" s="3144"/>
      <c r="AH457" s="3144"/>
      <c r="AI457" s="3144"/>
      <c r="AJ457" s="3144"/>
      <c r="AK457" s="3144"/>
      <c r="AL457" s="3144"/>
      <c r="AM457" s="1026"/>
      <c r="AN457" s="1000"/>
      <c r="AO457" s="1118" t="s">
        <v>541</v>
      </c>
      <c r="AP457" s="943">
        <v>1</v>
      </c>
    </row>
    <row r="458" spans="1:42" s="943" customFormat="1" ht="12" customHeight="1">
      <c r="A458" s="1026"/>
      <c r="B458" s="927"/>
      <c r="C458" s="1657"/>
      <c r="D458" s="927"/>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5" t="s">
        <v>2189</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4" t="s">
        <v>724</v>
      </c>
      <c r="I466" s="304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7">
        <f>VLOOKUP($H$466,$AO$413:$AP$415,2,FALSE)</f>
        <v>3</v>
      </c>
      <c r="AK468" s="3029"/>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6" t="s">
        <v>2193</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7"/>
      <c r="AD472" s="927"/>
      <c r="AE472" s="927"/>
      <c r="AF472" s="3144" t="s">
        <v>1622</v>
      </c>
      <c r="AG472" s="3144"/>
      <c r="AH472" s="3144"/>
      <c r="AI472" s="3144"/>
      <c r="AJ472" s="3144"/>
      <c r="AK472" s="3144"/>
      <c r="AL472" s="3144"/>
      <c r="AM472" s="1026"/>
      <c r="AN472" s="1133"/>
      <c r="AP472" s="1135" t="s">
        <v>1714</v>
      </c>
    </row>
    <row r="473" spans="1:43" s="1134" customFormat="1" ht="11.85" customHeight="1">
      <c r="A473" s="1060"/>
      <c r="B473" s="1023"/>
      <c r="C473" s="1639"/>
      <c r="D473" s="1106"/>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47" t="s">
        <v>1717</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7"/>
      <c r="AD476" s="927"/>
      <c r="AE476" s="927"/>
      <c r="AF476" s="3144" t="s">
        <v>1686</v>
      </c>
      <c r="AG476" s="3144"/>
      <c r="AH476" s="3144"/>
      <c r="AI476" s="3144"/>
      <c r="AJ476" s="3144"/>
      <c r="AK476" s="3144"/>
      <c r="AL476" s="3144"/>
      <c r="AM476" s="1026"/>
      <c r="AN476" s="1136"/>
    </row>
    <row r="477" spans="1:43" s="1134" customFormat="1" ht="12.75" customHeight="1">
      <c r="A477" s="1060"/>
      <c r="B477" s="1023"/>
      <c r="C477" s="1639"/>
      <c r="D477" s="1023"/>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044" t="s">
        <v>625</v>
      </c>
      <c r="I480" s="304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7">
        <f>VLOOKUP($H$480,$AO$413:$AP$415,2,FALSE)</f>
        <v>0</v>
      </c>
      <c r="AK482" s="3029"/>
      <c r="AL482" s="1005"/>
      <c r="AM482" s="1002"/>
      <c r="AN482" s="1138"/>
      <c r="AP482" s="3027"/>
      <c r="AQ482" s="302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45" t="s">
        <v>2194</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7"/>
      <c r="AD486" s="927"/>
      <c r="AE486" s="927"/>
      <c r="AF486" s="3144" t="s">
        <v>1622</v>
      </c>
      <c r="AG486" s="3144"/>
      <c r="AH486" s="3144"/>
      <c r="AI486" s="3144"/>
      <c r="AJ486" s="3144"/>
      <c r="AK486" s="3144"/>
      <c r="AL486" s="3144"/>
      <c r="AM486" s="1026"/>
      <c r="AN486" s="1133"/>
      <c r="AT486" s="51"/>
      <c r="AU486" s="51"/>
      <c r="AV486" s="51"/>
      <c r="AW486" s="51"/>
      <c r="AX486" s="51"/>
      <c r="AY486" s="51"/>
      <c r="AZ486" s="51"/>
    </row>
    <row r="487" spans="1:81" s="1134" customFormat="1">
      <c r="A487" s="1060"/>
      <c r="B487" s="1023"/>
      <c r="C487" s="1639"/>
      <c r="D487" s="1106"/>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45" t="s">
        <v>1721</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7"/>
      <c r="AD489" s="927"/>
      <c r="AE489" s="927"/>
      <c r="AF489" s="3144" t="s">
        <v>1686</v>
      </c>
      <c r="AG489" s="3144"/>
      <c r="AH489" s="3144"/>
      <c r="AI489" s="3144"/>
      <c r="AJ489" s="3144"/>
      <c r="AK489" s="3144"/>
      <c r="AL489" s="3144"/>
      <c r="AM489" s="1026"/>
      <c r="AN489" s="1133"/>
      <c r="AT489" s="51"/>
      <c r="AU489" s="51"/>
      <c r="AV489" s="51"/>
      <c r="AW489" s="51"/>
      <c r="AX489" s="51"/>
      <c r="AY489" s="51"/>
      <c r="AZ489" s="51"/>
    </row>
    <row r="490" spans="1:81" s="1134" customFormat="1">
      <c r="A490" s="1060"/>
      <c r="B490" s="1023"/>
      <c r="C490" s="1639"/>
      <c r="D490" s="1023"/>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4" t="s">
        <v>625</v>
      </c>
      <c r="I492" s="304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7">
        <f>VLOOKUP($H$492,$AO$427:$AP$429,2,FALSE)</f>
        <v>0</v>
      </c>
      <c r="AK494" s="302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45" t="s">
        <v>1724</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7"/>
      <c r="AD498" s="927"/>
      <c r="AE498" s="927"/>
      <c r="AF498" s="3144" t="s">
        <v>1622</v>
      </c>
      <c r="AG498" s="3144"/>
      <c r="AH498" s="3144"/>
      <c r="AI498" s="3144"/>
      <c r="AJ498" s="3144"/>
      <c r="AK498" s="3144"/>
      <c r="AL498" s="3144"/>
      <c r="AM498" s="1026"/>
      <c r="AN498" s="1133"/>
      <c r="AT498" s="51"/>
      <c r="AU498" s="51"/>
      <c r="AV498" s="51"/>
      <c r="AW498" s="51"/>
      <c r="AX498" s="51"/>
      <c r="AY498" s="51"/>
      <c r="AZ498" s="51"/>
    </row>
    <row r="499" spans="1:81" s="1134" customFormat="1">
      <c r="A499" s="1060"/>
      <c r="B499" s="927"/>
      <c r="C499" s="1637"/>
      <c r="D499" s="1106"/>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45" t="s">
        <v>1725</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9"/>
      <c r="AC503" s="927"/>
      <c r="AD503" s="927"/>
      <c r="AE503" s="927"/>
      <c r="AF503" s="3144" t="s">
        <v>1686</v>
      </c>
      <c r="AG503" s="3144"/>
      <c r="AH503" s="3144"/>
      <c r="AI503" s="3144"/>
      <c r="AJ503" s="3144"/>
      <c r="AK503" s="3144"/>
      <c r="AL503" s="3144"/>
      <c r="AM503" s="1026"/>
      <c r="AN503" s="1133"/>
      <c r="AO503" s="126"/>
      <c r="AP503" s="51"/>
    </row>
    <row r="504" spans="1:81" s="1134" customFormat="1">
      <c r="A504" s="1060"/>
      <c r="B504" s="1006"/>
      <c r="C504" s="1637"/>
      <c r="D504" s="1106"/>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4" t="s">
        <v>724</v>
      </c>
      <c r="I508" s="304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7">
        <f>VLOOKUP($H$508,$AO$441:$AP$443,2,FALSE)</f>
        <v>3</v>
      </c>
      <c r="AK510" s="302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45" t="s">
        <v>1727</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7"/>
      <c r="AD514" s="927"/>
      <c r="AE514" s="927"/>
      <c r="AF514" s="3144" t="s">
        <v>1686</v>
      </c>
      <c r="AG514" s="3144"/>
      <c r="AH514" s="3144"/>
      <c r="AI514" s="3144"/>
      <c r="AJ514" s="3144"/>
      <c r="AK514" s="3144"/>
      <c r="AL514" s="314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45" t="s">
        <v>1728</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7"/>
      <c r="AD517" s="927"/>
      <c r="AE517" s="927"/>
      <c r="AF517" s="3144" t="s">
        <v>1705</v>
      </c>
      <c r="AG517" s="3144"/>
      <c r="AH517" s="3144"/>
      <c r="AI517" s="3144"/>
      <c r="AJ517" s="3144"/>
      <c r="AK517" s="3144"/>
      <c r="AL517" s="314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4" t="s">
        <v>625</v>
      </c>
      <c r="I520" s="304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7">
        <f>VLOOKUP($H$520,$AO$455:$AP$457,2,FALSE)</f>
        <v>0</v>
      </c>
      <c r="AK522" s="302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45" t="s">
        <v>2187</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7"/>
      <c r="AF526" s="3144" t="s">
        <v>1686</v>
      </c>
      <c r="AG526" s="3144"/>
      <c r="AH526" s="3144"/>
      <c r="AI526" s="3144"/>
      <c r="AJ526" s="3144"/>
      <c r="AK526" s="3144"/>
      <c r="AL526" s="3144"/>
      <c r="AM526" s="1031"/>
      <c r="AN526" s="1133"/>
    </row>
    <row r="527" spans="1:74" s="1134" customFormat="1" ht="13.7" customHeight="1">
      <c r="A527" s="1060"/>
      <c r="B527" s="1035"/>
      <c r="C527" s="1649"/>
      <c r="D527" s="1106"/>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7"/>
      <c r="AF527" s="1596"/>
      <c r="AG527" s="1596"/>
      <c r="AH527" s="1596"/>
      <c r="AI527" s="1596"/>
      <c r="AJ527" s="1596"/>
      <c r="AK527" s="1596"/>
      <c r="AL527" s="1596"/>
      <c r="AM527" s="1031"/>
      <c r="AN527" s="1133"/>
    </row>
    <row r="528" spans="1:74" s="1134" customFormat="1">
      <c r="A528" s="1060"/>
      <c r="B528" s="1035"/>
      <c r="C528" s="1649"/>
      <c r="D528" s="1106"/>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5" t="s">
        <v>2195</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144" t="s">
        <v>1622</v>
      </c>
      <c r="AG531" s="3144"/>
      <c r="AH531" s="3144"/>
      <c r="AI531" s="3144"/>
      <c r="AJ531" s="3144"/>
      <c r="AK531" s="3144"/>
      <c r="AL531" s="3144"/>
      <c r="AM531" s="1031"/>
      <c r="AN531" s="1000"/>
    </row>
    <row r="532" spans="1:81" s="943" customFormat="1" ht="12.75" customHeight="1">
      <c r="A532" s="1060"/>
      <c r="B532" s="1035"/>
      <c r="C532" s="1649"/>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4" t="s">
        <v>625</v>
      </c>
      <c r="I536" s="304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7">
        <f>VLOOKUP($H$536,$AP$477:$AQ$479,2,FALSE)</f>
        <v>0</v>
      </c>
      <c r="AK538" s="302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45" t="s">
        <v>2186</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7"/>
      <c r="AF542" s="3144" t="s">
        <v>1732</v>
      </c>
      <c r="AG542" s="3144"/>
      <c r="AH542" s="3144"/>
      <c r="AI542" s="3144"/>
      <c r="AJ542" s="3144"/>
      <c r="AK542" s="3144"/>
      <c r="AL542" s="314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4" t="s">
        <v>577</v>
      </c>
      <c r="I547" s="304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7">
        <f>VLOOKUP($H$547,$AO$541:$AP$542,2,FALSE)</f>
        <v>8</v>
      </c>
      <c r="AK549" s="302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7">
        <f>IF(($AJ$382+$AJ$401+$AJ$413+$AJ$448+$AJ$468+$AJ$482+$AJ$494+$AJ$510+$AJ$522+$AJ$538+AJ549)&gt;10,10,($AJ$382+$AJ$401+$AJ$413+$AJ$448+$AJ$468+$AJ$482+$AJ$494+$AJ$510+$AJ$522+$AJ$538+AJ549))</f>
        <v>10</v>
      </c>
      <c r="AL551" s="3028"/>
      <c r="AM551" s="302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7">
        <f>IF((AK320+AK551)&gt;20,20,(AK320+AK551))</f>
        <v>20</v>
      </c>
      <c r="AL553" s="3028"/>
      <c r="AM553" s="302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9" t="s">
        <v>1584</v>
      </c>
      <c r="AF556" s="3109"/>
      <c r="AG556" s="3109"/>
      <c r="AH556" s="3109"/>
      <c r="AI556" s="3109"/>
      <c r="AJ556" s="3109"/>
      <c r="AK556" s="310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6" t="s">
        <v>1737</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7"/>
      <c r="AL558" s="1027"/>
      <c r="AM558" s="1027"/>
      <c r="AN558" s="1000"/>
    </row>
    <row r="559" spans="1:81" s="943" customFormat="1" ht="12.75" customHeight="1">
      <c r="A559" s="1027"/>
      <c r="B559" s="1028"/>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7"/>
      <c r="AL559" s="1027"/>
      <c r="AM559" s="1027"/>
      <c r="AN559" s="1000"/>
    </row>
    <row r="560" spans="1:81" s="943" customFormat="1" ht="12.75" customHeight="1">
      <c r="A560" s="1027"/>
      <c r="B560" s="1028"/>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7"/>
      <c r="AL560" s="1027"/>
      <c r="AM560" s="1027"/>
      <c r="AN560" s="1000"/>
      <c r="AQ560" s="1135"/>
      <c r="AR560" s="1002"/>
    </row>
    <row r="561" spans="1:46" s="943" customFormat="1" ht="12.75" customHeight="1">
      <c r="A561" s="1027"/>
      <c r="B561" s="1118"/>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7"/>
      <c r="AL561" s="1027"/>
      <c r="AM561" s="1027"/>
      <c r="AN561" s="1000"/>
      <c r="AQ561" s="1135"/>
      <c r="AR561" s="1002"/>
    </row>
    <row r="562" spans="1:46" s="943" customFormat="1" ht="12.4" customHeight="1">
      <c r="A562" s="1027"/>
      <c r="B562" s="1118"/>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7"/>
      <c r="AL562" s="1027"/>
      <c r="AM562" s="1027"/>
      <c r="AN562" s="1000"/>
      <c r="AQ562" s="1135"/>
      <c r="AR562" s="1135"/>
    </row>
    <row r="563" spans="1:46" s="943" customFormat="1" ht="24.95" customHeight="1">
      <c r="A563" s="1027"/>
      <c r="B563" s="1118"/>
      <c r="C563" s="3036" t="s">
        <v>1738</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6" t="s">
        <v>2392</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7"/>
      <c r="AL565" s="1027"/>
      <c r="AM565" s="1027"/>
      <c r="AN565" s="1000"/>
      <c r="AQ565" s="1135"/>
      <c r="AR565" s="1135"/>
    </row>
    <row r="566" spans="1:46" s="943" customFormat="1" ht="30" customHeight="1">
      <c r="A566" s="1027"/>
      <c r="B566" s="1118"/>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7"/>
      <c r="AL566" s="1027"/>
      <c r="AM566" s="1027"/>
      <c r="AN566" s="1000"/>
      <c r="AQ566" s="1002"/>
      <c r="AR566" s="1135"/>
    </row>
    <row r="567" spans="1:46" s="943" customFormat="1" ht="12.75" customHeight="1">
      <c r="A567" s="1027"/>
      <c r="B567" s="1118"/>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7"/>
      <c r="AL567" s="1027"/>
      <c r="AM567" s="1027"/>
      <c r="AN567" s="1000"/>
      <c r="AQ567" s="1002"/>
      <c r="AR567" s="1135"/>
    </row>
    <row r="568" spans="1:46" s="943" customFormat="1" ht="12.75" customHeight="1">
      <c r="A568" s="1027"/>
      <c r="B568" s="1118"/>
      <c r="C568" s="3036" t="s">
        <v>1739</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7"/>
      <c r="AL568" s="1027"/>
      <c r="AM568" s="1027"/>
      <c r="AN568" s="1000"/>
      <c r="AQ568" s="1135"/>
      <c r="AR568" s="1135"/>
    </row>
    <row r="569" spans="1:46" s="943" customFormat="1" ht="12.75" customHeight="1">
      <c r="A569" s="1027"/>
      <c r="B569" s="1118"/>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7"/>
      <c r="AL569" s="1027"/>
      <c r="AM569" s="1027"/>
      <c r="AN569" s="1000"/>
      <c r="AQ569" s="1135"/>
      <c r="AR569" s="1135"/>
    </row>
    <row r="570" spans="1:46" s="943" customFormat="1" ht="13.15" customHeight="1">
      <c r="A570" s="1027"/>
      <c r="B570" s="1118"/>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7"/>
      <c r="AL570" s="1027"/>
      <c r="AM570" s="1027"/>
      <c r="AN570" s="1000"/>
      <c r="AQ570" s="1135"/>
      <c r="AR570" s="1135"/>
    </row>
    <row r="571" spans="1:46" s="943" customFormat="1" ht="12.75" customHeight="1">
      <c r="A571" s="1027"/>
      <c r="B571" s="1118"/>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7"/>
      <c r="AL571" s="1027"/>
      <c r="AM571" s="1027"/>
      <c r="AN571" s="1000"/>
      <c r="AO571" s="1150"/>
      <c r="AP571" s="1150"/>
      <c r="AQ571" s="1135"/>
      <c r="AR571" s="1002"/>
    </row>
    <row r="572" spans="1:46" s="943" customFormat="1" ht="11.85" customHeight="1">
      <c r="A572" s="1027"/>
      <c r="B572" s="1118"/>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7"/>
      <c r="AL573" s="1027"/>
      <c r="AM573" s="1027"/>
      <c r="AN573" s="1000"/>
      <c r="AO573" s="1151" t="s">
        <v>118</v>
      </c>
      <c r="AP573" s="1152">
        <f>IF(C604="Yes",5,0)</f>
        <v>0</v>
      </c>
      <c r="AQ573" s="1002"/>
      <c r="AR573" s="1002"/>
      <c r="AS573" s="3001">
        <f>IF(Application!D210="Non-Targeted",(SUM(AQ581+AQ590)),AS577)</f>
        <v>10</v>
      </c>
      <c r="AT573" s="3001"/>
    </row>
    <row r="574" spans="1:46" s="943" customFormat="1" ht="12.75" customHeight="1">
      <c r="A574" s="1027"/>
      <c r="B574" s="1118"/>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7"/>
      <c r="AL574" s="1027"/>
      <c r="AM574" s="1027"/>
      <c r="AN574" s="1000"/>
      <c r="AO574" s="1151" t="s">
        <v>124</v>
      </c>
      <c r="AP574" s="1152">
        <f>IF(C612="Yes",7,0)</f>
        <v>7</v>
      </c>
      <c r="AS574" s="932" t="s">
        <v>1741</v>
      </c>
    </row>
    <row r="575" spans="1:46" s="943" customFormat="1" ht="12.75" customHeight="1">
      <c r="A575" s="1027"/>
      <c r="B575" s="1118"/>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7"/>
      <c r="AL575" s="1027"/>
      <c r="AM575" s="1027"/>
      <c r="AN575" s="1000"/>
      <c r="AO575" s="1000"/>
      <c r="AP575" s="1152">
        <f>IF(C614="Yes",5,0)</f>
        <v>0</v>
      </c>
      <c r="AS575" s="3001">
        <f>IF(AND(AQ581&gt;0,AQ590&gt;0),(AQ581+AQ590)/2,0)</f>
        <v>0</v>
      </c>
      <c r="AT575" s="3001"/>
    </row>
    <row r="576" spans="1:46" s="943" customFormat="1" ht="12.75" customHeight="1">
      <c r="A576" s="1027"/>
      <c r="B576" s="1118"/>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3" t="s">
        <v>1742</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7"/>
      <c r="AL577" s="1027"/>
      <c r="AM577" s="1027"/>
      <c r="AN577" s="1000"/>
      <c r="AO577" s="1000"/>
      <c r="AP577" s="1152">
        <f>IF(C624="Yes",3,0)</f>
        <v>3</v>
      </c>
      <c r="AS577" s="3001">
        <f>IF(AQ581=0,AQ590,AQ581)</f>
        <v>10</v>
      </c>
      <c r="AT577" s="3001"/>
    </row>
    <row r="578" spans="1:81" s="943" customFormat="1" ht="12.75" customHeight="1">
      <c r="A578" s="1027"/>
      <c r="B578" s="1118"/>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7"/>
      <c r="AL578" s="1027"/>
      <c r="AM578" s="1027"/>
      <c r="AN578" s="1000"/>
      <c r="AO578" s="1151" t="s">
        <v>820</v>
      </c>
      <c r="AP578" s="1152">
        <f>IF(C627="Yes",5,0)</f>
        <v>0</v>
      </c>
    </row>
    <row r="579" spans="1:81" s="943" customFormat="1" ht="12.75" customHeight="1">
      <c r="A579" s="1027"/>
      <c r="B579" s="1118"/>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7"/>
      <c r="AL579" s="1027"/>
      <c r="AM579" s="1027"/>
      <c r="AN579" s="1000"/>
      <c r="AO579" s="1151" t="s">
        <v>618</v>
      </c>
      <c r="AP579" s="1152">
        <f>IF(C636="Yes",5,0)</f>
        <v>0</v>
      </c>
    </row>
    <row r="580" spans="1:81" s="943" customFormat="1" ht="11.85" customHeight="1">
      <c r="A580" s="1027"/>
      <c r="B580" s="1118"/>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7"/>
      <c r="AL580" s="1027"/>
      <c r="AM580" s="1027"/>
      <c r="AN580" s="1000"/>
      <c r="AO580" s="1153"/>
      <c r="AP580" s="1154">
        <f>IF(C638="Yes",3,0)</f>
        <v>0</v>
      </c>
    </row>
    <row r="581" spans="1:81" s="943" customFormat="1" ht="12.4" customHeight="1">
      <c r="A581" s="1027"/>
      <c r="B581" s="1118"/>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7"/>
      <c r="AL581" s="1027"/>
      <c r="AM581" s="1027"/>
      <c r="AN581" s="1000"/>
      <c r="AO581" s="1155" t="s">
        <v>233</v>
      </c>
      <c r="AP581" s="1156">
        <f>SUM(AP572:AP580)</f>
        <v>10</v>
      </c>
      <c r="AQ581" s="3039">
        <f>IF(AP581&gt;0,AP581,0)</f>
        <v>10</v>
      </c>
      <c r="AR581" s="3039"/>
    </row>
    <row r="582" spans="1:81" s="943" customFormat="1" ht="12.75" customHeight="1">
      <c r="A582" s="1027"/>
      <c r="B582" s="1118"/>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6" t="s">
        <v>1743</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7"/>
      <c r="AL584" s="1027"/>
      <c r="AM584" s="1027"/>
      <c r="AN584" s="1000"/>
      <c r="AO584" s="1151" t="s">
        <v>487</v>
      </c>
      <c r="AP584" s="1152">
        <f>IF(C657="Yes",5,0)</f>
        <v>0</v>
      </c>
    </row>
    <row r="585" spans="1:81" s="943" customFormat="1" ht="12.75" customHeight="1">
      <c r="A585" s="1027"/>
      <c r="B585" s="1118"/>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7"/>
      <c r="AL585" s="1027"/>
      <c r="AM585" s="1027"/>
      <c r="AN585" s="1000"/>
      <c r="AO585" s="1151" t="s">
        <v>493</v>
      </c>
      <c r="AP585" s="1152">
        <f>IF(C664="Yes",5,0)</f>
        <v>0</v>
      </c>
    </row>
    <row r="586" spans="1:81" s="943" customFormat="1" ht="68.099999999999994" customHeight="1">
      <c r="A586" s="1027"/>
      <c r="B586" s="1118"/>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7">
        <f>'Service Amenities Budget'!J10</f>
        <v>570</v>
      </c>
      <c r="V588" s="3037"/>
      <c r="W588" s="30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8">
        <f>'Service Amenities Budget'!J9</f>
        <v>0</v>
      </c>
      <c r="V589" s="3038"/>
      <c r="W589" s="30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9">
        <f>IF(AP590&gt;0,AP590,0)</f>
        <v>0</v>
      </c>
      <c r="AR590" s="303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1" t="s">
        <v>1748</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0" t="s">
        <v>625</v>
      </c>
      <c r="D596" s="304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2" t="s">
        <v>1750</v>
      </c>
      <c r="AG596" s="3042"/>
      <c r="AH596" s="3042"/>
      <c r="AI596" s="3042"/>
      <c r="AJ596" s="3042"/>
      <c r="AK596" s="3042"/>
      <c r="AL596" s="30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1" t="s">
        <v>1751</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0" t="s">
        <v>625</v>
      </c>
      <c r="D604" s="304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2" t="s">
        <v>1750</v>
      </c>
      <c r="AG604" s="3042"/>
      <c r="AH604" s="3042"/>
      <c r="AI604" s="3042"/>
      <c r="AJ604" s="3042"/>
      <c r="AK604" s="3042"/>
      <c r="AL604" s="30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1" t="s">
        <v>1753</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0" t="s">
        <v>577</v>
      </c>
      <c r="D612" s="304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2" t="s">
        <v>1755</v>
      </c>
      <c r="AG612" s="3042"/>
      <c r="AH612" s="3042"/>
      <c r="AI612" s="3042"/>
      <c r="AJ612" s="3042"/>
      <c r="AK612" s="3042"/>
      <c r="AL612" s="30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0" t="s">
        <v>625</v>
      </c>
      <c r="D614" s="304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2" t="s">
        <v>1750</v>
      </c>
      <c r="AG614" s="3042"/>
      <c r="AH614" s="3042"/>
      <c r="AI614" s="3042"/>
      <c r="AJ614" s="3042"/>
      <c r="AK614" s="3042"/>
      <c r="AL614" s="30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1" t="s">
        <v>1759</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0" t="s">
        <v>625</v>
      </c>
      <c r="D622" s="304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2" t="s">
        <v>1750</v>
      </c>
      <c r="AG622" s="3042"/>
      <c r="AH622" s="3042"/>
      <c r="AI622" s="3042"/>
      <c r="AJ622" s="3042"/>
      <c r="AK622" s="3042"/>
      <c r="AL622" s="30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0" t="s">
        <v>577</v>
      </c>
      <c r="D624" s="304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2" t="s">
        <v>1762</v>
      </c>
      <c r="AG624" s="3042"/>
      <c r="AH624" s="3042"/>
      <c r="AI624" s="3042"/>
      <c r="AJ624" s="3042"/>
      <c r="AK624" s="3042"/>
      <c r="AL624" s="30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0" t="s">
        <v>625</v>
      </c>
      <c r="D627" s="3041"/>
      <c r="E627" s="1174" t="s">
        <v>1763</v>
      </c>
      <c r="F627" s="3031" t="s">
        <v>1764</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1750</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7" t="s">
        <v>1766</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1"/>
      <c r="AG632" s="1211"/>
      <c r="AH632" s="1211"/>
      <c r="AI632" s="1211"/>
      <c r="AJ632" s="1211"/>
      <c r="AK632" s="1211"/>
      <c r="AL632" s="1212"/>
      <c r="AM632" s="1134"/>
    </row>
    <row r="633" spans="1:81">
      <c r="A633" s="927"/>
      <c r="C633" s="1192"/>
      <c r="D633" s="112"/>
      <c r="E633" s="1146"/>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3"/>
      <c r="AG633" s="991"/>
      <c r="AH633" s="1025"/>
      <c r="AI633" s="1025"/>
      <c r="AJ633" s="1025"/>
      <c r="AK633" s="1025"/>
      <c r="AL633" s="1193"/>
      <c r="AM633" s="1134"/>
    </row>
    <row r="634" spans="1:81" s="943" customFormat="1" ht="12.75" customHeight="1">
      <c r="A634" s="927"/>
      <c r="B634" s="51"/>
      <c r="C634" s="1192"/>
      <c r="D634" s="112"/>
      <c r="E634" s="1146"/>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5"/>
      <c r="AG634" s="1025"/>
      <c r="AH634" s="1025"/>
      <c r="AI634" s="1025"/>
      <c r="AJ634" s="1025"/>
      <c r="AK634" s="1025"/>
      <c r="AL634" s="1193"/>
      <c r="AM634" s="1134"/>
      <c r="AN634" s="1000"/>
    </row>
    <row r="635" spans="1:81" s="943" customFormat="1" ht="12.75" customHeight="1">
      <c r="A635" s="927"/>
      <c r="B635" s="51"/>
      <c r="C635" s="1201"/>
      <c r="D635" s="1025"/>
      <c r="E635" s="1025"/>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5"/>
      <c r="AG635" s="1025"/>
      <c r="AH635" s="1025"/>
      <c r="AI635" s="1025"/>
      <c r="AJ635" s="1025"/>
      <c r="AK635" s="1025"/>
      <c r="AL635" s="1193"/>
      <c r="AM635" s="1134"/>
      <c r="AN635" s="1000"/>
    </row>
    <row r="636" spans="1:81" s="943" customFormat="1" ht="12.75" customHeight="1">
      <c r="A636" s="927"/>
      <c r="B636" s="51"/>
      <c r="C636" s="3040" t="s">
        <v>625</v>
      </c>
      <c r="D636" s="304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1750</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0" t="s">
        <v>625</v>
      </c>
      <c r="D638" s="304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1762</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1" t="s">
        <v>1771</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5"/>
      <c r="AG644" s="1025"/>
      <c r="AH644" s="1025"/>
      <c r="AI644" s="1025"/>
      <c r="AJ644" s="1025"/>
      <c r="AK644" s="1025"/>
      <c r="AL644" s="1193"/>
      <c r="AM644" s="1134"/>
      <c r="AN644" s="1000"/>
      <c r="AO644" s="1025"/>
      <c r="AP644" s="1025"/>
    </row>
    <row r="645" spans="1:60" s="943" customFormat="1" ht="12.75" customHeight="1">
      <c r="A645" s="927"/>
      <c r="B645" s="51"/>
      <c r="C645" s="3040" t="s">
        <v>625</v>
      </c>
      <c r="D645" s="304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1750</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31" t="s">
        <v>1774</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4"/>
      <c r="AG653" s="1224"/>
      <c r="AH653" s="1224"/>
      <c r="AI653" s="1224"/>
      <c r="AJ653" s="1224"/>
      <c r="AK653" s="1224"/>
      <c r="AL653" s="1225"/>
      <c r="AM653" s="1134"/>
      <c r="AN653" s="1000"/>
    </row>
    <row r="654" spans="1:60" s="943" customFormat="1" ht="12.75" customHeight="1">
      <c r="A654" s="927"/>
      <c r="B654" s="51"/>
      <c r="C654" s="1226"/>
      <c r="D654" s="1191"/>
      <c r="E654" s="1178"/>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4"/>
      <c r="AG654" s="1224"/>
      <c r="AH654" s="1224"/>
      <c r="AI654" s="1224"/>
      <c r="AJ654" s="1224"/>
      <c r="AK654" s="1224"/>
      <c r="AL654" s="1225"/>
      <c r="AM654" s="1134"/>
      <c r="AN654" s="1000"/>
    </row>
    <row r="655" spans="1:60" s="943" customFormat="1" ht="12.75" customHeight="1">
      <c r="A655" s="927"/>
      <c r="B655" s="51"/>
      <c r="C655" s="1226"/>
      <c r="D655" s="1191"/>
      <c r="E655" s="1178"/>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4"/>
      <c r="AG655" s="1224"/>
      <c r="AH655" s="1224"/>
      <c r="AI655" s="1224"/>
      <c r="AJ655" s="1224"/>
      <c r="AK655" s="1224"/>
      <c r="AL655" s="1225"/>
      <c r="AM655" s="1134"/>
      <c r="AN655" s="1000"/>
    </row>
    <row r="656" spans="1:60" s="943" customFormat="1" ht="17.25" customHeight="1">
      <c r="A656" s="927"/>
      <c r="B656" s="51"/>
      <c r="C656" s="1226"/>
      <c r="D656" s="1191"/>
      <c r="E656" s="1178"/>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5"/>
      <c r="AG656" s="1025"/>
      <c r="AH656" s="1025"/>
      <c r="AI656" s="1025"/>
      <c r="AJ656" s="1025"/>
      <c r="AK656" s="1025"/>
      <c r="AL656" s="1193"/>
      <c r="AM656" s="1134"/>
      <c r="AN656" s="1000"/>
    </row>
    <row r="657" spans="1:54" s="943" customFormat="1" ht="12.75" customHeight="1">
      <c r="A657" s="927"/>
      <c r="B657" s="51"/>
      <c r="C657" s="3040" t="s">
        <v>625</v>
      </c>
      <c r="D657" s="304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1750</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1" t="s">
        <v>1777</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0" t="s">
        <v>625</v>
      </c>
      <c r="D664" s="304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1750</v>
      </c>
      <c r="AG664" s="3139"/>
      <c r="AH664" s="3139"/>
      <c r="AI664" s="3139"/>
      <c r="AJ664" s="3139"/>
      <c r="AK664" s="3139"/>
      <c r="AL664" s="3140"/>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1" t="s">
        <v>625</v>
      </c>
      <c r="D668" s="3142"/>
      <c r="E668" s="1174" t="s">
        <v>1786</v>
      </c>
      <c r="F668" s="3031" t="s">
        <v>1787</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1750</v>
      </c>
      <c r="AG668" s="3135"/>
      <c r="AH668" s="3135"/>
      <c r="AI668" s="3135"/>
      <c r="AJ668" s="3135"/>
      <c r="AK668" s="3135"/>
      <c r="AL668" s="3136"/>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0" t="s">
        <v>625</v>
      </c>
      <c r="D672" s="3041"/>
      <c r="E672" s="1174" t="s">
        <v>1792</v>
      </c>
      <c r="F672" s="3031" t="s">
        <v>1793</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1750</v>
      </c>
      <c r="AG672" s="3135"/>
      <c r="AH672" s="3135"/>
      <c r="AI672" s="3135"/>
      <c r="AJ672" s="3135"/>
      <c r="AK672" s="3135"/>
      <c r="AL672" s="3136"/>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7" t="s">
        <v>1796</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8"/>
      <c r="AH677" s="1173"/>
      <c r="AI677" s="1173"/>
      <c r="AJ677" s="1173"/>
      <c r="AK677" s="1173"/>
      <c r="AL677" s="1209"/>
      <c r="AM677" s="1134"/>
      <c r="AN677" s="1000"/>
    </row>
    <row r="678" spans="1:54" s="943" customFormat="1" ht="12.75" customHeight="1">
      <c r="A678" s="927"/>
      <c r="B678" s="51"/>
      <c r="C678" s="1192"/>
      <c r="D678" s="112"/>
      <c r="E678" s="1146"/>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5"/>
      <c r="AH678" s="1025"/>
      <c r="AI678" s="1025"/>
      <c r="AJ678" s="1025"/>
      <c r="AK678" s="1025"/>
      <c r="AL678" s="1193"/>
      <c r="AM678" s="1134"/>
      <c r="AN678" s="1000"/>
    </row>
    <row r="679" spans="1:54" s="943" customFormat="1" ht="12.75" customHeight="1">
      <c r="A679" s="927"/>
      <c r="B679" s="51"/>
      <c r="C679" s="1201"/>
      <c r="D679" s="1025"/>
      <c r="E679" s="1025"/>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5"/>
      <c r="AH679" s="1025"/>
      <c r="AI679" s="1025"/>
      <c r="AJ679" s="1025"/>
      <c r="AK679" s="1025"/>
      <c r="AL679" s="1193"/>
      <c r="AM679" s="1134"/>
      <c r="AN679" s="1000"/>
    </row>
    <row r="680" spans="1:54" s="943" customFormat="1" ht="12.75" customHeight="1">
      <c r="A680" s="927"/>
      <c r="B680" s="51"/>
      <c r="C680" s="1201"/>
      <c r="D680" s="1025"/>
      <c r="E680" s="1025"/>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5"/>
      <c r="AH680" s="1025"/>
      <c r="AI680" s="1025"/>
      <c r="AJ680" s="1025"/>
      <c r="AK680" s="1025"/>
      <c r="AL680" s="1193"/>
      <c r="AM680" s="1134"/>
      <c r="AN680" s="1000"/>
    </row>
    <row r="681" spans="1:54" s="943" customFormat="1" ht="12.75" customHeight="1">
      <c r="A681" s="927"/>
      <c r="B681" s="51"/>
      <c r="C681" s="3040" t="s">
        <v>625</v>
      </c>
      <c r="D681" s="304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2" t="s">
        <v>1750</v>
      </c>
      <c r="AG681" s="3042"/>
      <c r="AH681" s="3042"/>
      <c r="AI681" s="3042"/>
      <c r="AJ681" s="3042"/>
      <c r="AK681" s="3042"/>
      <c r="AL681" s="30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7">
        <f>IF(Application!D213="N/A",AS573,AS575)</f>
        <v>10</v>
      </c>
      <c r="AL684" s="3028"/>
      <c r="AM684" s="302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0" t="s">
        <v>1800</v>
      </c>
      <c r="AF687" s="3030"/>
      <c r="AG687" s="3030"/>
      <c r="AH687" s="3030"/>
      <c r="AI687" s="3030"/>
      <c r="AJ687" s="3030"/>
      <c r="AK687" s="303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6" t="s">
        <v>625</v>
      </c>
      <c r="D693" s="3117"/>
      <c r="E693" s="1248" t="s">
        <v>539</v>
      </c>
      <c r="F693" s="3125" t="s">
        <v>1806</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1" t="s">
        <v>625</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2" t="s">
        <v>577</v>
      </c>
      <c r="D697" s="3133"/>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5" t="s">
        <v>625</v>
      </c>
      <c r="W700" s="3035"/>
      <c r="X700" s="3035"/>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5" t="s">
        <v>625</v>
      </c>
      <c r="W702" s="3035"/>
      <c r="X702" s="3035"/>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5" t="s">
        <v>625</v>
      </c>
      <c r="W707" s="3035"/>
      <c r="X707" s="3035"/>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9"/>
      <c r="E710" s="311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5" t="s">
        <v>625</v>
      </c>
      <c r="W711" s="3035"/>
      <c r="X711" s="3035"/>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5" t="s">
        <v>625</v>
      </c>
      <c r="W713" s="3035"/>
      <c r="X713" s="3035"/>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6" t="s">
        <v>625</v>
      </c>
      <c r="D716" s="3117"/>
      <c r="E716" s="1248" t="s">
        <v>539</v>
      </c>
      <c r="F716" s="3125" t="s">
        <v>1806</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7" t="s">
        <v>625</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6" t="s">
        <v>625</v>
      </c>
      <c r="D720" s="3117"/>
      <c r="E720" s="1248" t="s">
        <v>797</v>
      </c>
      <c r="F720" s="3128" t="s">
        <v>1828</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0" t="s">
        <v>625</v>
      </c>
      <c r="G723" s="3130"/>
      <c r="H723" s="313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6" t="s">
        <v>625</v>
      </c>
      <c r="D725" s="3117"/>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8"/>
      <c r="D727" s="311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0" t="s">
        <v>625</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1" t="s">
        <v>625</v>
      </c>
      <c r="D730" s="3122"/>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1" t="s">
        <v>625</v>
      </c>
      <c r="D734" s="3122"/>
      <c r="E734" s="1025"/>
      <c r="F734" s="1290" t="s">
        <v>1836</v>
      </c>
      <c r="G734" s="3123" t="s">
        <v>1837</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5" t="s">
        <v>625</v>
      </c>
      <c r="D738" s="3106"/>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7" t="s">
        <v>625</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7">
        <f>SUM(AG694:AG739)</f>
        <v>0</v>
      </c>
      <c r="AL750" s="3028"/>
      <c r="AM750" s="302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9" t="s">
        <v>1851</v>
      </c>
      <c r="AF753" s="3109"/>
      <c r="AG753" s="3109"/>
      <c r="AH753" s="3109"/>
      <c r="AI753" s="3109"/>
      <c r="AJ753" s="3109"/>
      <c r="AK753" s="310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1" t="s">
        <v>625</v>
      </c>
      <c r="D756" s="3041"/>
      <c r="E756" s="944"/>
      <c r="F756" s="3110" t="s">
        <v>1852</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5"/>
      <c r="AN756" s="1000"/>
    </row>
    <row r="757" spans="1:49" s="943" customFormat="1" ht="12.75" customHeight="1">
      <c r="A757" s="1012"/>
      <c r="B757" s="1012"/>
      <c r="C757" s="944"/>
      <c r="D757" s="944"/>
      <c r="E757" s="944"/>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1" t="s">
        <v>577</v>
      </c>
      <c r="D759" s="304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9" t="s">
        <v>1854</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5"/>
      <c r="AN760" s="1000"/>
      <c r="AS760" s="1483"/>
      <c r="AT760" s="1483"/>
      <c r="AU760" s="1483"/>
      <c r="AV760" s="1483"/>
      <c r="AW760" s="1483"/>
    </row>
    <row r="761" spans="1:49" s="943" customFormat="1" ht="12.75" customHeight="1">
      <c r="A761" s="1026"/>
      <c r="B761" s="1305"/>
      <c r="C761" s="1305"/>
      <c r="D761" s="1305"/>
      <c r="E761" s="1305"/>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9" t="s">
        <v>1856</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4"/>
      <c r="AM763" s="1005"/>
      <c r="AN763" s="1000"/>
      <c r="AT763" s="1089"/>
      <c r="AU763" s="1089"/>
      <c r="AV763" s="1089"/>
    </row>
    <row r="764" spans="1:49" s="943" customFormat="1" ht="12.75" customHeight="1">
      <c r="A764" s="1026"/>
      <c r="B764" s="1305"/>
      <c r="C764" s="1305"/>
      <c r="D764" s="1305"/>
      <c r="E764" s="1305"/>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3">
        <f>Application!AJ975</f>
        <v>114552360</v>
      </c>
      <c r="AQ765" s="3013"/>
      <c r="AR765" s="301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4">
        <f>'Sources and Uses Budget'!S107+'Sources and Uses Budget'!T107</f>
        <v>91478376</v>
      </c>
      <c r="AG766" s="3024"/>
      <c r="AH766" s="3024"/>
      <c r="AI766" s="3024"/>
      <c r="AJ766" s="3024"/>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5">
        <f>AP774</f>
        <v>183803433.59999999</v>
      </c>
      <c r="AG767" s="3025"/>
      <c r="AH767" s="3025"/>
      <c r="AI767" s="3025"/>
      <c r="AJ767" s="3025"/>
      <c r="AK767" s="1005"/>
      <c r="AL767" s="1005"/>
      <c r="AM767" s="1005"/>
      <c r="AN767" s="1000"/>
      <c r="AP767" s="3013">
        <f>Application!AJ1024</f>
        <v>24055995.599999998</v>
      </c>
      <c r="AQ767" s="3013"/>
      <c r="AR767" s="301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6">
        <f>ROUNDDOWN(IF(C759="YES",((1-(AF766/AF767))*2),(1-(AF766/AF767))),2)</f>
        <v>1</v>
      </c>
      <c r="AG768" s="3026"/>
      <c r="AH768" s="3026"/>
      <c r="AI768" s="3026"/>
      <c r="AJ768" s="3026"/>
      <c r="AK768" s="1005"/>
      <c r="AL768" s="1005"/>
      <c r="AM768" s="1005"/>
      <c r="AN768" s="1000"/>
      <c r="AP768" s="3014">
        <f>Application!AJ1028</f>
        <v>22910472</v>
      </c>
      <c r="AQ768" s="3014"/>
      <c r="AR768" s="301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3">
        <f>IF(((AP767+AP768)/AP765)&gt;0.8,0.8,((AP767+AP768)/AP765))</f>
        <v>0.41</v>
      </c>
      <c r="AQ769" s="3033"/>
      <c r="AR769" s="3033"/>
    </row>
    <row r="770" spans="1:44" s="943" customFormat="1" ht="12.75" customHeight="1">
      <c r="A770" s="1048"/>
      <c r="B770" s="3085" t="s">
        <v>1859</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5"/>
      <c r="AL770" s="1005"/>
      <c r="AM770" s="1005"/>
      <c r="AN770" s="1000"/>
    </row>
    <row r="771" spans="1:44" s="943" customFormat="1" ht="12.75" customHeight="1">
      <c r="A771" s="1048"/>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5"/>
      <c r="AL771" s="1005"/>
      <c r="AM771" s="1005"/>
      <c r="AN771" s="1000"/>
      <c r="AP771" s="3013">
        <f>AP772-AP767-AP768</f>
        <v>136836966</v>
      </c>
      <c r="AQ771" s="3034"/>
      <c r="AR771" s="3034"/>
    </row>
    <row r="772" spans="1:44" s="943" customFormat="1" ht="12.75" customHeight="1">
      <c r="A772" s="1048"/>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5"/>
      <c r="AL772" s="1005"/>
      <c r="AM772" s="1005"/>
      <c r="AN772" s="1000"/>
      <c r="AP772" s="3013">
        <f>Application!AJ1032</f>
        <v>183803433.59999999</v>
      </c>
      <c r="AQ772" s="3013"/>
      <c r="AR772" s="301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4">
        <f>IF(AF768=0,0,IF((AF768*100)&gt;12,12,(AF768*100)))</f>
        <v>12</v>
      </c>
      <c r="AL774" s="3094"/>
      <c r="AM774" s="3095"/>
      <c r="AN774" s="1000"/>
      <c r="AP774" s="3002">
        <f>AP771+(AP765*AP769)</f>
        <v>183803433.59999999</v>
      </c>
      <c r="AQ774" s="3003"/>
      <c r="AR774" s="300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6" t="s">
        <v>1861</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7"/>
      <c r="AP780" s="1320"/>
      <c r="AQ780" s="1319"/>
    </row>
    <row r="781" spans="1:44">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9" t="s">
        <v>1862</v>
      </c>
      <c r="U782" s="3100"/>
      <c r="V782" s="3100"/>
      <c r="W782" s="3100"/>
      <c r="X782" s="3100"/>
      <c r="Y782" s="3101"/>
      <c r="Z782" s="3099" t="s">
        <v>1863</v>
      </c>
      <c r="AA782" s="3100"/>
      <c r="AB782" s="3100"/>
      <c r="AC782" s="3100"/>
      <c r="AD782" s="3100"/>
      <c r="AE782" s="3101"/>
      <c r="AF782" s="3099" t="s">
        <v>1864</v>
      </c>
      <c r="AG782" s="3100"/>
      <c r="AH782" s="3100"/>
      <c r="AI782" s="3100"/>
      <c r="AJ782" s="3100"/>
      <c r="AK782" s="310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2"/>
      <c r="U783" s="3103"/>
      <c r="V783" s="3103"/>
      <c r="W783" s="3103"/>
      <c r="X783" s="3103"/>
      <c r="Y783" s="3104"/>
      <c r="Z783" s="3102"/>
      <c r="AA783" s="3103"/>
      <c r="AB783" s="3103"/>
      <c r="AC783" s="3103"/>
      <c r="AD783" s="3103"/>
      <c r="AE783" s="3104"/>
      <c r="AF783" s="3102"/>
      <c r="AG783" s="3103"/>
      <c r="AH783" s="3103"/>
      <c r="AI783" s="3103"/>
      <c r="AJ783" s="3103"/>
      <c r="AK783" s="3104"/>
      <c r="AL783" s="1322"/>
      <c r="AM783" s="1216"/>
      <c r="AO783" s="1320"/>
      <c r="AP783" s="1319"/>
      <c r="AQ783" s="1319"/>
    </row>
    <row r="784" spans="1:44">
      <c r="A784" s="1323" t="s">
        <v>797</v>
      </c>
      <c r="B784" s="3053" t="s">
        <v>1562</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22"/>
      <c r="AM784" s="1216"/>
      <c r="AO784" s="1319"/>
      <c r="AP784" s="1319"/>
      <c r="AQ784" s="1319"/>
    </row>
    <row r="785" spans="1:81">
      <c r="A785" s="1323" t="s">
        <v>1830</v>
      </c>
      <c r="B785" s="3053" t="s">
        <v>1583</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22"/>
      <c r="AM785" s="1216"/>
      <c r="AO785" s="1319"/>
      <c r="AP785" s="1319"/>
      <c r="AQ785" s="1319"/>
    </row>
    <row r="786" spans="1:81">
      <c r="A786" s="1323" t="s">
        <v>1839</v>
      </c>
      <c r="B786" s="3053" t="s">
        <v>1593</v>
      </c>
      <c r="C786" s="3053"/>
      <c r="D786" s="3053"/>
      <c r="E786" s="3053"/>
      <c r="F786" s="3053"/>
      <c r="G786" s="3053"/>
      <c r="H786" s="3053"/>
      <c r="I786" s="3053"/>
      <c r="J786" s="3053"/>
      <c r="K786" s="3053"/>
      <c r="L786" s="3053"/>
      <c r="M786" s="3053"/>
      <c r="N786" s="3053"/>
      <c r="O786" s="3053"/>
      <c r="P786" s="3053"/>
      <c r="Q786" s="3053"/>
      <c r="R786" s="3053"/>
      <c r="S786" s="3054"/>
      <c r="T786" s="3084">
        <f ca="1">AK97</f>
        <v>20</v>
      </c>
      <c r="U786" s="3057"/>
      <c r="V786" s="3057"/>
      <c r="W786" s="3057"/>
      <c r="X786" s="3057"/>
      <c r="Y786" s="3058"/>
      <c r="Z786" s="3056">
        <v>20</v>
      </c>
      <c r="AA786" s="3057"/>
      <c r="AB786" s="3057"/>
      <c r="AC786" s="3057"/>
      <c r="AD786" s="3057"/>
      <c r="AE786" s="3058"/>
      <c r="AF786" s="3059">
        <f ca="1">IF(T786&gt;Z786,Z786,T786)</f>
        <v>20</v>
      </c>
      <c r="AG786" s="3059"/>
      <c r="AH786" s="3059"/>
      <c r="AI786" s="3059"/>
      <c r="AJ786" s="3059"/>
      <c r="AK786" s="3059"/>
      <c r="AL786" s="1322"/>
      <c r="AM786" s="1216"/>
      <c r="AO786" s="1319"/>
      <c r="AP786" s="1319"/>
      <c r="AQ786" s="1319"/>
    </row>
    <row r="787" spans="1:81">
      <c r="A787" s="1323" t="s">
        <v>1865</v>
      </c>
      <c r="B787" s="3053" t="s">
        <v>1603</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22"/>
      <c r="AM787" s="1216"/>
      <c r="AO787" s="1319"/>
      <c r="AP787" s="1319"/>
      <c r="AQ787" s="1319"/>
    </row>
    <row r="788" spans="1:81">
      <c r="A788" s="1325" t="s">
        <v>1866</v>
      </c>
      <c r="B788" s="3053" t="s">
        <v>1867</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22"/>
      <c r="AM788" s="1216"/>
    </row>
    <row r="789" spans="1:81">
      <c r="A789" s="926"/>
      <c r="B789" s="1009"/>
      <c r="C789" s="3060" t="s">
        <v>1868</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22"/>
      <c r="AM789" s="1216"/>
    </row>
    <row r="790" spans="1:81">
      <c r="A790" s="1326"/>
      <c r="B790" s="1009"/>
      <c r="C790" s="3060" t="s">
        <v>1869</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22"/>
      <c r="AM790" s="1216"/>
      <c r="AO790" s="943"/>
    </row>
    <row r="791" spans="1:81">
      <c r="A791" s="1325" t="s">
        <v>1631</v>
      </c>
      <c r="B791" s="3053" t="s">
        <v>1870</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22"/>
      <c r="AM791" s="1216"/>
    </row>
    <row r="792" spans="1:81">
      <c r="A792" s="1323" t="s">
        <v>1640</v>
      </c>
      <c r="B792" s="3053" t="s">
        <v>1641</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22"/>
      <c r="AM792" s="1216"/>
    </row>
    <row r="793" spans="1:81" s="925" customFormat="1" hidden="1">
      <c r="A793" s="1325" t="s">
        <v>623</v>
      </c>
      <c r="B793" s="3053" t="s">
        <v>1871</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3" t="s">
        <v>1872</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3" t="s">
        <v>1651</v>
      </c>
      <c r="C795" s="3053"/>
      <c r="D795" s="3053"/>
      <c r="E795" s="3053"/>
      <c r="F795" s="3053"/>
      <c r="G795" s="3053"/>
      <c r="H795" s="3053"/>
      <c r="I795" s="3053"/>
      <c r="J795" s="3053"/>
      <c r="K795" s="3053"/>
      <c r="L795" s="3053"/>
      <c r="M795" s="3053"/>
      <c r="N795" s="3053"/>
      <c r="O795" s="3053"/>
      <c r="P795" s="3053"/>
      <c r="Q795" s="3053"/>
      <c r="R795" s="3053"/>
      <c r="S795" s="3054"/>
      <c r="T795" s="3055">
        <f>AK553</f>
        <v>20</v>
      </c>
      <c r="U795" s="3055"/>
      <c r="V795" s="3055"/>
      <c r="W795" s="3055"/>
      <c r="X795" s="3055"/>
      <c r="Y795" s="3055"/>
      <c r="Z795" s="3065">
        <v>20</v>
      </c>
      <c r="AA795" s="3066"/>
      <c r="AB795" s="3066"/>
      <c r="AC795" s="3066"/>
      <c r="AD795" s="3066"/>
      <c r="AE795" s="3067"/>
      <c r="AF795" s="3065">
        <f>IF(T795&gt;Z795,Z795,T795)</f>
        <v>20</v>
      </c>
      <c r="AG795" s="3068"/>
      <c r="AH795" s="3068"/>
      <c r="AI795" s="3068"/>
      <c r="AJ795" s="3068"/>
      <c r="AK795" s="306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2">
        <f>AK320</f>
        <v>20</v>
      </c>
      <c r="U796" s="3062"/>
      <c r="V796" s="3062"/>
      <c r="W796" s="3062"/>
      <c r="X796" s="3062"/>
      <c r="Y796" s="3062"/>
      <c r="Z796" s="3027">
        <v>20</v>
      </c>
      <c r="AA796" s="3028"/>
      <c r="AB796" s="3028"/>
      <c r="AC796" s="3028"/>
      <c r="AD796" s="3028"/>
      <c r="AE796" s="3029"/>
      <c r="AF796" s="3064"/>
      <c r="AG796" s="3064"/>
      <c r="AH796" s="3064"/>
      <c r="AI796" s="3064"/>
      <c r="AJ796" s="3064"/>
      <c r="AK796" s="306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2">
        <f>AK551</f>
        <v>10</v>
      </c>
      <c r="U797" s="3062"/>
      <c r="V797" s="3062"/>
      <c r="W797" s="3062"/>
      <c r="X797" s="3062"/>
      <c r="Y797" s="3062"/>
      <c r="Z797" s="3027">
        <v>10</v>
      </c>
      <c r="AA797" s="3028"/>
      <c r="AB797" s="3028"/>
      <c r="AC797" s="3028"/>
      <c r="AD797" s="3028"/>
      <c r="AE797" s="3029"/>
      <c r="AF797" s="3064"/>
      <c r="AG797" s="3064"/>
      <c r="AH797" s="3064"/>
      <c r="AI797" s="3064"/>
      <c r="AJ797" s="3064"/>
      <c r="AK797" s="306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3" t="s">
        <v>907</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3" t="s">
        <v>1850</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0" t="s">
        <v>1875</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1876</v>
      </c>
      <c r="AA800" s="3063"/>
      <c r="AB800" s="3063"/>
      <c r="AC800" s="3063"/>
      <c r="AD800" s="3063"/>
      <c r="AE800" s="3063"/>
      <c r="AF800" s="3065">
        <f>IF(T800&gt;0,T800,0)</f>
        <v>0</v>
      </c>
      <c r="AG800" s="3066"/>
      <c r="AH800" s="3066"/>
      <c r="AI800" s="3066"/>
      <c r="AJ800" s="3066"/>
      <c r="AK800" s="306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2" t="s">
        <v>1877</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 ca="1">SUM(AF784:AK799)-AF800</f>
        <v>120</v>
      </c>
      <c r="AG801" s="3079"/>
      <c r="AH801" s="3079"/>
      <c r="AI801" s="3079"/>
      <c r="AJ801" s="3079"/>
      <c r="AK801" s="308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EEDF37-0941-458C-963F-CBCE5C1EF5D0}">
  <ds:schemaRefs>
    <ds:schemaRef ds:uri="http://purl.org/dc/elements/1.1/"/>
    <ds:schemaRef ds:uri="http://schemas.microsoft.com/office/2006/metadata/properties"/>
    <ds:schemaRef ds:uri="http://schemas.openxmlformats.org/package/2006/metadata/core-properties"/>
    <ds:schemaRef ds:uri="http://schemas.microsoft.com/sharepoint/v4"/>
    <ds:schemaRef ds:uri="http://purl.org/dc/terms/"/>
    <ds:schemaRef ds:uri="http://schemas.microsoft.com/office/2006/documentManagement/types"/>
    <ds:schemaRef ds:uri="http://schemas.microsoft.com/office/infopath/2007/PartnerControls"/>
    <ds:schemaRef ds:uri="12787784-bee3-4f4c-b8c2-408b19805a85"/>
    <ds:schemaRef ds:uri="http://www.w3.org/XML/1998/namespace"/>
    <ds:schemaRef ds:uri="http://purl.org/dc/dcmitype/"/>
  </ds:schemaRefs>
</ds:datastoreItem>
</file>

<file path=customXml/itemProps2.xml><?xml version="1.0" encoding="utf-8"?>
<ds:datastoreItem xmlns:ds="http://schemas.openxmlformats.org/officeDocument/2006/customXml" ds:itemID="{DE07B7EB-8DAC-44B0-A4F1-912754DEE4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CE8210-7418-40D4-BA1B-817A697891D7}">
  <ds:schemaRefs>
    <ds:schemaRef ds:uri="http://schemas.microsoft.com/sharepoint/events"/>
  </ds:schemaRefs>
</ds:datastoreItem>
</file>

<file path=customXml/itemProps4.xml><?xml version="1.0" encoding="utf-8"?>
<ds:datastoreItem xmlns:ds="http://schemas.openxmlformats.org/officeDocument/2006/customXml" ds:itemID="{9649C92C-9F98-49D2-8920-9916DD18E9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Kelley</cp:lastModifiedBy>
  <cp:lastPrinted>2021-09-01T22:40:19Z</cp:lastPrinted>
  <dcterms:created xsi:type="dcterms:W3CDTF">2007-12-27T18:26:28Z</dcterms:created>
  <dcterms:modified xsi:type="dcterms:W3CDTF">2021-09-07T19:56:42Z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