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Glendale\515 Pioneer Drive RFP\Finance\CDLAC-TCAC\Application\Draft-working\"/>
    </mc:Choice>
  </mc:AlternateContent>
  <xr:revisionPtr revIDLastSave="0" documentId="13_ncr:1_{DFAF9F61-4A2E-4D5D-B83A-F48190BB3D72}" xr6:coauthVersionLast="47" xr6:coauthVersionMax="47" xr10:uidLastSave="{00000000-0000-0000-0000-000000000000}"/>
  <bookViews>
    <workbookView xWindow="-4005" yWindow="6255" windowWidth="21600" windowHeight="11325"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1" i="7" l="1"/>
  <c r="Y67" i="7"/>
  <c r="R639" i="3" l="1"/>
  <c r="O639" i="3"/>
  <c r="AO641" i="3"/>
  <c r="AM571" i="3"/>
  <c r="AC884" i="3" l="1"/>
  <c r="C40" i="4"/>
  <c r="C83" i="4"/>
  <c r="S45" i="4"/>
  <c r="C45" i="4"/>
  <c r="AG66" i="7"/>
  <c r="AG65" i="7"/>
  <c r="AE66" i="7"/>
  <c r="AE65" i="7"/>
  <c r="AC66" i="7"/>
  <c r="AC65" i="7"/>
  <c r="AA66" i="7"/>
  <c r="AA65" i="7"/>
  <c r="Y66" i="7"/>
  <c r="Y52" i="7"/>
  <c r="AA52" i="7" s="1"/>
  <c r="AC52" i="7" s="1"/>
  <c r="AE52" i="7" s="1"/>
  <c r="AG52" i="7" s="1"/>
  <c r="Y65" i="7" l="1"/>
  <c r="I28" i="7"/>
  <c r="K28" i="7" s="1"/>
  <c r="M28" i="7" s="1"/>
  <c r="O28" i="7" s="1"/>
  <c r="Q28" i="7" s="1"/>
  <c r="S28" i="7" s="1"/>
  <c r="U28" i="7" s="1"/>
  <c r="W28" i="7" s="1"/>
  <c r="Y28" i="7" s="1"/>
  <c r="AA28" i="7" s="1"/>
  <c r="AC28" i="7" s="1"/>
  <c r="AE28" i="7" s="1"/>
  <c r="AG28" i="7" s="1"/>
  <c r="G28" i="7"/>
  <c r="I31" i="7"/>
  <c r="G31" i="7" l="1"/>
  <c r="A31" i="7"/>
  <c r="E84" i="4" l="1"/>
  <c r="E85" i="4"/>
  <c r="E86" i="4"/>
  <c r="E87" i="4"/>
  <c r="E88" i="4"/>
  <c r="E89" i="4"/>
  <c r="E90" i="4"/>
  <c r="E91" i="4"/>
  <c r="E92" i="4"/>
  <c r="E93" i="4"/>
  <c r="E94" i="4"/>
  <c r="E95" i="4"/>
  <c r="E79" i="4"/>
  <c r="E75" i="4"/>
  <c r="E65" i="4"/>
  <c r="E57" i="4"/>
  <c r="E58" i="4"/>
  <c r="E59" i="4"/>
  <c r="E60" i="4"/>
  <c r="E61" i="4"/>
  <c r="E56" i="4"/>
  <c r="E47" i="4"/>
  <c r="E48" i="4"/>
  <c r="E50" i="4"/>
  <c r="E51" i="4"/>
  <c r="E52" i="4"/>
  <c r="E53" i="4"/>
  <c r="E43" i="4"/>
  <c r="E41" i="4"/>
  <c r="E31" i="4"/>
  <c r="E32" i="4"/>
  <c r="E33" i="4"/>
  <c r="E34" i="4"/>
  <c r="E35" i="4"/>
  <c r="E36" i="4"/>
  <c r="E37" i="4"/>
  <c r="E29" i="4"/>
  <c r="E13" i="4"/>
  <c r="E10" i="4"/>
  <c r="E5" i="4"/>
  <c r="E6" i="4"/>
  <c r="E4" i="4"/>
  <c r="E30" i="4"/>
  <c r="S89" i="4"/>
  <c r="S93" i="4"/>
  <c r="S99" i="4"/>
  <c r="S95" i="4"/>
  <c r="S94" i="4"/>
  <c r="C43" i="4"/>
  <c r="S80" i="4"/>
  <c r="C88" i="4"/>
  <c r="S85" i="4"/>
  <c r="S86" i="4"/>
  <c r="S84" i="4"/>
  <c r="S92" i="4" l="1"/>
  <c r="S65" i="4"/>
  <c r="C65" i="4"/>
  <c r="S50" i="4"/>
  <c r="C6" i="4"/>
  <c r="S52" i="4" l="1"/>
  <c r="S51" i="4"/>
  <c r="S43" i="4" l="1"/>
  <c r="S41" i="4"/>
  <c r="S40" i="4"/>
  <c r="S79" i="4"/>
  <c r="S48" i="4"/>
  <c r="S35" i="4"/>
  <c r="S30" i="4"/>
  <c r="S31" i="4"/>
  <c r="S32" i="4"/>
  <c r="S33" i="4"/>
  <c r="S29" i="4"/>
  <c r="S13" i="4"/>
  <c r="S10" i="4"/>
  <c r="C13" i="4"/>
  <c r="AA932" i="3"/>
  <c r="AA916" i="3"/>
  <c r="AA915" i="3"/>
  <c r="R638" i="3" l="1"/>
  <c r="O638" i="3"/>
  <c r="R637" i="3"/>
  <c r="O637" i="3"/>
  <c r="AG447" i="3"/>
  <c r="W844" i="3" l="1"/>
  <c r="I420" i="3" l="1"/>
  <c r="P417" i="3"/>
  <c r="H292" i="3"/>
  <c r="H291" i="3"/>
  <c r="H290" i="3"/>
  <c r="H289" i="3"/>
  <c r="Y277" i="3" l="1"/>
  <c r="L278" i="3"/>
  <c r="L277" i="3"/>
  <c r="L276" i="3"/>
  <c r="L275" i="3"/>
  <c r="L274" i="3"/>
  <c r="L273" i="3"/>
  <c r="Z246" i="3"/>
  <c r="AC244" i="3"/>
  <c r="W244" i="3"/>
  <c r="M247" i="3"/>
  <c r="M246" i="3"/>
  <c r="M245" i="3"/>
  <c r="M244" i="3"/>
  <c r="M243" i="3"/>
  <c r="M24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79" i="4"/>
  <c r="S70" i="4"/>
  <c r="E70" i="13" s="1"/>
  <c r="D81" i="4"/>
  <c r="F81" i="4"/>
  <c r="G81" i="4"/>
  <c r="H81" i="4"/>
  <c r="I81" i="4"/>
  <c r="J81" i="4"/>
  <c r="K81" i="4"/>
  <c r="L81" i="4"/>
  <c r="M81" i="4"/>
  <c r="N81" i="4"/>
  <c r="O81" i="4"/>
  <c r="P81" i="4"/>
  <c r="Q81" i="4"/>
  <c r="S81" i="4"/>
  <c r="E81" i="13" s="1"/>
  <c r="T81" i="4"/>
  <c r="H81" i="13" s="1"/>
  <c r="C81" i="4"/>
  <c r="B81" i="4" s="1"/>
  <c r="B80" i="4"/>
  <c r="E80" i="4" s="1"/>
  <c r="E81"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76" i="4"/>
  <c r="R75" i="4"/>
  <c r="R72" i="4"/>
  <c r="R73" i="4"/>
  <c r="R74" i="4"/>
  <c r="R69" i="4"/>
  <c r="R65" i="4"/>
  <c r="R61" i="4"/>
  <c r="R60" i="4"/>
  <c r="R59" i="4"/>
  <c r="R58" i="4"/>
  <c r="R57" i="4"/>
  <c r="R56" i="4"/>
  <c r="R53" i="4"/>
  <c r="R52" i="4"/>
  <c r="R51" i="4"/>
  <c r="R50" i="4"/>
  <c r="R48" i="4"/>
  <c r="R47" i="4"/>
  <c r="R43" i="4"/>
  <c r="R41"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E40" i="4" s="1"/>
  <c r="R40" i="4" s="1"/>
  <c r="B41" i="4"/>
  <c r="E42" i="4"/>
  <c r="G42" i="4"/>
  <c r="H42" i="4"/>
  <c r="K42" i="4"/>
  <c r="L42" i="4"/>
  <c r="O42" i="4"/>
  <c r="Q42" i="4"/>
  <c r="B43" i="4"/>
  <c r="B45" i="4"/>
  <c r="E45" i="4" s="1"/>
  <c r="R45" i="4" s="1"/>
  <c r="B46" i="4"/>
  <c r="E46" i="4" s="1"/>
  <c r="R46" i="4" s="1"/>
  <c r="B47" i="4"/>
  <c r="B48" i="4"/>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0" i="4" l="1"/>
  <c r="R81" i="4" s="1"/>
  <c r="E96" i="4"/>
  <c r="E54" i="4"/>
  <c r="N153" i="23"/>
  <c r="AJ1004" i="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<sst xmlns="http://schemas.openxmlformats.org/spreadsheetml/2006/main" count="5130" uniqueCount="2679">
  <si>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</si>
  <si>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</si>
  <si>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</si>
  <si>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</si>
  <si>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</si>
  <si>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</si>
  <si>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</si>
  <si>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</si>
  <si>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</si>
  <si>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</si>
  <si>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</si>
  <si>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</si>
  <si>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</si>
  <si>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</si>
  <si>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</si>
  <si>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</si>
  <si>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</si>
  <si>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</si>
  <si>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</si>
  <si>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</si>
  <si>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</si>
  <si>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</si>
  <si>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</si>
  <si>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</si>
  <si>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</si>
  <si>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</si>
  <si>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</si>
  <si>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</si>
  <si>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</si>
  <si>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</si>
  <si>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</si>
  <si>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</si>
  <si>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</si>
  <si>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</si>
  <si>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</si>
  <si>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</si>
  <si>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</si>
  <si>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</si>
  <si>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</si>
  <si>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</si>
  <si>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</si>
  <si>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</si>
  <si>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</si>
  <si>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</si>
  <si>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</si>
  <si>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</si>
  <si>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</si>
  <si>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</si>
  <si>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</si>
  <si>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</si>
  <si>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</si>
  <si>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</si>
  <si>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</si>
  <si>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</si>
  <si>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</si>
  <si>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</si>
  <si>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</si>
  <si>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</si>
  <si>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</si>
  <si>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</si>
  <si>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</si>
  <si>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</si>
  <si>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</si>
  <si>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</si>
  <si>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</si>
  <si>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</si>
  <si>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</si>
  <si>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</si>
  <si>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</si>
  <si>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</si>
  <si>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</si>
  <si>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</si>
  <si>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</si>
  <si>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</si>
  <si>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</si>
  <si>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</si>
  <si>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</si>
  <si>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</si>
  <si>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</si>
  <si>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</si>
  <si>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</si>
  <si>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</si>
  <si>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</si>
  <si>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</si>
  <si>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</si>
  <si>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</si>
  <si>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</si>
  <si>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</si>
  <si>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</si>
  <si>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</si>
  <si>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</si>
  <si>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</si>
  <si>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</si>
  <si>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</si>
  <si>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</si>
  <si>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</si>
  <si>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</si>
  <si>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</si>
  <si>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</si>
  <si>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</si>
  <si>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</si>
  <si>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</si>
  <si>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</si>
  <si>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</si>
  <si>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</si>
  <si>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</si>
  <si>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</si>
  <si>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</si>
  <si>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</si>
  <si>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</si>
  <si>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</si>
  <si>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</si>
  <si>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</si>
  <si>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</si>
  <si>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</si>
  <si>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</si>
  <si>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</si>
  <si>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</si>
  <si>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</si>
  <si>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</si>
  <si>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</si>
  <si>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</si>
  <si>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</si>
  <si>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</si>
  <si>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</si>
  <si>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</si>
  <si>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</si>
  <si>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</si>
  <si>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</si>
  <si>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</si>
  <si>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</si>
  <si>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</si>
  <si>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</si>
  <si>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</si>
  <si>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</si>
  <si>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</si>
  <si>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</si>
  <si>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</si>
  <si>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</si>
  <si>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</si>
  <si>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</si>
  <si>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</si>
  <si>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</si>
  <si>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</si>
  <si>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</si>
  <si>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</si>
  <si>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</si>
  <si>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</si>
  <si>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</si>
  <si>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</si>
  <si>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</si>
  <si>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</si>
  <si>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</si>
  <si>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</si>
  <si>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</si>
  <si>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</si>
  <si>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</si>
  <si>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</si>
  <si>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</si>
  <si>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</si>
  <si>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</si>
  <si>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</si>
  <si>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</si>
  <si>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</si>
  <si>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</si>
  <si>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</si>
  <si>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</si>
  <si>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</si>
  <si>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</si>
  <si>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</si>
  <si>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</si>
  <si>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</si>
  <si>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</si>
  <si>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</si>
  <si>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</si>
  <si>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</si>
  <si>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</si>
  <si>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</si>
  <si>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</si>
  <si>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</si>
  <si>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</si>
  <si>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</si>
  <si>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</si>
  <si>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</si>
  <si>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</si>
  <si>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</si>
  <si>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</si>
  <si>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</si>
  <si>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</si>
  <si>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</si>
  <si>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</si>
  <si>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</si>
  <si>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</si>
  <si>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</si>
  <si>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</si>
  <si>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</si>
  <si>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</si>
  <si>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</si>
  <si>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</si>
  <si>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</si>
  <si>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</si>
  <si>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</si>
  <si>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</si>
  <si>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</si>
  <si>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</si>
  <si>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</si>
  <si>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</si>
  <si>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</si>
  <si>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</si>
  <si>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</si>
  <si>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</si>
  <si>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</si>
  <si>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</si>
  <si>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</si>
  <si>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</si>
  <si>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</si>
  <si>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</si>
  <si>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</si>
  <si>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</si>
  <si>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</si>
  <si>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</si>
  <si>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</si>
  <si>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</si>
  <si>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</si>
  <si>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</si>
  <si>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</si>
  <si>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</si>
  <si>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</si>
  <si>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</si>
  <si>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</si>
  <si>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</si>
  <si>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</si>
  <si>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</si>
  <si>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</si>
  <si>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</si>
  <si>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</si>
  <si>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</si>
  <si>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</si>
  <si>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</si>
  <si>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</si>
  <si>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</si>
  <si>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</si>
  <si>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</si>
  <si>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</si>
  <si>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</si>
  <si>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</si>
  <si>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</si>
  <si>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</si>
  <si>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</si>
  <si>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</si>
  <si>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</si>
  <si>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</si>
  <si>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</si>
  <si>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</si>
  <si>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</si>
  <si>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</si>
  <si>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</si>
  <si>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</si>
  <si>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</si>
  <si>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</si>
  <si>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</si>
  <si>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</si>
  <si>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</si>
  <si>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</si>
  <si>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</si>
  <si>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</si>
  <si>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</si>
  <si>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</si>
  <si>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</si>
  <si>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</si>
  <si>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</si>
  <si>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</si>
  <si>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</si>
  <si>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</si>
  <si>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</si>
  <si>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</si>
  <si>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</si>
  <si>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</si>
  <si>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</si>
  <si>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</si>
  <si>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</si>
  <si>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</si>
  <si>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</si>
  <si>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</si>
  <si>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</si>
  <si>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</si>
  <si>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</si>
  <si>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</si>
  <si>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</si>
  <si>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</si>
  <si>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</si>
  <si>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</si>
  <si>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</si>
  <si>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</si>
  <si>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</si>
  <si>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</si>
  <si>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</si>
  <si>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</si>
  <si>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</si>
  <si>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</si>
  <si>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</si>
  <si>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</si>
  <si>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</si>
  <si>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</si>
  <si>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</si>
  <si>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</si>
  <si>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</si>
  <si>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</si>
  <si>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</si>
  <si>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</si>
  <si>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</si>
  <si>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</si>
  <si>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</si>
  <si>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</si>
  <si>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</si>
  <si>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</si>
  <si>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</si>
  <si>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</si>
  <si>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</si>
  <si>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</si>
  <si>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</si>
  <si>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</si>
  <si>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</si>
  <si>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</si>
  <si>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</si>
  <si>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</si>
  <si>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</si>
  <si>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</si>
  <si>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</si>
  <si>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</si>
  <si>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</si>
  <si>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</si>
  <si>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</si>
  <si>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</si>
  <si>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</si>
  <si>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</si>
  <si>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</si>
  <si>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</si>
  <si>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</si>
  <si>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</si>
  <si>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</si>
  <si>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</si>
  <si>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</si>
  <si>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</si>
  <si>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</si>
  <si>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</si>
  <si>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</si>
  <si>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</si>
  <si>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</si>
  <si>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</si>
  <si>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</si>
  <si>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</si>
  <si>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</si>
  <si>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</si>
  <si>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</si>
  <si>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</si>
  <si>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</si>
  <si>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</si>
  <si>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</si>
  <si>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</si>
  <si>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</si>
  <si>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</si>
  <si>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</si>
  <si>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</si>
  <si>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</si>
  <si>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</si>
  <si>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</si>
  <si>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</si>
  <si>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</si>
  <si>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</si>
  <si>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</si>
  <si>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</si>
  <si>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</si>
  <si>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</si>
  <si>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</si>
  <si>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</si>
  <si>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</si>
  <si>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</si>
  <si>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</si>
  <si>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</si>
  <si>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</si>
  <si>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</si>
  <si>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</si>
  <si>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</si>
  <si>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</si>
  <si>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</si>
  <si>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</si>
  <si>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</si>
  <si>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</si>
  <si>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</si>
  <si>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</si>
  <si>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</si>
  <si>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</si>
  <si>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</si>
  <si>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</si>
  <si>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</si>
  <si>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</si>
  <si>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</si>
  <si>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</si>
  <si>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</si>
  <si>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</si>
  <si>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</si>
  <si>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</si>
  <si>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</si>
  <si>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</si>
  <si>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</si>
  <si>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</si>
  <si>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</si>
  <si>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</si>
  <si>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</si>
  <si>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</si>
  <si>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</si>
  <si>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</si>
  <si>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</si>
  <si>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</si>
  <si>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</si>
  <si>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</si>
  <si>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</si>
  <si>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</si>
  <si>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</si>
  <si>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</si>
  <si>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</si>
  <si>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</si>
  <si>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</si>
  <si>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</si>
  <si>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</si>
  <si>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</si>
  <si>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</si>
  <si>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</si>
  <si>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</si>
  <si>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</si>
  <si>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</si>
  <si>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</si>
  <si>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</si>
  <si>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</si>
  <si>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</si>
  <si>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</si>
  <si>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</si>
  <si>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</si>
  <si>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</si>
  <si>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</si>
  <si>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</si>
  <si>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</si>
  <si>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</si>
  <si>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</si>
  <si>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</si>
  <si>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</si>
  <si>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</si>
  <si>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</si>
  <si>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</si>
  <si>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</si>
  <si>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</si>
  <si>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</si>
  <si>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</si>
  <si>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</si>
  <si>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</si>
  <si>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</si>
  <si>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</si>
  <si>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</si>
  <si>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</si>
  <si>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</si>
  <si>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</si>
  <si>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</si>
  <si>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</si>
  <si>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</si>
  <si>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</si>
  <si>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</si>
  <si>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</si>
  <si>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</si>
  <si>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</si>
  <si>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</si>
  <si>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</si>
  <si>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</si>
  <si>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</si>
  <si>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</si>
  <si>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</si>
  <si>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</si>
  <si>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</si>
  <si>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</si>
  <si>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</si>
  <si>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</si>
  <si>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</si>
  <si>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</si>
  <si>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</si>
  <si>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</si>
  <si>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</si>
  <si>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</si>
  <si>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</si>
  <si>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</si>
  <si>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</si>
  <si>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</si>
  <si>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</si>
  <si>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</si>
  <si>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</si>
  <si>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</si>
  <si>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</si>
  <si>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</si>
  <si>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</si>
  <si>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</si>
  <si>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</si>
  <si>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</si>
  <si>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</si>
  <si>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</si>
  <si>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</si>
  <si>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</si>
  <si>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</si>
  <si>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</si>
  <si>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</si>
  <si>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</si>
  <si>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</si>
  <si>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</si>
  <si>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</si>
  <si>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</si>
  <si>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</si>
  <si>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</si>
  <si>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</si>
  <si>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</si>
  <si>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</si>
  <si>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</si>
  <si>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</si>
  <si>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</si>
  <si>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</si>
  <si>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</si>
  <si>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</si>
  <si>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</si>
  <si>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</si>
  <si>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</si>
  <si>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</si>
  <si>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</si>
  <si>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</si>
  <si>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</si>
  <si>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</si>
  <si>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</si>
  <si>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</si>
  <si>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</si>
  <si>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</si>
  <si>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</si>
  <si>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</si>
  <si>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</si>
  <si>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</si>
  <si>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</si>
  <si>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</si>
  <si>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</si>
  <si>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</si>
  <si>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</si>
  <si>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</si>
  <si>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</si>
  <si>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</si>
  <si>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</si>
  <si>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</si>
  <si>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</si>
  <si>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</si>
  <si>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</si>
  <si>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</si>
  <si>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</si>
  <si>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</si>
  <si>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</si>
  <si>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</si>
  <si>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</si>
  <si>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</si>
  <si>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</si>
  <si>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</si>
  <si>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</si>
  <si>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</si>
  <si>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</si>
  <si>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</si>
  <si>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</si>
  <si>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</si>
  <si>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</si>
  <si>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</si>
  <si>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</si>
  <si>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</si>
  <si>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</si>
  <si>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</si>
  <si>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</si>
  <si>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</si>
  <si>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</si>
  <si>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</si>
  <si>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</si>
  <si>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</si>
  <si>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</si>
  <si>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</si>
  <si>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</si>
  <si>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</si>
  <si>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</si>
  <si>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</si>
  <si>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</si>
  <si>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</si>
  <si>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</si>
  <si>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</si>
  <si>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</si>
  <si>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</si>
  <si>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</si>
  <si>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</si>
  <si>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</si>
  <si>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</si>
  <si>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</si>
  <si>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</si>
  <si>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</si>
  <si>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</si>
  <si>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</si>
  <si>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</si>
  <si>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</si>
  <si>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</si>
  <si>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</si>
  <si>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</si>
  <si>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</si>
  <si>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</si>
  <si>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</si>
  <si>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</si>
  <si>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</si>
  <si>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</si>
  <si>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</si>
  <si>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</si>
  <si>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</si>
  <si>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</si>
  <si>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</si>
  <si>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</si>
  <si>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</si>
  <si>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</si>
  <si>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</si>
  <si>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</si>
  <si>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</si>
  <si>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</si>
  <si>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</si>
  <si>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</si>
  <si>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</si>
  <si>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</si>
  <si>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</si>
  <si>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</si>
  <si>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</si>
  <si>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</si>
  <si>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</si>
  <si>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</si>
  <si>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</si>
  <si>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</si>
  <si>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</si>
  <si>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</si>
  <si>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</si>
  <si>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</si>
  <si>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</si>
  <si>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</si>
  <si>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</si>
  <si>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</si>
  <si>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</si>
  <si>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</si>
  <si>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</si>
  <si>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</si>
  <si>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</si>
  <si>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</si>
  <si>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</si>
  <si>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</si>
  <si>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</si>
  <si>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</si>
  <si>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</si>
  <si>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</si>
  <si>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</si>
  <si>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</si>
  <si>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</si>
  <si>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</si>
  <si>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</si>
  <si>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</si>
  <si>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</si>
  <si>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</si>
  <si>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</si>
  <si>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</si>
  <si>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</si>
  <si>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</si>
  <si>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</si>
  <si>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</si>
  <si>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</si>
  <si>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</si>
  <si>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</si>
  <si>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</si>
  <si>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</si>
  <si>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</si>
  <si>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</si>
  <si>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</si>
  <si>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</si>
  <si>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</si>
  <si>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</si>
  <si>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</si>
  <si>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</si>
  <si>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</si>
  <si>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</si>
  <si>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</si>
  <si>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</si>
  <si>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</si>
  <si>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</si>
  <si>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</si>
  <si>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</si>
  <si>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</si>
  <si>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</si>
  <si>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</si>
  <si>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</si>
  <si>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</si>
  <si>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</si>
  <si>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</si>
  <si>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</si>
  <si>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</si>
  <si>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</si>
  <si>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</si>
  <si>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</si>
  <si>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</si>
  <si>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</si>
  <si>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</si>
  <si>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</si>
  <si>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</si>
  <si>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</si>
  <si>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</si>
  <si>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</si>
  <si>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</si>
  <si>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</si>
  <si>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</si>
  <si>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</si>
  <si>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</si>
  <si>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</si>
  <si>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</si>
  <si>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</si>
  <si>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</si>
  <si>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</si>
  <si>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</si>
  <si>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</si>
  <si>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</si>
  <si>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</si>
  <si>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</si>
  <si>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</si>
  <si>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</si>
  <si>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</si>
  <si>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</si>
  <si>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</si>
  <si>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</si>
  <si>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</si>
  <si>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</si>
  <si>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</si>
  <si>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</si>
  <si>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</si>
  <si>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</si>
  <si>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</si>
  <si>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</si>
  <si>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</si>
  <si>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</si>
  <si>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</si>
  <si>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</si>
  <si>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</si>
  <si>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</si>
  <si>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</si>
  <si>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</si>
  <si>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</si>
  <si>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</si>
  <si>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</si>
  <si>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</si>
  <si>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</si>
  <si>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</si>
  <si>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</si>
  <si>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</si>
  <si>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</si>
  <si>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</si>
  <si>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</si>
  <si>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</si>
  <si>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</si>
  <si>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</si>
  <si>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</si>
  <si>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</si>
  <si>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</si>
  <si>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</si>
  <si>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</si>
  <si>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</si>
  <si>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</si>
  <si>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</si>
  <si>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</si>
  <si>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</si>
  <si>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</si>
  <si>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</si>
  <si>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</si>
  <si>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</si>
  <si>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</si>
  <si>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</si>
  <si>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</si>
  <si>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</si>
  <si>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</si>
  <si>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</si>
  <si>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</si>
  <si>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</si>
  <si>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</si>
  <si>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</si>
  <si>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</si>
  <si>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</si>
  <si>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</si>
  <si>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</si>
  <si>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</si>
  <si>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</si>
  <si>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</si>
  <si>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</si>
  <si>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</si>
  <si>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</si>
  <si>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</si>
  <si>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</si>
  <si>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</si>
  <si>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</si>
  <si>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</si>
  <si>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</si>
  <si>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</si>
  <si>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</si>
  <si>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</si>
  <si>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</si>
  <si>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</si>
  <si>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</si>
  <si>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</si>
  <si>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</si>
  <si>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</si>
  <si>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</si>
  <si>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</si>
  <si>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</si>
  <si>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</si>
  <si>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</si>
  <si>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</si>
  <si>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</si>
  <si>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</si>
  <si>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</si>
  <si>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</si>
  <si>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</si>
  <si>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</si>
  <si>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</si>
  <si>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</si>
  <si>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</si>
  <si>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</si>
  <si>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</si>
  <si>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</si>
  <si>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</si>
  <si>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</si>
  <si>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</si>
  <si>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</si>
  <si>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</si>
  <si>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</si>
  <si>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</si>
  <si>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</si>
  <si>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</si>
  <si>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</si>
  <si>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</si>
  <si>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</si>
  <si>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</si>
  <si>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</si>
  <si>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</si>
  <si>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</si>
  <si>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</si>
  <si>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</si>
  <si>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</si>
  <si>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</si>
  <si>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</si>
  <si>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</si>
  <si>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</si>
  <si>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</si>
  <si>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</si>
  <si>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</si>
  <si>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</si>
  <si>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</si>
  <si>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</si>
  <si>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</si>
  <si>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</si>
  <si>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</si>
  <si>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</si>
  <si>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</si>
  <si>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</si>
  <si>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</si>
  <si>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</si>
  <si>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</si>
  <si>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</si>
  <si>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</si>
  <si>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</si>
  <si>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</si>
  <si>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</si>
  <si>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</si>
  <si>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</si>
  <si>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</si>
  <si>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</si>
  <si>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</si>
  <si>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</si>
  <si>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</si>
  <si>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</si>
  <si>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</si>
  <si>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</si>
  <si>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</si>
  <si>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</si>
  <si>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</si>
  <si>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</si>
  <si>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</si>
  <si>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</si>
  <si>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</si>
  <si>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</si>
  <si>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</si>
  <si>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</si>
  <si>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</si>
  <si>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</si>
  <si>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</si>
  <si>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</si>
  <si>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</si>
  <si>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</si>
  <si>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</si>
  <si>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</si>
  <si>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</si>
  <si>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</si>
  <si>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</si>
  <si>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</si>
  <si>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</si>
  <si>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</si>
  <si>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</si>
  <si>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</si>
  <si>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</si>
  <si>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</si>
  <si>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</si>
  <si>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</si>
  <si>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</si>
  <si>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</si>
  <si>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</si>
  <si>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</si>
  <si>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</si>
  <si>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</si>
  <si>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</si>
  <si>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</si>
  <si>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</si>
  <si>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</si>
  <si>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</si>
  <si>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</si>
  <si>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</si>
  <si>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</si>
  <si>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</si>
  <si>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</si>
  <si>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</si>
  <si>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</si>
  <si>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</si>
  <si>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</si>
  <si>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</si>
  <si>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</si>
  <si>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</si>
  <si>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</si>
  <si>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</si>
  <si>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</si>
  <si>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</si>
  <si>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</si>
  <si>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</si>
  <si>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</si>
  <si>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</si>
  <si>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</si>
  <si>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</si>
  <si>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</si>
  <si>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</si>
  <si>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</si>
  <si>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</si>
  <si>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</si>
  <si>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</si>
  <si>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</si>
  <si>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</si>
  <si>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</si>
  <si>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</si>
  <si>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</si>
  <si>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</si>
  <si>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</si>
  <si>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</si>
  <si>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</si>
  <si>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</si>
  <si>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</si>
  <si>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</si>
  <si>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</si>
  <si>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</si>
  <si>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</si>
  <si>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</si>
  <si>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</si>
  <si>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</si>
  <si>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</si>
  <si>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</si>
  <si>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</si>
  <si>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</si>
  <si>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</si>
  <si>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</si>
  <si>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</si>
  <si>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</si>
  <si>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</si>
  <si>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</si>
  <si>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</si>
  <si>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</si>
  <si>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</si>
  <si>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</si>
  <si>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</si>
  <si>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</si>
  <si>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</si>
  <si>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</si>
  <si>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</si>
  <si>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</si>
  <si>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</si>
  <si>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</si>
  <si>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</si>
  <si>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</si>
  <si>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</si>
  <si>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</si>
  <si>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</si>
  <si>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</si>
  <si>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</si>
  <si>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</si>
  <si>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</si>
  <si>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</si>
  <si>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</si>
  <si>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</si>
  <si>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</si>
  <si>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</si>
  <si>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</si>
  <si>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</si>
  <si>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</si>
  <si>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</si>
  <si>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</si>
  <si>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</si>
  <si>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</si>
  <si>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</si>
  <si>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</si>
  <si>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</si>
  <si>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</si>
  <si>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</si>
  <si>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</si>
  <si>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</si>
  <si>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</si>
  <si>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</si>
  <si>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</si>
  <si>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</si>
  <si>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</si>
  <si>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</si>
  <si>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</si>
  <si>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</si>
  <si>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</si>
  <si>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</si>
  <si>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</si>
  <si>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</si>
  <si>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</si>
  <si>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</si>
  <si>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</si>
  <si>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</si>
  <si>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</si>
  <si>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</si>
  <si>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</si>
  <si>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</si>
  <si>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</si>
  <si>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</si>
  <si>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</si>
  <si>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</si>
  <si>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</si>
  <si>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</si>
  <si>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</si>
  <si>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</si>
  <si>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</si>
  <si>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</si>
  <si>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</si>
  <si>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</si>
  <si>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</si>
  <si>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</si>
  <si>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</si>
  <si>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</si>
  <si>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</si>
  <si>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</si>
  <si>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</si>
  <si>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</si>
  <si>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</si>
  <si>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</si>
  <si>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</si>
  <si>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</si>
  <si>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</si>
  <si>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</si>
  <si>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</si>
  <si>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</si>
  <si>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</si>
  <si>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</si>
  <si>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</si>
  <si>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</si>
  <si>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</si>
  <si>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</si>
  <si>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</si>
  <si>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</si>
  <si>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</si>
  <si>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</si>
  <si>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</si>
  <si>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</si>
  <si>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</si>
  <si>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</si>
  <si>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</si>
  <si>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</si>
  <si>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</si>
  <si>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</si>
  <si>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</si>
  <si>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</si>
  <si>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</si>
  <si>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</si>
  <si>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</si>
  <si>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</si>
  <si>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</si>
  <si>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</si>
  <si>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</si>
  <si>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</si>
  <si>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</si>
  <si>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</si>
  <si>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</si>
  <si>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</si>
  <si>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</si>
  <si>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</si>
  <si>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</si>
  <si>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</si>
  <si>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</si>
  <si>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</si>
  <si>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</si>
  <si>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</si>
  <si>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</si>
  <si>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</si>
  <si>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</si>
  <si>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</si>
  <si>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</si>
  <si>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</si>
  <si>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</si>
  <si>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</si>
  <si>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</si>
  <si>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</si>
  <si>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</si>
  <si>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</si>
  <si>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</si>
  <si>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</si>
  <si>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</si>
  <si>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</si>
  <si>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</si>
  <si>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</si>
  <si>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</si>
  <si>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</si>
  <si>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</si>
  <si>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</si>
  <si>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</si>
  <si>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</si>
  <si>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</si>
  <si>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</si>
  <si>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</si>
  <si>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</si>
  <si>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</si>
  <si>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</si>
  <si>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</si>
  <si>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</si>
  <si>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</si>
  <si>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</si>
  <si>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</si>
  <si>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</si>
  <si>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</si>
  <si>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</si>
  <si>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</si>
  <si>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</si>
  <si>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</si>
  <si>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</si>
  <si>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</si>
  <si>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</si>
  <si>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</si>
  <si>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</si>
  <si>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</si>
  <si>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</si>
  <si>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</si>
  <si>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</si>
  <si>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</si>
  <si>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</si>
  <si>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</si>
  <si>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</si>
  <si>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</si>
  <si>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</si>
  <si>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</si>
  <si>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</si>
  <si>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</si>
  <si>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</si>
  <si>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</si>
  <si>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</si>
  <si>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</si>
  <si>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</si>
  <si>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</si>
  <si>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</si>
  <si>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</si>
  <si>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</si>
  <si>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</si>
  <si>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</si>
  <si>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</si>
  <si>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</si>
  <si>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</si>
  <si>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</si>
  <si>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</si>
  <si>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</si>
  <si>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</si>
  <si>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</si>
  <si>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</si>
  <si>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</si>
  <si>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</si>
  <si>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</si>
  <si>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</si>
  <si>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</si>
  <si>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</si>
  <si>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</si>
  <si>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</si>
  <si>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</si>
  <si>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</si>
  <si>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</si>
  <si>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</si>
  <si>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</si>
  <si>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</si>
  <si>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</si>
  <si>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</si>
  <si>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</si>
  <si>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</si>
  <si>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</si>
  <si>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</si>
  <si>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</si>
  <si>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</si>
  <si>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</si>
  <si>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</si>
  <si>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</si>
  <si>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</si>
  <si>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</si>
  <si>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</si>
  <si>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</si>
  <si>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</si>
  <si>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</si>
  <si>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</si>
  <si>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</si>
  <si>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</si>
  <si>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</si>
  <si>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</si>
  <si>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</si>
  <si>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</si>
  <si>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</si>
  <si>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</si>
  <si>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</si>
  <si>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</si>
  <si>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</si>
  <si>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</si>
  <si>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</si>
  <si>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</si>
  <si>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</si>
  <si>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</si>
  <si>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</si>
  <si>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</si>
  <si>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</si>
  <si>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</si>
  <si>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</si>
  <si>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</si>
  <si>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</si>
  <si>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</si>
  <si>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</si>
  <si>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</si>
  <si>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</si>
  <si>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</si>
  <si>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</si>
  <si>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</si>
  <si>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</si>
  <si>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</si>
  <si>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</si>
  <si>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</si>
  <si>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</si>
  <si>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</si>
  <si>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</si>
  <si>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</si>
  <si>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</si>
  <si>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</si>
  <si>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</si>
  <si>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</si>
  <si>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</si>
  <si>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</si>
  <si>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</si>
  <si>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</si>
  <si>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</si>
  <si>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</si>
  <si>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</si>
  <si>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</si>
  <si>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</si>
  <si>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</si>
  <si>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</si>
  <si>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</si>
  <si>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</si>
  <si>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</si>
  <si>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</si>
  <si>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</si>
  <si>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</si>
  <si>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</si>
  <si>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</si>
  <si>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</si>
  <si>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</si>
  <si>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</si>
  <si>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</si>
  <si>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</si>
  <si>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</si>
  <si>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</si>
  <si>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</si>
  <si>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</si>
  <si>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</si>
  <si>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</si>
  <si>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</si>
  <si>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</si>
  <si>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</si>
  <si>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</si>
  <si>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</si>
  <si>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</si>
  <si>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</si>
  <si>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</si>
  <si>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</si>
  <si>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</si>
  <si>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</si>
  <si>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</si>
  <si>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</si>
  <si>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</si>
  <si>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</si>
  <si>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</si>
  <si>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</si>
  <si>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</si>
  <si>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</si>
  <si>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</si>
  <si>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</si>
  <si>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</si>
  <si>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</si>
  <si>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</si>
  <si>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</si>
  <si>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</si>
  <si>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</si>
  <si>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</si>
  <si>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</si>
  <si>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</si>
  <si>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</si>
  <si>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</si>
  <si>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</si>
  <si>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</si>
  <si>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</si>
  <si>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</si>
  <si>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</si>
  <si>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</si>
  <si>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</si>
  <si>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</si>
  <si>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</si>
  <si>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</si>
  <si>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</si>
  <si>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</si>
  <si>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</si>
  <si>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</si>
  <si>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</si>
  <si>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</si>
  <si>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</si>
  <si>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</si>
  <si>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</si>
  <si>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</si>
  <si>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</si>
  <si>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</si>
  <si>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</si>
  <si>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</si>
  <si>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</si>
  <si>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</si>
  <si>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</si>
  <si>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</si>
  <si>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</si>
  <si>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</si>
  <si>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</si>
  <si>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</si>
  <si>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</si>
  <si>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</si>
  <si>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</si>
  <si>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</si>
  <si>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</si>
  <si>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</si>
  <si>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</si>
  <si>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</si>
  <si>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</si>
  <si>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</si>
  <si>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</si>
  <si>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</si>
  <si>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</si>
  <si>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</si>
  <si>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</si>
  <si>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</si>
  <si>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</si>
  <si>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</si>
  <si>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</si>
  <si>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</si>
  <si>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</si>
  <si>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</si>
  <si>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</si>
  <si>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</si>
  <si>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</si>
  <si>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</si>
  <si>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</si>
  <si>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</si>
  <si>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</si>
  <si>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</si>
  <si>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</si>
  <si>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</si>
  <si>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</si>
  <si>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</si>
  <si>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</si>
  <si>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</si>
  <si>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</si>
  <si>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</si>
  <si>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</si>
  <si>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</si>
  <si>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</si>
  <si>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</si>
  <si>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</si>
  <si>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</si>
  <si>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</si>
  <si>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</si>
  <si>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</si>
  <si>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</si>
  <si>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</si>
  <si>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</si>
  <si>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</si>
  <si>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</si>
  <si>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</si>
  <si>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</si>
  <si>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</si>
  <si>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</si>
  <si>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</si>
  <si>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</si>
  <si>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</si>
  <si>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</si>
  <si>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</si>
  <si>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</si>
  <si>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</si>
  <si>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</si>
  <si>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</si>
  <si>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</si>
  <si>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</si>
  <si>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</si>
  <si>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</si>
  <si>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</si>
  <si>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</si>
  <si>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</si>
  <si>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</si>
  <si>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</si>
  <si>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</si>
  <si>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</si>
  <si>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</si>
  <si>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</si>
  <si>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</si>
  <si>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</si>
  <si>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</si>
  <si>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</si>
  <si>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</si>
  <si>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</si>
  <si>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</si>
  <si>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</si>
  <si>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</si>
  <si>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</si>
  <si>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</si>
  <si>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</si>
  <si>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</si>
  <si>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</si>
  <si>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</si>
  <si>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</si>
  <si>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</si>
  <si>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</si>
  <si>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</si>
  <si>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</si>
  <si>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</si>
  <si>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</si>
  <si>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</si>
  <si>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</si>
  <si>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</si>
  <si>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</si>
  <si>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</si>
  <si>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</si>
  <si>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</si>
  <si>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</si>
  <si>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</si>
  <si>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</si>
  <si>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</si>
  <si>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</si>
  <si>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</si>
  <si>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</si>
  <si>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</si>
  <si>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</si>
  <si>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</si>
  <si>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</si>
  <si>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</si>
  <si>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</si>
  <si>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</si>
  <si>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</si>
  <si>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</si>
  <si>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</si>
  <si>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</si>
  <si>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</si>
  <si>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</si>
  <si>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</si>
  <si>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</si>
  <si>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</si>
  <si>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</si>
  <si>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</si>
  <si>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</si>
  <si>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</si>
  <si>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</si>
  <si>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</si>
  <si>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</si>
  <si>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</si>
  <si>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</si>
  <si>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</si>
  <si>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</si>
  <si>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</si>
  <si>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</si>
  <si>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</si>
  <si>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</si>
  <si>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</si>
  <si>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</si>
  <si>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</si>
  <si>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</si>
  <si>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</si>
  <si>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</si>
  <si>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</si>
  <si>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</si>
  <si>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</si>
  <si>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</si>
  <si>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</si>
  <si>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</si>
  <si>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</si>
  <si>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</si>
  <si>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</si>
  <si>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</si>
  <si>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</si>
  <si>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</si>
  <si>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</si>
  <si>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</si>
  <si>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</si>
  <si>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</si>
  <si>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</si>
  <si>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</si>
  <si>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</si>
  <si>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</si>
  <si>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</si>
  <si>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</si>
  <si>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</si>
  <si>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</si>
  <si>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</si>
  <si>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</si>
  <si>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</si>
  <si>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</si>
  <si>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</si>
  <si>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</si>
  <si>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</si>
  <si>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</si>
  <si>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</si>
  <si>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</si>
  <si>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</si>
  <si>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</si>
  <si>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</si>
  <si>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</si>
  <si>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</si>
  <si>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</si>
  <si>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</si>
  <si>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</si>
  <si>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</si>
  <si>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</si>
  <si>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</si>
  <si>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</si>
  <si>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</si>
  <si>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</si>
  <si>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</si>
  <si>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</si>
  <si>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</si>
  <si>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</si>
  <si>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</si>
  <si>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</si>
  <si>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</si>
  <si>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</si>
  <si>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</si>
  <si>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</si>
  <si>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</si>
  <si>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</si>
  <si>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</si>
  <si>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</si>
  <si>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</si>
  <si>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</si>
  <si>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</si>
  <si>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</si>
  <si>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</si>
  <si>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</si>
  <si>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</si>
  <si>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</si>
  <si>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</si>
  <si>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</si>
  <si>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</si>
  <si>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</si>
  <si>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</si>
  <si>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</si>
  <si>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</si>
  <si>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</si>
  <si>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</si>
  <si>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</si>
  <si>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</si>
  <si>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</si>
  <si>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</si>
  <si>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</si>
  <si>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</si>
  <si>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</si>
  <si>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</si>
  <si>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</si>
  <si>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</si>
  <si>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</si>
  <si>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</si>
  <si>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</si>
  <si>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</si>
  <si>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</si>
  <si>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</si>
  <si>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</si>
  <si>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</si>
  <si>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</si>
  <si>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</si>
  <si>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</si>
  <si>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</si>
  <si>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</si>
  <si>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</si>
  <si>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</si>
  <si>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</si>
  <si>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</si>
  <si>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</si>
  <si>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</si>
  <si>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</si>
  <si>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</si>
  <si>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</si>
  <si>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</si>
  <si>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</si>
  <si>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</si>
  <si>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</si>
  <si>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</si>
  <si>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</si>
  <si>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</si>
  <si>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</si>
  <si>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</si>
  <si>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</si>
  <si>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</si>
  <si>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</si>
  <si>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</si>
  <si>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</si>
  <si>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</si>
  <si>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</si>
  <si>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</si>
  <si>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</si>
  <si>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</si>
  <si>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</si>
  <si>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</si>
  <si>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</si>
  <si>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</si>
  <si>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</si>
  <si>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</si>
  <si>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</si>
  <si>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</si>
  <si>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</si>
  <si>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</si>
  <si>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</si>
  <si>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</si>
  <si>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</si>
  <si>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</si>
  <si>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</si>
  <si>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</si>
  <si>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</si>
  <si>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</si>
  <si>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</si>
  <si>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</si>
  <si>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</si>
  <si>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</si>
  <si>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</si>
  <si>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</si>
  <si>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</si>
  <si>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</si>
  <si>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</si>
  <si>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</si>
  <si>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</si>
  <si>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</si>
  <si>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</si>
  <si>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</si>
  <si>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</si>
  <si>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</si>
  <si>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</si>
  <si>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</si>
  <si>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</si>
  <si>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</si>
  <si>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</si>
  <si>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</si>
  <si>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</si>
  <si>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</si>
  <si>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</si>
  <si>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</si>
  <si>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</si>
  <si>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</si>
  <si>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</si>
  <si>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</si>
  <si>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</si>
  <si>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</si>
  <si>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</si>
  <si>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</si>
  <si>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</si>
  <si>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</si>
  <si>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</si>
  <si>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</si>
  <si>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</si>
  <si>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</si>
  <si>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</si>
  <si>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</si>
  <si>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</si>
  <si>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</si>
  <si>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</si>
  <si>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</si>
  <si>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</si>
  <si>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</si>
  <si>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</si>
  <si>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</si>
  <si>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</si>
  <si>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</si>
  <si>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</si>
  <si>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</si>
  <si>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</si>
  <si>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</si>
  <si>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</si>
  <si>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</si>
  <si>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</si>
  <si>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</si>
  <si>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</si>
  <si>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</si>
  <si>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</si>
  <si>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</si>
  <si>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</si>
  <si>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</si>
  <si>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</si>
  <si>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</si>
  <si>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</si>
  <si>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</si>
  <si>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</si>
  <si>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</si>
  <si>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</si>
  <si>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</si>
  <si>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</si>
  <si>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</si>
  <si>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</si>
  <si>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</si>
  <si>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</si>
  <si>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</si>
  <si>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</si>
  <si>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</si>
  <si>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</si>
  <si>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</si>
  <si>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</si>
  <si>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</si>
  <si>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</si>
  <si>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</si>
  <si>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</si>
  <si>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</si>
  <si>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</si>
  <si>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</si>
  <si>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</si>
  <si>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</si>
  <si>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</si>
  <si>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</si>
  <si>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</si>
  <si>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</si>
  <si>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</si>
  <si>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</si>
  <si>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</si>
  <si>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</si>
  <si>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</si>
  <si>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</si>
  <si>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</si>
  <si>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</si>
  <si>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</si>
  <si>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</si>
  <si>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</si>
  <si>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</si>
  <si>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</si>
  <si>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</si>
  <si>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</si>
  <si>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</si>
  <si>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</si>
  <si>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</si>
  <si>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</si>
  <si>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</si>
  <si>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</si>
  <si>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</si>
  <si>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</si>
  <si>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</si>
  <si>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</si>
  <si>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</si>
  <si>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</si>
  <si>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</si>
  <si>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</si>
  <si>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</si>
  <si>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</si>
  <si>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</si>
  <si>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</si>
  <si>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</si>
  <si>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</si>
  <si>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</si>
  <si>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</si>
  <si>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</si>
  <si>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</si>
  <si>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</si>
  <si>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</si>
  <si>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</si>
  <si>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</si>
  <si>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</si>
  <si>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</si>
  <si>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</si>
  <si>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</si>
  <si>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</si>
  <si>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</si>
  <si>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</si>
  <si>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</si>
  <si>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</si>
  <si>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</si>
  <si>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</si>
  <si>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</si>
  <si>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</si>
  <si>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</si>
  <si>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</si>
  <si>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</si>
  <si>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</si>
  <si>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</si>
  <si>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</si>
  <si>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</si>
  <si>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</si>
  <si>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</si>
  <si>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</si>
  <si>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</si>
  <si>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</si>
  <si>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</si>
  <si>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</si>
  <si>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</si>
  <si>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</si>
  <si>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</si>
  <si>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</si>
  <si>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</si>
  <si>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</si>
  <si>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</si>
  <si>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</si>
  <si>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</si>
  <si>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</si>
  <si>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</si>
  <si>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</si>
  <si>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</si>
  <si>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</si>
  <si>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</si>
  <si>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</si>
  <si>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</si>
  <si>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</si>
  <si>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</si>
  <si>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</si>
  <si>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</si>
  <si>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</si>
  <si>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</si>
  <si>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</si>
  <si>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</si>
  <si>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</si>
  <si>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</si>
  <si>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</si>
  <si>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</si>
  <si>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</si>
  <si>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</si>
  <si>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</si>
  <si>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</si>
  <si>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</si>
  <si>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</si>
  <si>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</si>
  <si>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</si>
  <si>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</si>
  <si>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</si>
  <si>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</si>
  <si>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</si>
  <si>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</si>
  <si>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</si>
  <si>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</si>
  <si>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</si>
  <si>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</si>
  <si>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</si>
  <si>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</si>
  <si>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</si>
  <si>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</si>
  <si>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</si>
  <si>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</si>
  <si>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</si>
  <si>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</si>
  <si>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</si>
  <si>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</si>
  <si>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</si>
  <si>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</si>
  <si>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</si>
  <si>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</si>
  <si>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</si>
  <si>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</si>
  <si>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</si>
  <si>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</si>
  <si>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</si>
  <si>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</si>
  <si>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</si>
  <si>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</si>
  <si>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</si>
  <si>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</si>
  <si>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</si>
  <si>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</si>
  <si>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</si>
  <si>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</si>
  <si>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</si>
  <si>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</si>
  <si>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</si>
  <si>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</si>
  <si>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</si>
  <si>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</si>
  <si>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</si>
  <si>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</si>
  <si>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</si>
  <si>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</si>
  <si>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</si>
  <si>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</si>
  <si>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</si>
  <si>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</si>
  <si>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</si>
  <si>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</si>
  <si>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</si>
  <si>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</si>
  <si>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</si>
  <si>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</si>
  <si>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</si>
  <si>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</si>
  <si>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</si>
  <si>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</si>
  <si>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</si>
  <si>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</si>
  <si>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</si>
  <si>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</si>
  <si>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</si>
  <si>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</si>
  <si>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</si>
  <si>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</si>
  <si>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</si>
  <si>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</si>
  <si>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</si>
  <si>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</si>
  <si>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</si>
  <si>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</si>
  <si>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</si>
  <si>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</si>
  <si>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</si>
  <si>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</si>
  <si>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</si>
  <si>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</si>
  <si>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</si>
  <si>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</si>
  <si>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</si>
  <si>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</si>
  <si>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</si>
  <si>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</si>
  <si>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</si>
  <si>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</si>
  <si>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</si>
  <si>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</si>
  <si>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</si>
  <si>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</si>
  <si>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</si>
  <si>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</si>
  <si>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</si>
  <si>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</si>
  <si>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</si>
  <si>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</si>
  <si>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</si>
  <si>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</si>
  <si>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</si>
  <si>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</si>
  <si>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</si>
  <si>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</si>
  <si>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</si>
  <si>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</si>
  <si>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</si>
  <si>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</si>
  <si>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</si>
  <si>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</si>
  <si>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</si>
  <si>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</si>
  <si>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</si>
  <si>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</si>
  <si>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</si>
  <si>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</si>
  <si>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</si>
  <si>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</si>
  <si>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</si>
  <si>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</si>
  <si>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</si>
  <si>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</si>
  <si>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</si>
  <si>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</si>
  <si>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</si>
  <si>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</si>
  <si>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</si>
  <si>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</si>
  <si>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</si>
  <si>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</si>
  <si>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</si>
  <si>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</si>
  <si>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</si>
  <si>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</si>
  <si>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</si>
  <si>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</si>
  <si>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</si>
  <si>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</si>
  <si>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</si>
  <si>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</si>
  <si>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</si>
  <si>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</si>
  <si>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</si>
  <si>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</si>
  <si>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</si>
  <si>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</si>
  <si>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</si>
  <si>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</si>
  <si>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</si>
  <si>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</si>
  <si>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</si>
  <si>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</si>
  <si>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</si>
  <si>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</si>
  <si>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</si>
  <si>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</si>
  <si>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</si>
  <si>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</si>
  <si>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</si>
  <si>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</si>
  <si>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</si>
  <si>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</si>
  <si>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</si>
  <si>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</si>
  <si>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</si>
  <si>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</si>
  <si>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</si>
  <si>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</si>
  <si>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</si>
  <si>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</si>
  <si>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</si>
  <si>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</si>
  <si>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</si>
  <si>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</si>
  <si>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</si>
  <si>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</si>
  <si>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</si>
  <si>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</si>
  <si>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</si>
  <si>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</si>
  <si>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</si>
  <si>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</si>
  <si>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</si>
  <si>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</si>
  <si>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</si>
  <si>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</si>
  <si>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</si>
  <si>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</si>
  <si>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</si>
  <si>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</si>
  <si>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</si>
  <si>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</si>
  <si>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</si>
  <si>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</si>
  <si>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</si>
  <si>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</si>
  <si>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</si>
  <si>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</si>
  <si>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</si>
  <si>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</si>
  <si>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</si>
  <si>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</si>
  <si>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</si>
  <si>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</si>
  <si>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</si>
  <si>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</si>
  <si>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</si>
  <si>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</si>
  <si>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</si>
  <si>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</si>
  <si>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</si>
  <si>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</si>
  <si>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</si>
  <si>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</si>
  <si>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</si>
  <si>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</si>
  <si>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</si>
  <si>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</si>
  <si>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</si>
  <si>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</si>
  <si>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</si>
  <si>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</si>
  <si>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</si>
  <si>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</si>
  <si>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</si>
  <si>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</si>
  <si>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</si>
  <si>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</si>
  <si>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</si>
  <si>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</si>
  <si>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</si>
  <si>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</si>
  <si>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</si>
  <si>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</si>
  <si>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</si>
  <si>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</si>
  <si>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</si>
  <si>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</si>
  <si>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</si>
  <si>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</si>
  <si>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</si>
  <si>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</si>
  <si>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</si>
  <si>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</si>
  <si>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</si>
  <si>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</si>
  <si>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</si>
  <si>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</si>
  <si>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</si>
  <si>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</si>
  <si>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</si>
  <si>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</si>
  <si>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</si>
  <si>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</si>
  <si>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</si>
  <si>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</si>
  <si>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</si>
  <si>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</si>
  <si>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</si>
  <si>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</si>
  <si>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</si>
  <si>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</si>
  <si>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</si>
  <si>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</si>
  <si>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</si>
  <si>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</si>
  <si>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</si>
  <si>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</si>
  <si>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</si>
  <si>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</si>
  <si>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</si>
  <si>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</si>
  <si>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</si>
  <si>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</si>
  <si>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</si>
  <si>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</si>
  <si>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</si>
  <si>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</si>
  <si>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</si>
  <si>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</si>
  <si>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</si>
  <si>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</si>
  <si>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</si>
  <si>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</si>
  <si>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</si>
  <si>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</si>
  <si>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</si>
  <si>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</si>
  <si>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</si>
  <si>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</si>
  <si>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</si>
  <si>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</si>
  <si>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</si>
  <si>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</si>
  <si>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</si>
  <si>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</si>
  <si>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</si>
  <si>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</si>
  <si>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</si>
  <si>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</si>
  <si>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</si>
  <si>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</si>
  <si>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</si>
  <si>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</si>
  <si>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</si>
  <si>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</si>
  <si>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</si>
  <si>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</si>
  <si>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</si>
  <si>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</si>
  <si>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</si>
  <si>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</si>
  <si>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</si>
  <si>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</si>
  <si>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</si>
  <si>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</si>
  <si>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</si>
  <si>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</si>
  <si>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</si>
  <si>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</si>
  <si>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</si>
  <si>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</si>
  <si>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</si>
  <si>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</si>
  <si>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</si>
  <si>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</si>
  <si>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</si>
  <si>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</si>
  <si>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</si>
  <si>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</si>
  <si>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</si>
  <si>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</si>
  <si>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</si>
  <si>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</si>
  <si>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</si>
  <si>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</si>
  <si>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</si>
  <si>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</si>
  <si>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</si>
  <si>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</si>
  <si>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</si>
  <si>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</si>
  <si>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</si>
  <si>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</si>
  <si>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</si>
  <si>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</si>
  <si>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</si>
  <si>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</si>
  <si>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</si>
  <si>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</si>
  <si>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</si>
  <si>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</si>
  <si>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</si>
  <si>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</si>
  <si>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</si>
  <si>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</si>
  <si>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</si>
  <si>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</si>
  <si>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</si>
  <si>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</si>
  <si>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</si>
  <si>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</si>
  <si>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</si>
  <si>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</si>
  <si>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</si>
  <si>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</si>
  <si>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</si>
  <si>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</si>
  <si>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</si>
  <si>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</si>
  <si>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</si>
  <si>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</si>
  <si>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</si>
  <si>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</si>
  <si>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</si>
  <si>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</si>
  <si>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</si>
  <si>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</si>
  <si>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</si>
  <si>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</si>
  <si>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</si>
  <si>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</si>
  <si>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</si>
  <si>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</si>
  <si>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</si>
  <si>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</si>
  <si>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</si>
  <si>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</si>
  <si>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</si>
  <si>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</si>
  <si>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</si>
  <si>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</si>
  <si>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</si>
  <si>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</si>
  <si>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</si>
  <si>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</si>
  <si>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</si>
  <si>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</si>
  <si>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</si>
  <si>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</si>
  <si>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</si>
  <si>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</si>
  <si>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</si>
  <si>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</si>
  <si>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</si>
  <si>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</si>
  <si>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</si>
  <si>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</si>
  <si>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</si>
  <si>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</si>
  <si>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</si>
  <si>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</si>
  <si>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</si>
  <si>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</si>
  <si>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</si>
  <si>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</si>
  <si>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</si>
  <si>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</si>
  <si>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</si>
  <si>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</si>
  <si>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</si>
  <si>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</si>
  <si>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</si>
  <si>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</si>
  <si>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</si>
  <si>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</si>
  <si>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</si>
  <si>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</si>
  <si>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</si>
  <si>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</si>
  <si>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</si>
  <si>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</si>
  <si>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</si>
  <si>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</si>
  <si>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</si>
  <si>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</si>
  <si>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</si>
  <si>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</si>
  <si>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</si>
  <si>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</si>
  <si>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</si>
  <si>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</si>
  <si>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</si>
  <si>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</si>
  <si>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</si>
  <si>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</si>
  <si>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</si>
  <si>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</si>
  <si>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</si>
  <si>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</si>
  <si>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</si>
  <si>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</si>
  <si>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</si>
  <si>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</si>
  <si>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</si>
  <si>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</si>
  <si>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</si>
  <si>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</si>
  <si>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</si>
  <si>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</si>
  <si>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</si>
  <si>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</si>
  <si>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</si>
  <si>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</si>
  <si>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</si>
  <si>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</si>
  <si>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</si>
  <si>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</si>
  <si>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</si>
  <si>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</si>
  <si>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</si>
  <si>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</si>
  <si>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</si>
  <si>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</si>
  <si>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</si>
  <si>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</si>
  <si>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</si>
  <si>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</si>
  <si>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</si>
  <si>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</si>
  <si>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</si>
  <si>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</si>
  <si>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</si>
  <si>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</si>
  <si>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</si>
  <si>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</si>
  <si>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</si>
  <si>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</si>
  <si>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</si>
  <si>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</si>
  <si>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</si>
  <si>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</si>
  <si>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</si>
  <si>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</si>
  <si>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</si>
  <si>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</si>
  <si>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</si>
  <si>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</si>
  <si>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</si>
  <si>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</si>
  <si>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</si>
  <si>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</si>
  <si>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</si>
  <si>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</si>
  <si>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</si>
  <si>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</si>
  <si>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</si>
  <si>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</si>
  <si>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</si>
  <si>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</si>
  <si>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</si>
  <si>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</si>
  <si>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</si>
  <si>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</si>
  <si>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</si>
  <si>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</si>
  <si>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</si>
  <si>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</si>
  <si>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</si>
  <si>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</si>
  <si>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</si>
  <si>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</si>
  <si>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</si>
  <si>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</si>
  <si>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</si>
  <si>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</si>
  <si>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</si>
  <si>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</si>
  <si>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</si>
  <si>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</si>
  <si>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</si>
  <si>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</si>
  <si>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</si>
  <si>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</si>
  <si>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</si>
  <si>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</si>
  <si>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</si>
  <si>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</si>
  <si>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</si>
  <si>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</si>
  <si>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</si>
  <si>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</si>
  <si>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</si>
  <si>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</si>
  <si>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</si>
  <si>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</si>
  <si>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</si>
  <si>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</si>
  <si>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</si>
  <si>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</si>
  <si>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</si>
  <si>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</si>
  <si>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</si>
  <si>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</si>
  <si>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</si>
  <si>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</si>
  <si>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</si>
  <si>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</si>
  <si>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</si>
  <si>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</si>
  <si>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</si>
  <si>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</si>
  <si>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</si>
  <si>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</si>
  <si>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</si>
  <si>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</si>
  <si>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</si>
  <si>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</si>
  <si>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</si>
  <si>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</si>
  <si>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</si>
  <si>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</si>
  <si>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</si>
  <si>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</si>
  <si>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</si>
  <si>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</si>
  <si>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</si>
  <si>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</si>
  <si>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</si>
  <si>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</si>
  <si>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</si>
  <si>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</si>
  <si>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</si>
  <si>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</si>
  <si>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</si>
  <si>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</si>
  <si>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</si>
  <si>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</si>
  <si>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</si>
  <si>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</si>
  <si>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</si>
  <si>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</si>
  <si>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</si>
  <si>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</si>
  <si>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</si>
  <si>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</si>
  <si>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</si>
  <si>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</si>
  <si>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</si>
  <si>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</si>
  <si>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</si>
  <si>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</si>
  <si>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</si>
  <si>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</si>
  <si>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</si>
  <si>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</si>
  <si>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</si>
  <si>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</si>
  <si>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</si>
  <si>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</si>
  <si>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</si>
  <si>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</si>
  <si>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</si>
  <si>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</si>
  <si>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</si>
  <si>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</si>
  <si>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</si>
  <si>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</si>
  <si>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</si>
  <si>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</si>
  <si>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</si>
  <si>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</si>
  <si>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</si>
  <si>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</si>
  <si>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</si>
  <si>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</si>
  <si>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</si>
  <si>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</si>
  <si>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</si>
  <si>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</si>
  <si>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</si>
  <si>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</si>
  <si>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</si>
  <si>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</si>
  <si>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</si>
  <si>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</si>
  <si>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</si>
  <si>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</si>
  <si>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</si>
  <si>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</si>
  <si>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</si>
  <si>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</si>
  <si>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</si>
  <si>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</si>
  <si>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</si>
  <si>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</si>
  <si>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</si>
  <si>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</si>
  <si>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</si>
  <si>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</si>
  <si>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</si>
  <si>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</si>
  <si>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</si>
  <si>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</si>
  <si>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</si>
  <si>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</si>
  <si>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</si>
  <si>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</si>
  <si>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</si>
  <si>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</si>
  <si>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</si>
  <si>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Linc Housing Corporation</t>
  </si>
  <si>
    <t>515 Pioneer Drive</t>
  </si>
  <si>
    <t>City of Glendale</t>
  </si>
  <si>
    <t>Roubik Golanian</t>
  </si>
  <si>
    <t>613 E. Broadway</t>
  </si>
  <si>
    <t>Glendale</t>
  </si>
  <si>
    <t>818-548-2060</t>
  </si>
  <si>
    <t>818-548-3724</t>
  </si>
  <si>
    <t>rgolanian@ci.glendale.ca.us</t>
  </si>
  <si>
    <t>CDLAC-TCAC Joint Application (submitting concurrently)</t>
  </si>
  <si>
    <t>5637-023-806</t>
  </si>
  <si>
    <t>Moderate Resource</t>
  </si>
  <si>
    <t>$500M</t>
  </si>
  <si>
    <t>40%/60% Average Income</t>
  </si>
  <si>
    <t>3590 Elm Avenue</t>
  </si>
  <si>
    <t>Long Beach</t>
  </si>
  <si>
    <t>CA</t>
  </si>
  <si>
    <t>Luis Rodriguez</t>
  </si>
  <si>
    <t>562-684-1128</t>
  </si>
  <si>
    <t>562-684-1112</t>
  </si>
  <si>
    <t>lrodriguez@linchousing.org</t>
  </si>
  <si>
    <t>Managing GP</t>
  </si>
  <si>
    <t>National Community Renaissance of California</t>
  </si>
  <si>
    <t>9421 Haven Avenue</t>
  </si>
  <si>
    <t>Rancho Cucamonga</t>
  </si>
  <si>
    <t>Michael Ruane</t>
  </si>
  <si>
    <t>919-483-2444</t>
  </si>
  <si>
    <t>909-483-2448</t>
  </si>
  <si>
    <t>mruane@nationalcore.org</t>
  </si>
  <si>
    <t>General Partner/Developer</t>
  </si>
  <si>
    <t>Inner City Infill Site</t>
  </si>
  <si>
    <t>National Community Renaissance of California (National CORE)</t>
  </si>
  <si>
    <t>3590 Elm Ave</t>
  </si>
  <si>
    <t>Long Beach, CA 90807</t>
  </si>
  <si>
    <t>National CORE</t>
  </si>
  <si>
    <t>9421 Haven Ave</t>
  </si>
  <si>
    <t>Rancho Cucamonga, CA 91730</t>
  </si>
  <si>
    <t>Chris Killian</t>
  </si>
  <si>
    <t>909-204-3430</t>
  </si>
  <si>
    <t>909-291-1401</t>
  </si>
  <si>
    <t>ckillian@nationalcore.org</t>
  </si>
  <si>
    <t>909-483-2444</t>
  </si>
  <si>
    <t>dlorraine@nationalcore.org</t>
  </si>
  <si>
    <t>Dan Lorraine</t>
  </si>
  <si>
    <t>Not applicable</t>
  </si>
  <si>
    <t>KFA, LLP</t>
  </si>
  <si>
    <t>3573 Hayden Avenue</t>
  </si>
  <si>
    <t>Culver City, CA 90232</t>
  </si>
  <si>
    <t>Air conditioning</t>
  </si>
  <si>
    <t>Glendale Housing Authority</t>
  </si>
  <si>
    <t>Misc. Admin/Telephone/Cable/Internet</t>
  </si>
  <si>
    <t>Annual Issuer Fee</t>
  </si>
  <si>
    <t>John Arnold</t>
  </si>
  <si>
    <t>310-399-7975</t>
  </si>
  <si>
    <t>Gubb &amp; Barshay</t>
  </si>
  <si>
    <t>505 14th Street, Suite 450</t>
  </si>
  <si>
    <t>Oakland, CA 94612</t>
  </si>
  <si>
    <t>Lauren Fechter</t>
  </si>
  <si>
    <t>415-781-6600</t>
  </si>
  <si>
    <t>lfechter@gubbandbarshay.com</t>
  </si>
  <si>
    <t>Partner Energy</t>
  </si>
  <si>
    <t>2154 Torrance Blvd., Suite 100</t>
  </si>
  <si>
    <t>Torrance, CA 90501</t>
  </si>
  <si>
    <t>Lance Collins</t>
  </si>
  <si>
    <t>310-356-2193</t>
  </si>
  <si>
    <t>310-862-2399</t>
  </si>
  <si>
    <t>lcollins@ptrenergy.com</t>
  </si>
  <si>
    <t>1300 114th Avenue SE</t>
  </si>
  <si>
    <t>Thomas Stagg</t>
  </si>
  <si>
    <t>425-453-5783</t>
  </si>
  <si>
    <t>thomas.stagg@novoco.com</t>
  </si>
  <si>
    <t xml:space="preserve">Holthouse Carlin &amp; Van Trigt LLP </t>
  </si>
  <si>
    <t>400 W Ventura Blvd, Suite 250</t>
  </si>
  <si>
    <t>Camarillo, CA 93010</t>
  </si>
  <si>
    <t>David Bierhorst</t>
  </si>
  <si>
    <t>805-374-8555</t>
  </si>
  <si>
    <t>805-413-1749</t>
  </si>
  <si>
    <t>daveb@hcvt.com</t>
  </si>
  <si>
    <t>6060 North Central Expressway, 5th FL</t>
  </si>
  <si>
    <t>Dallas, TX, 75206</t>
  </si>
  <si>
    <t>Lawson Short</t>
  </si>
  <si>
    <t>214-236-0750</t>
  </si>
  <si>
    <t>lawson.short@novoco.com</t>
  </si>
  <si>
    <t>Buss-Shelger Associates</t>
  </si>
  <si>
    <t>970 W. 190th Street, Suite 350</t>
  </si>
  <si>
    <t>Torrance, California 90502</t>
  </si>
  <si>
    <t>Ronald Buss</t>
  </si>
  <si>
    <t>213-388-7272</t>
  </si>
  <si>
    <t>bussshegler@pacbell.net</t>
  </si>
  <si>
    <t>California Municipal Finance Authority</t>
  </si>
  <si>
    <t>2111 Palomar Airport Rd, Suite 320</t>
  </si>
  <si>
    <t>Carlsbad, CA 92011</t>
  </si>
  <si>
    <t>Anthony Stubbs</t>
  </si>
  <si>
    <t>760-930-1333</t>
  </si>
  <si>
    <t>astubbs@cmfa-ca.com</t>
  </si>
  <si>
    <t>Roubik R. Golanian</t>
  </si>
  <si>
    <t>Executive Director</t>
  </si>
  <si>
    <t>141 N. Glendale Avenue, Suite 202, Glendale, CA 91206</t>
  </si>
  <si>
    <t>818-548-3723</t>
  </si>
  <si>
    <t>NA</t>
  </si>
  <si>
    <t>The Housing Authority of the City of Glendale</t>
  </si>
  <si>
    <t>Secured by Leasehold Interest</t>
  </si>
  <si>
    <t>92 senior units (55+) and 245 general affordable units</t>
  </si>
  <si>
    <t xml:space="preserve">Moderate Density </t>
  </si>
  <si>
    <t>20% of units at Health and Safety Code Low</t>
  </si>
  <si>
    <t>R-3050 with maximum density of 14 units per acre</t>
  </si>
  <si>
    <t>NA. Zoning, land use, and density bonus allow for 340 units max density on site</t>
  </si>
  <si>
    <t>6 stories or 69 feet. Approved for 75 feet with density bonus.</t>
  </si>
  <si>
    <t>342 stalls for 340 units</t>
  </si>
  <si>
    <t>Density Bonus</t>
  </si>
  <si>
    <t>Tax Exempt Construction Loan (BofA)</t>
  </si>
  <si>
    <t>Taxable Construction Loan (BofA)</t>
  </si>
  <si>
    <t>Accrued and Deferred Soft Loan Interest</t>
  </si>
  <si>
    <t>Costs Deferred Until Completion</t>
  </si>
  <si>
    <t>GP Equity</t>
  </si>
  <si>
    <t>Tax Credit Equity</t>
  </si>
  <si>
    <t>Fixed</t>
  </si>
  <si>
    <t>141 N. Glendale Avenue, Suite 202</t>
  </si>
  <si>
    <t xml:space="preserve">Glendale </t>
  </si>
  <si>
    <t>Mike Fortney</t>
  </si>
  <si>
    <t>Residual Receipt Loan</t>
  </si>
  <si>
    <t>Accrued/Deferred Interest</t>
  </si>
  <si>
    <t>333 S. Hope Street, 20th Floor</t>
  </si>
  <si>
    <t>Los Angeles, CA 90071</t>
  </si>
  <si>
    <t>Maria Joyce Maynard</t>
  </si>
  <si>
    <t>213-621-7590</t>
  </si>
  <si>
    <t>Anne B. Wilson</t>
  </si>
  <si>
    <t>562-684-1178</t>
  </si>
  <si>
    <t>Costs Deferred Until Conversion</t>
  </si>
  <si>
    <t>General Partner Equity</t>
  </si>
  <si>
    <t>Tax Credit Equity (BofA)</t>
  </si>
  <si>
    <t>Conventional Perm Loan (BofA)</t>
  </si>
  <si>
    <t>Maria Joyce</t>
  </si>
  <si>
    <t>Permanent Loan</t>
  </si>
  <si>
    <t>Residual Receipts Loan</t>
  </si>
  <si>
    <t>Green Consultant</t>
  </si>
  <si>
    <t>Deputy Inspections</t>
  </si>
  <si>
    <t>Security During Construciton</t>
  </si>
  <si>
    <t>1.5 FTE</t>
  </si>
  <si>
    <t>60 hours/year</t>
  </si>
  <si>
    <t>Above residual receipts line for cash flow</t>
  </si>
  <si>
    <t>Sponsor Distributions</t>
  </si>
  <si>
    <t>Bank of America</t>
  </si>
  <si>
    <t>maria.joyce@bofa.com</t>
  </si>
  <si>
    <t>Novogradac &amp; Company LLP</t>
  </si>
  <si>
    <t>Bellevue, WA 98004</t>
  </si>
  <si>
    <t>Not Applicable</t>
  </si>
  <si>
    <t>Cash Flow from Operations</t>
  </si>
  <si>
    <t>john@kfalosangeles.com</t>
  </si>
  <si>
    <t>Glendale Housing Authority - Land</t>
  </si>
  <si>
    <t>Glendale Housing Authority - Dev Funds</t>
  </si>
  <si>
    <t>Residual Reeipts Loan</t>
  </si>
  <si>
    <t>Variable</t>
  </si>
  <si>
    <t>Construction Loan Taxable</t>
  </si>
  <si>
    <t>Construction Loan Tax Exempt</t>
  </si>
  <si>
    <t>Glendale Housing Authority Funds - Land</t>
  </si>
  <si>
    <t>Glendale Housing Authority Funds - Dev Funds</t>
  </si>
  <si>
    <t>Glendale Housing Authority - Land &amp; Dev Funds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</si>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</sst>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AL48" sqref="AL4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15"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15"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689</v>
      </c>
      <c r="F42" s="1858" t="s">
        <v>1359</v>
      </c>
    </row>
    <row r="43" spans="1:38" s="1858"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1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541</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1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8" t="s">
        <v>1878</v>
      </c>
      <c r="B1" s="3258"/>
      <c r="C1" s="3258"/>
      <c r="D1" s="3258"/>
      <c r="E1" s="3258"/>
      <c r="F1" s="3258"/>
      <c r="G1" s="3258"/>
      <c r="H1" s="3258"/>
      <c r="I1" s="3258"/>
    </row>
    <row r="2" spans="1:11" ht="15">
      <c r="A2" s="1336"/>
      <c r="B2" s="1336"/>
      <c r="E2" s="1337"/>
      <c r="I2" s="1339"/>
      <c r="K2" s="1340"/>
    </row>
    <row r="3" spans="1:11">
      <c r="A3" s="1341" t="s">
        <v>1585</v>
      </c>
      <c r="B3" s="1341"/>
      <c r="C3" s="1334" t="s">
        <v>2181</v>
      </c>
      <c r="E3" s="1826">
        <f>ROUND(Application!AM564+'Basis &amp; Credits'!AB77,0)</f>
        <v>93479418</v>
      </c>
      <c r="F3" s="1342"/>
      <c r="K3" s="1413"/>
    </row>
    <row r="4" spans="1:11" s="1343" customFormat="1" ht="15" customHeight="1">
      <c r="C4" s="1343" t="s">
        <v>1879</v>
      </c>
      <c r="E4" s="1419">
        <f>Application!AD1037</f>
        <v>0.24780701754385964</v>
      </c>
      <c r="F4" s="1344"/>
      <c r="H4" s="1345"/>
      <c r="K4" s="1632"/>
    </row>
    <row r="5" spans="1:11" s="1346" customFormat="1" ht="15" customHeight="1">
      <c r="A5" s="3259"/>
      <c r="B5" s="3259"/>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70314562.223684207</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32</v>
      </c>
      <c r="G11" s="1361">
        <v>0.9</v>
      </c>
      <c r="H11" s="1362"/>
      <c r="I11" s="1363">
        <f>E11*G11</f>
        <v>28.8</v>
      </c>
      <c r="J11" s="1354"/>
      <c r="K11" s="1358"/>
    </row>
    <row r="12" spans="1:11" ht="15">
      <c r="A12" s="1336"/>
      <c r="B12" s="1336"/>
      <c r="C12" s="1354" t="s">
        <v>1887</v>
      </c>
      <c r="D12" s="1354"/>
      <c r="E12" s="1414">
        <f>Application!BS635+Application!BS644+Application!CX658</f>
        <v>260</v>
      </c>
      <c r="G12" s="1361">
        <v>1</v>
      </c>
      <c r="H12" s="1362"/>
      <c r="I12" s="1363">
        <f>E12*G12</f>
        <v>260</v>
      </c>
      <c r="J12" s="1354"/>
    </row>
    <row r="13" spans="1:11" ht="15">
      <c r="A13" s="1336"/>
      <c r="B13" s="1336"/>
      <c r="C13" s="1354" t="s">
        <v>1888</v>
      </c>
      <c r="D13" s="1354"/>
      <c r="E13" s="1414">
        <f>Application!BX635+Application!BX644+Application!DC658</f>
        <v>48</v>
      </c>
      <c r="G13" s="1361">
        <v>1.25</v>
      </c>
      <c r="H13" s="1362"/>
      <c r="I13" s="1363">
        <f>E13*G13</f>
        <v>60</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340</v>
      </c>
      <c r="G16" s="1337"/>
      <c r="I16" s="1418">
        <f>SUM(I11:I15)</f>
        <v>348.8</v>
      </c>
    </row>
    <row r="17" spans="1:9" ht="15">
      <c r="A17" s="1336"/>
      <c r="B17" s="1336"/>
      <c r="E17" s="1337"/>
      <c r="I17" s="1365"/>
    </row>
    <row r="18" spans="1:9" ht="15">
      <c r="A18" s="1341" t="s">
        <v>1590</v>
      </c>
      <c r="B18" s="1341"/>
      <c r="C18" s="1366" t="s">
        <v>1891</v>
      </c>
      <c r="D18" s="1338"/>
      <c r="E18" s="1367">
        <f>E7/I16</f>
        <v>201589.91463212215</v>
      </c>
      <c r="F18" s="1368"/>
      <c r="G18" s="1369"/>
      <c r="H18" s="1370"/>
      <c r="I18" s="1365"/>
    </row>
    <row r="21" spans="1:9" ht="14.25" customHeight="1">
      <c r="A21" s="3260" t="s">
        <v>2180</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N55" sqref="AN55"/>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3" t="s">
        <v>1522</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131070723</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98" t="s">
        <v>529</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1" t="s">
        <v>530</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1" t="s">
        <v>531</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1" t="s">
        <v>532</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1" t="s">
        <v>863</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1" t="s">
        <v>533</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6" t="s">
        <v>1038</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6" t="s">
        <v>1038</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3" t="s">
        <v>534</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3" t="s">
        <v>1494</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3" t="s">
        <v>535</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6" t="s">
        <v>536</v>
      </c>
      <c r="C23" s="3277"/>
      <c r="D23" s="3277"/>
      <c r="E23" s="3277"/>
      <c r="F23" s="3277"/>
      <c r="G23" s="3277"/>
      <c r="H23" s="3277"/>
      <c r="I23" s="3277"/>
      <c r="J23" s="3277"/>
      <c r="K23" s="3277"/>
      <c r="L23" s="3277"/>
      <c r="M23" s="3277"/>
      <c r="N23" s="3277"/>
      <c r="O23" s="3277"/>
      <c r="P23" s="3277"/>
      <c r="Q23" s="3277"/>
      <c r="R23" s="3277"/>
      <c r="S23" s="3278"/>
      <c r="T23" s="3266">
        <f>T11+T22</f>
        <v>131070723</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3" t="s">
        <v>1039</v>
      </c>
      <c r="C24" s="3274"/>
      <c r="D24" s="3274"/>
      <c r="E24" s="3274"/>
      <c r="F24" s="3274"/>
      <c r="G24" s="3274"/>
      <c r="H24" s="3274"/>
      <c r="I24" s="3274"/>
      <c r="J24" s="3274"/>
      <c r="K24" s="3274"/>
      <c r="L24" s="3274"/>
      <c r="M24" s="3274"/>
      <c r="N24" s="3274"/>
      <c r="O24" s="3274"/>
      <c r="P24" s="3274"/>
      <c r="Q24" s="3274"/>
      <c r="R24" s="3274"/>
      <c r="S24" s="3275"/>
      <c r="T24" s="3268">
        <f>Application!AJ1032</f>
        <v>229684184.51999998</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0" t="s">
        <v>1495</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3" t="s">
        <v>537</v>
      </c>
      <c r="C26" s="3274"/>
      <c r="D26" s="3274"/>
      <c r="E26" s="3274"/>
      <c r="F26" s="3274"/>
      <c r="G26" s="3274"/>
      <c r="H26" s="3274"/>
      <c r="I26" s="3274"/>
      <c r="J26" s="3274"/>
      <c r="K26" s="3274"/>
      <c r="L26" s="3274"/>
      <c r="M26" s="3274"/>
      <c r="N26" s="3274"/>
      <c r="O26" s="3274"/>
      <c r="P26" s="3274"/>
      <c r="Q26" s="3274"/>
      <c r="R26" s="3274"/>
      <c r="S26" s="3275"/>
      <c r="T26" s="3317">
        <f>T23*T25</f>
        <v>170391939.90000001</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3" t="s">
        <v>538</v>
      </c>
      <c r="C28" s="3274"/>
      <c r="D28" s="3274"/>
      <c r="E28" s="3274"/>
      <c r="F28" s="3274"/>
      <c r="G28" s="3274"/>
      <c r="H28" s="3274"/>
      <c r="I28" s="3274"/>
      <c r="J28" s="3274"/>
      <c r="K28" s="3274"/>
      <c r="L28" s="3274"/>
      <c r="M28" s="3274"/>
      <c r="N28" s="3274"/>
      <c r="O28" s="3274"/>
      <c r="P28" s="3274"/>
      <c r="Q28" s="3274"/>
      <c r="R28" s="3274"/>
      <c r="S28" s="3275"/>
      <c r="T28" s="3286">
        <f>IF(ISERROR((T26*T27)),0,(T26*T27))</f>
        <v>170391939.90000001</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3" t="s">
        <v>555</v>
      </c>
      <c r="C29" s="3274"/>
      <c r="D29" s="3274"/>
      <c r="E29" s="3274"/>
      <c r="F29" s="3274"/>
      <c r="G29" s="3274"/>
      <c r="H29" s="3274"/>
      <c r="I29" s="3274"/>
      <c r="J29" s="3274"/>
      <c r="K29" s="3274"/>
      <c r="L29" s="3274"/>
      <c r="M29" s="3274"/>
      <c r="N29" s="3274"/>
      <c r="O29" s="3274"/>
      <c r="P29" s="3274"/>
      <c r="Q29" s="3274"/>
      <c r="R29" s="3274"/>
      <c r="S29" s="3275"/>
      <c r="T29" s="3268">
        <f>T28+Y28+AD28+AI28</f>
        <v>170391939.90000001</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1497</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1496</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1345</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3" t="s">
        <v>538</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170391939.90000001</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3" t="s">
        <v>2179</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3" t="s">
        <v>676</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6815678</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3" t="s">
        <v>677</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6815678</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1" t="s">
        <v>1511</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149446817</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68937310</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80509507</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v>0.95</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7" t="s">
        <v>2375</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84746849</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8474684.9000000004</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6815678</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64748941</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15760566</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0" t="s">
        <v>1067</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131070723</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9">
        <f>ROUND(Y64*Y67,0)</f>
        <v>39321217</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v>0.85</v>
      </c>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1" t="s">
        <v>1482</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18541842</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18541842</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15760565.699999999</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0.29999999701976776</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5" thickTop="1"/>
    <row r="85" spans="1:98" ht="12.75">
      <c r="A85" s="794"/>
      <c r="C85" s="334"/>
      <c r="Z85" s="619"/>
      <c r="AA85" s="619"/>
      <c r="AB85" s="619"/>
      <c r="AC85" s="619"/>
      <c r="AD85" s="619"/>
      <c r="AE85" s="619"/>
      <c r="AF85" s="619"/>
      <c r="AG85" s="619"/>
      <c r="AH85" s="619"/>
    </row>
    <row r="86" spans="1:98" ht="12.75">
      <c r="D86" s="334"/>
      <c r="Z86" s="619"/>
      <c r="AA86" s="619"/>
      <c r="AB86" s="3272"/>
      <c r="AC86" s="3272"/>
      <c r="AD86" s="3272"/>
      <c r="AE86" s="3272"/>
      <c r="AF86" s="3272"/>
      <c r="AG86" s="619"/>
      <c r="AH86" s="619"/>
    </row>
    <row r="87" spans="1:98" ht="13.5"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0" zoomScaleNormal="80" zoomScaleSheetLayoutView="80" workbookViewId="0">
      <selection activeCell="N22" sqref="N2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4" t="s">
        <v>1935</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1936</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1937</v>
      </c>
      <c r="D7" s="1426"/>
      <c r="E7" s="3346" t="str">
        <f>Application!H16</f>
        <v>Linc Housing Corporation</v>
      </c>
      <c r="F7" s="3346"/>
      <c r="G7" s="3346"/>
      <c r="H7" s="1426"/>
      <c r="I7" s="1427" t="s">
        <v>1938</v>
      </c>
      <c r="J7" s="1428">
        <f>Application!AG437+Application!AG439</f>
        <v>337</v>
      </c>
    </row>
    <row r="8" spans="1:33">
      <c r="C8" s="1427" t="s">
        <v>1939</v>
      </c>
      <c r="D8" s="1426"/>
      <c r="E8" s="3346" t="str">
        <f>Application!H18</f>
        <v>515 Pioneer Drive</v>
      </c>
      <c r="F8" s="3346"/>
      <c r="G8" s="3346"/>
      <c r="H8" s="1426"/>
      <c r="I8" s="1427" t="s">
        <v>1940</v>
      </c>
      <c r="J8" s="1429">
        <f>Application!CS663</f>
        <v>382</v>
      </c>
    </row>
    <row r="9" spans="1:33" ht="14.25" customHeight="1">
      <c r="C9" s="1427" t="s">
        <v>1941</v>
      </c>
      <c r="D9" s="1426"/>
      <c r="E9" s="3347" t="str">
        <f>Application!D210</f>
        <v>Non-Targeted</v>
      </c>
      <c r="F9" s="3347"/>
      <c r="G9" s="3347"/>
      <c r="H9" s="1426"/>
      <c r="I9" s="1427" t="s">
        <v>1942</v>
      </c>
      <c r="J9" s="1430"/>
      <c r="N9" s="1431"/>
    </row>
    <row r="10" spans="1:33" ht="26.85" customHeight="1">
      <c r="C10" s="3345" t="s">
        <v>1943</v>
      </c>
      <c r="D10" s="3345"/>
      <c r="E10" s="3348" t="str">
        <f>Application!D213</f>
        <v>N/A</v>
      </c>
      <c r="F10" s="3348"/>
      <c r="G10" s="3348"/>
      <c r="H10" s="1426"/>
      <c r="I10" s="1432" t="s">
        <v>1944</v>
      </c>
      <c r="J10" s="1433">
        <f>IF(J9&gt;0,J8-J9,J8)</f>
        <v>382</v>
      </c>
      <c r="N10" s="1431"/>
    </row>
    <row r="11" spans="1:33">
      <c r="C11" s="1434"/>
      <c r="N11" s="1431"/>
    </row>
    <row r="12" spans="1:33" ht="15" customHeight="1">
      <c r="C12" s="3349" t="s">
        <v>1945</v>
      </c>
      <c r="D12" s="3350"/>
      <c r="E12" s="3351"/>
      <c r="F12" s="3342" t="s">
        <v>1946</v>
      </c>
      <c r="G12" s="3342" t="s">
        <v>1947</v>
      </c>
      <c r="H12" s="3355" t="s">
        <v>2161</v>
      </c>
      <c r="I12" s="3342" t="s">
        <v>2160</v>
      </c>
      <c r="J12" s="3342" t="s">
        <v>1948</v>
      </c>
      <c r="N12" s="1431"/>
    </row>
    <row r="13" spans="1:33" ht="68.25" customHeight="1">
      <c r="C13" s="3352"/>
      <c r="D13" s="3353"/>
      <c r="E13" s="3354"/>
      <c r="F13" s="3343"/>
      <c r="G13" s="3343"/>
      <c r="H13" s="3356"/>
      <c r="I13" s="3343"/>
      <c r="J13" s="3343"/>
    </row>
    <row r="14" spans="1:33" ht="15" customHeight="1">
      <c r="C14" s="1435" t="s">
        <v>1949</v>
      </c>
      <c r="D14" s="1436"/>
      <c r="E14" s="1436"/>
      <c r="F14" s="1437"/>
      <c r="G14" s="1437"/>
      <c r="H14" s="1438"/>
      <c r="I14" s="1438"/>
      <c r="J14" s="1438"/>
    </row>
    <row r="15" spans="1:33">
      <c r="C15" s="1439" t="s">
        <v>1950</v>
      </c>
      <c r="D15" s="1424" t="s">
        <v>1951</v>
      </c>
      <c r="F15" s="1440" t="s">
        <v>2658</v>
      </c>
      <c r="G15" s="1441">
        <v>150000</v>
      </c>
      <c r="H15" s="1442" t="s">
        <v>2221</v>
      </c>
      <c r="I15" s="1442" t="s">
        <v>2667</v>
      </c>
      <c r="J15" s="1442" t="s">
        <v>2520</v>
      </c>
    </row>
    <row r="16" spans="1:33">
      <c r="C16" s="1439" t="s">
        <v>1952</v>
      </c>
      <c r="D16" s="1424" t="s">
        <v>1953</v>
      </c>
      <c r="F16" s="1440"/>
      <c r="G16" s="1443"/>
      <c r="H16" s="1442"/>
      <c r="I16" s="1442"/>
      <c r="J16" s="1442"/>
    </row>
    <row r="17" spans="3:10">
      <c r="C17" s="1439" t="s">
        <v>1836</v>
      </c>
      <c r="D17" s="1424" t="s">
        <v>1954</v>
      </c>
      <c r="F17" s="1440" t="s">
        <v>2659</v>
      </c>
      <c r="G17" s="1443">
        <v>50000</v>
      </c>
      <c r="H17" s="1442" t="s">
        <v>2221</v>
      </c>
      <c r="I17" s="1442" t="s">
        <v>2667</v>
      </c>
      <c r="J17" s="1442" t="s">
        <v>2520</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200000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85" zoomScaleNormal="85" zoomScaleSheetLayoutView="100" workbookViewId="0">
      <selection activeCell="Y66" sqref="Y6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5089824</v>
      </c>
      <c r="G4" s="354">
        <f>E4*$C$4</f>
        <v>5217069.5999999996</v>
      </c>
      <c r="I4" s="354">
        <f>G4*$C$4</f>
        <v>5347496.3399999989</v>
      </c>
      <c r="K4" s="354">
        <f>I4*$C$4</f>
        <v>5481183.7484999988</v>
      </c>
      <c r="M4" s="354">
        <f>K4*$C$4</f>
        <v>5618213.3422124982</v>
      </c>
      <c r="O4" s="354">
        <f>M4*$C$4</f>
        <v>5758668.6757678101</v>
      </c>
      <c r="Q4" s="354">
        <f>O4*$C$4</f>
        <v>5902635.3926620046</v>
      </c>
      <c r="S4" s="354">
        <f>Q4*$C$4</f>
        <v>6050201.2774785543</v>
      </c>
      <c r="U4" s="354">
        <f>S4*$C$4</f>
        <v>6201456.3094155174</v>
      </c>
      <c r="W4" s="354">
        <f>U4*$C$4</f>
        <v>6356492.7171509052</v>
      </c>
      <c r="Y4" s="354">
        <f>W4*$C$4</f>
        <v>6515405.0350796776</v>
      </c>
      <c r="AA4" s="354">
        <f>Y4*$C$4</f>
        <v>6678290.1609566687</v>
      </c>
      <c r="AC4" s="354">
        <f>AA4*$C$4</f>
        <v>6845247.4149805848</v>
      </c>
      <c r="AE4" s="354">
        <f>AC4*$C$4</f>
        <v>7016378.600355099</v>
      </c>
      <c r="AG4" s="354">
        <f>AE4*$C$4</f>
        <v>7191788.0653639762</v>
      </c>
    </row>
    <row r="5" spans="1:34" s="339" customFormat="1" ht="14.25">
      <c r="B5" s="339" t="s">
        <v>900</v>
      </c>
      <c r="C5" s="375">
        <f>IF(Application!$D$210="Special Needs",0.1,0.05)</f>
        <v>0.05</v>
      </c>
      <c r="E5" s="356">
        <f>-E4*$C$5</f>
        <v>-254491.2</v>
      </c>
      <c r="F5" s="356"/>
      <c r="G5" s="356">
        <f>-G4*$C$5</f>
        <v>-260853.47999999998</v>
      </c>
      <c r="H5" s="356"/>
      <c r="I5" s="356">
        <f>-I4*$C$5</f>
        <v>-267374.81699999998</v>
      </c>
      <c r="J5" s="356"/>
      <c r="K5" s="356">
        <f>-K4*$C$5</f>
        <v>-274059.18742499995</v>
      </c>
      <c r="L5" s="356"/>
      <c r="M5" s="356">
        <f>-M4*$C$5</f>
        <v>-280910.6671106249</v>
      </c>
      <c r="N5" s="356"/>
      <c r="O5" s="356">
        <f>-O4*$C$5</f>
        <v>-287933.43378839054</v>
      </c>
      <c r="P5" s="356"/>
      <c r="Q5" s="356">
        <f>-Q4*$C$5</f>
        <v>-295131.76963310025</v>
      </c>
      <c r="R5" s="356"/>
      <c r="S5" s="356">
        <f>-S4*$C$5</f>
        <v>-302510.06387392775</v>
      </c>
      <c r="T5" s="356"/>
      <c r="U5" s="356">
        <f>-U4*$C$5</f>
        <v>-310072.81547077588</v>
      </c>
      <c r="V5" s="356"/>
      <c r="W5" s="356">
        <f>-W4*$C$5</f>
        <v>-317824.63585754531</v>
      </c>
      <c r="X5" s="356"/>
      <c r="Y5" s="356">
        <f>-Y4*$C$5</f>
        <v>-325770.2517539839</v>
      </c>
      <c r="Z5" s="356"/>
      <c r="AA5" s="356">
        <f>-AA4*$C$5</f>
        <v>-333914.50804783346</v>
      </c>
      <c r="AB5" s="356"/>
      <c r="AC5" s="356">
        <f>-AC4*$C$5</f>
        <v>-342262.37074902927</v>
      </c>
      <c r="AD5" s="356"/>
      <c r="AE5" s="356">
        <f>-AE4*$C$5</f>
        <v>-350818.93001775496</v>
      </c>
      <c r="AF5" s="356"/>
      <c r="AG5" s="356">
        <f>-AG4*$C$5</f>
        <v>-359589.40326819883</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20400</v>
      </c>
      <c r="F8" s="357"/>
      <c r="G8" s="357">
        <f>E8*$C$8</f>
        <v>20910</v>
      </c>
      <c r="H8" s="357"/>
      <c r="I8" s="357">
        <f>G8*$C$8</f>
        <v>21432.749999999996</v>
      </c>
      <c r="J8" s="357"/>
      <c r="K8" s="357">
        <f>I8*$C$8</f>
        <v>21968.568749999995</v>
      </c>
      <c r="L8" s="357"/>
      <c r="M8" s="357">
        <f>K8*$C$8</f>
        <v>22517.782968749994</v>
      </c>
      <c r="N8" s="357"/>
      <c r="O8" s="357">
        <f>M8*$C$8</f>
        <v>23080.727542968743</v>
      </c>
      <c r="P8" s="357"/>
      <c r="Q8" s="357">
        <f>O8*$C$8</f>
        <v>23657.74573154296</v>
      </c>
      <c r="R8" s="357"/>
      <c r="S8" s="357">
        <f>Q8*$C$8</f>
        <v>24249.189374831531</v>
      </c>
      <c r="T8" s="357"/>
      <c r="U8" s="357">
        <f>S8*$C$8</f>
        <v>24855.419109202317</v>
      </c>
      <c r="V8" s="357"/>
      <c r="W8" s="357">
        <f>U8*$C$8</f>
        <v>25476.804586932372</v>
      </c>
      <c r="X8" s="357"/>
      <c r="Y8" s="357">
        <f>W8*$C$8</f>
        <v>26113.724701605679</v>
      </c>
      <c r="Z8" s="357"/>
      <c r="AA8" s="357">
        <f>Y8*$C$8</f>
        <v>26766.567819145817</v>
      </c>
      <c r="AB8" s="357"/>
      <c r="AC8" s="357">
        <f>AA8*$C$8</f>
        <v>27435.73201462446</v>
      </c>
      <c r="AD8" s="357"/>
      <c r="AE8" s="357">
        <f>AC8*$C$8</f>
        <v>28121.625314990069</v>
      </c>
      <c r="AF8" s="357"/>
      <c r="AG8" s="357">
        <f>AE8*$C$8</f>
        <v>28824.665947864818</v>
      </c>
    </row>
    <row r="9" spans="1:34" s="339" customFormat="1" ht="14.25">
      <c r="B9" s="339" t="s">
        <v>900</v>
      </c>
      <c r="C9" s="375">
        <f>IF(Application!$D$210="Special Needs",0.1,0.05)</f>
        <v>0.05</v>
      </c>
      <c r="E9" s="373">
        <f>-E8*$C$9</f>
        <v>-1020</v>
      </c>
      <c r="F9" s="356"/>
      <c r="G9" s="373">
        <f>-G8*$C$9</f>
        <v>-1045.5</v>
      </c>
      <c r="H9" s="356"/>
      <c r="I9" s="373">
        <f>-I8*$C$9</f>
        <v>-1071.6374999999998</v>
      </c>
      <c r="J9" s="356"/>
      <c r="K9" s="373">
        <f>-K8*$C$9</f>
        <v>-1098.4284374999997</v>
      </c>
      <c r="L9" s="356"/>
      <c r="M9" s="373">
        <f>-M8*$C$9</f>
        <v>-1125.8891484374997</v>
      </c>
      <c r="N9" s="356"/>
      <c r="O9" s="373">
        <f>-O8*$C$9</f>
        <v>-1154.0363771484372</v>
      </c>
      <c r="P9" s="356"/>
      <c r="Q9" s="373">
        <f>-Q8*$C$9</f>
        <v>-1182.887286577148</v>
      </c>
      <c r="R9" s="356"/>
      <c r="S9" s="373">
        <f>-S8*$C$9</f>
        <v>-1212.4594687415765</v>
      </c>
      <c r="T9" s="356"/>
      <c r="U9" s="373">
        <f>-U8*$C$9</f>
        <v>-1242.7709554601161</v>
      </c>
      <c r="V9" s="356"/>
      <c r="W9" s="373">
        <f>-W8*$C$9</f>
        <v>-1273.8402293466188</v>
      </c>
      <c r="X9" s="356"/>
      <c r="Y9" s="373">
        <f>-Y8*$C$9</f>
        <v>-1305.686235080284</v>
      </c>
      <c r="Z9" s="356"/>
      <c r="AA9" s="373">
        <f>-AA8*$C$9</f>
        <v>-1338.328390957291</v>
      </c>
      <c r="AB9" s="356"/>
      <c r="AC9" s="373">
        <f>-AC8*$C$9</f>
        <v>-1371.7866007312232</v>
      </c>
      <c r="AD9" s="356"/>
      <c r="AE9" s="373">
        <f>-AE8*$C$9</f>
        <v>-1406.0812657495035</v>
      </c>
      <c r="AF9" s="356"/>
      <c r="AG9" s="373">
        <f>-AG8*$C$9</f>
        <v>-1441.2332973932409</v>
      </c>
    </row>
    <row r="10" spans="1:34" s="358" customFormat="1" ht="15">
      <c r="A10" s="358" t="s">
        <v>921</v>
      </c>
      <c r="C10" s="349"/>
      <c r="E10" s="358">
        <f>SUM(E4:E9)</f>
        <v>4854712.8</v>
      </c>
      <c r="G10" s="358">
        <f>SUM(G4:G9)</f>
        <v>4976080.6199999992</v>
      </c>
      <c r="I10" s="358">
        <f>SUM(I4:I9)</f>
        <v>5100482.6354999989</v>
      </c>
      <c r="K10" s="358">
        <f>SUM(K4:K9)</f>
        <v>5227994.7013874985</v>
      </c>
      <c r="M10" s="358">
        <f>SUM(M4:M9)</f>
        <v>5358694.5689221863</v>
      </c>
      <c r="O10" s="358">
        <f>SUM(O4:O9)</f>
        <v>5492661.933145239</v>
      </c>
      <c r="Q10" s="358">
        <f>SUM(Q4:Q9)</f>
        <v>5629978.4814738696</v>
      </c>
      <c r="S10" s="358">
        <f>SUM(S4:S9)</f>
        <v>5770727.9435107158</v>
      </c>
      <c r="U10" s="358">
        <f>SUM(U4:U9)</f>
        <v>5914996.1420984836</v>
      </c>
      <c r="W10" s="358">
        <f>SUM(W4:W9)</f>
        <v>6062871.045650945</v>
      </c>
      <c r="Y10" s="358">
        <f>SUM(Y4:Y9)</f>
        <v>6214442.8217922188</v>
      </c>
      <c r="AA10" s="358">
        <f>SUM(AA4:AA9)</f>
        <v>6369803.8923370242</v>
      </c>
      <c r="AC10" s="358">
        <f>SUM(AC4:AC9)</f>
        <v>6529048.9896454485</v>
      </c>
      <c r="AE10" s="358">
        <f>SUM(AE4:AE9)</f>
        <v>6692275.2143865842</v>
      </c>
      <c r="AG10" s="358">
        <f>SUM(AG4:AG9)</f>
        <v>6859582.0947462488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197300</v>
      </c>
      <c r="G14" s="354">
        <f>E14*$C$13</f>
        <v>204205.49999999997</v>
      </c>
      <c r="I14" s="354">
        <f>G14*$C$13</f>
        <v>211352.69249999995</v>
      </c>
      <c r="K14" s="354">
        <f>I14*$C$13</f>
        <v>218750.03673749993</v>
      </c>
      <c r="M14" s="354">
        <f>K14*$C$13</f>
        <v>226406.2880233124</v>
      </c>
      <c r="O14" s="354">
        <f>M14*$C$13</f>
        <v>234330.50810412833</v>
      </c>
      <c r="Q14" s="354">
        <f>O14*$C$13</f>
        <v>242532.07588777281</v>
      </c>
      <c r="S14" s="354">
        <f>Q14*$C$13</f>
        <v>251020.69854384483</v>
      </c>
      <c r="U14" s="354">
        <f>S14*$C$13</f>
        <v>259806.42299287938</v>
      </c>
      <c r="W14" s="354">
        <f>U14*$C$13</f>
        <v>268899.64779763011</v>
      </c>
      <c r="Y14" s="354">
        <f>W14*$C$13</f>
        <v>278311.13547054713</v>
      </c>
      <c r="AA14" s="354">
        <f>Y14*$C$13</f>
        <v>288052.02521201625</v>
      </c>
      <c r="AC14" s="354">
        <f>AA14*$C$13</f>
        <v>298133.84609443677</v>
      </c>
      <c r="AE14" s="354">
        <f>AC14*$C$13</f>
        <v>308568.53070774203</v>
      </c>
      <c r="AG14" s="354">
        <f>AE14*$C$13</f>
        <v>319368.42928251298</v>
      </c>
    </row>
    <row r="15" spans="1:34" s="339" customFormat="1" ht="14.25">
      <c r="A15" s="339" t="s">
        <v>353</v>
      </c>
      <c r="C15" s="368"/>
      <c r="E15" s="357">
        <f>Application!W847</f>
        <v>244800</v>
      </c>
      <c r="F15" s="357"/>
      <c r="G15" s="357">
        <f t="shared" ref="G15:AG20" si="0">E15*$C$13</f>
        <v>253367.99999999997</v>
      </c>
      <c r="H15" s="357"/>
      <c r="I15" s="357">
        <f t="shared" si="0"/>
        <v>262235.87999999995</v>
      </c>
      <c r="J15" s="357"/>
      <c r="K15" s="357">
        <f t="shared" si="0"/>
        <v>271414.13579999993</v>
      </c>
      <c r="L15" s="357"/>
      <c r="M15" s="357">
        <f t="shared" si="0"/>
        <v>280913.63055299991</v>
      </c>
      <c r="N15" s="357"/>
      <c r="O15" s="357">
        <f t="shared" si="0"/>
        <v>290745.60762235487</v>
      </c>
      <c r="P15" s="357"/>
      <c r="Q15" s="357">
        <f t="shared" si="0"/>
        <v>300921.70388913725</v>
      </c>
      <c r="R15" s="357"/>
      <c r="S15" s="357">
        <f t="shared" si="0"/>
        <v>311453.96352525702</v>
      </c>
      <c r="T15" s="357"/>
      <c r="U15" s="357">
        <f t="shared" si="0"/>
        <v>322354.85224864096</v>
      </c>
      <c r="V15" s="357"/>
      <c r="W15" s="357">
        <f t="shared" si="0"/>
        <v>333637.27207734337</v>
      </c>
      <c r="X15" s="357"/>
      <c r="Y15" s="357">
        <f t="shared" si="0"/>
        <v>345314.57660005038</v>
      </c>
      <c r="Z15" s="357"/>
      <c r="AA15" s="357">
        <f t="shared" si="0"/>
        <v>357400.58678105212</v>
      </c>
      <c r="AB15" s="357"/>
      <c r="AC15" s="357">
        <f t="shared" si="0"/>
        <v>369909.60731838894</v>
      </c>
      <c r="AD15" s="357"/>
      <c r="AE15" s="357">
        <f t="shared" si="0"/>
        <v>382856.44357453252</v>
      </c>
      <c r="AF15" s="357"/>
      <c r="AG15" s="357">
        <f t="shared" si="0"/>
        <v>396256.41909964115</v>
      </c>
    </row>
    <row r="16" spans="1:34" s="339" customFormat="1" ht="14.25">
      <c r="A16" s="339" t="s">
        <v>593</v>
      </c>
      <c r="C16" s="368"/>
      <c r="E16" s="357">
        <f>Application!W853</f>
        <v>306000</v>
      </c>
      <c r="F16" s="357"/>
      <c r="G16" s="357">
        <f t="shared" si="0"/>
        <v>316710</v>
      </c>
      <c r="H16" s="357"/>
      <c r="I16" s="357">
        <f t="shared" si="0"/>
        <v>327794.84999999998</v>
      </c>
      <c r="J16" s="357"/>
      <c r="K16" s="357">
        <f t="shared" si="0"/>
        <v>339267.66974999994</v>
      </c>
      <c r="L16" s="357"/>
      <c r="M16" s="357">
        <f t="shared" si="0"/>
        <v>351142.03819124989</v>
      </c>
      <c r="N16" s="357"/>
      <c r="O16" s="357">
        <f t="shared" si="0"/>
        <v>363432.00952794362</v>
      </c>
      <c r="P16" s="357"/>
      <c r="Q16" s="357">
        <f t="shared" si="0"/>
        <v>376152.12986142159</v>
      </c>
      <c r="R16" s="357"/>
      <c r="S16" s="357">
        <f t="shared" si="0"/>
        <v>389317.45440657134</v>
      </c>
      <c r="T16" s="357"/>
      <c r="U16" s="357">
        <f t="shared" si="0"/>
        <v>402943.56531080132</v>
      </c>
      <c r="V16" s="357"/>
      <c r="W16" s="357">
        <f t="shared" si="0"/>
        <v>417046.59009667934</v>
      </c>
      <c r="X16" s="357"/>
      <c r="Y16" s="357">
        <f t="shared" si="0"/>
        <v>431643.22075006308</v>
      </c>
      <c r="Z16" s="357"/>
      <c r="AA16" s="357">
        <f t="shared" si="0"/>
        <v>446750.73347631528</v>
      </c>
      <c r="AB16" s="357"/>
      <c r="AC16" s="357">
        <f t="shared" si="0"/>
        <v>462387.00914798625</v>
      </c>
      <c r="AD16" s="357"/>
      <c r="AE16" s="357">
        <f t="shared" si="0"/>
        <v>478570.55446816573</v>
      </c>
      <c r="AF16" s="357"/>
      <c r="AG16" s="357">
        <f t="shared" si="0"/>
        <v>495320.52387455152</v>
      </c>
    </row>
    <row r="17" spans="1:33" s="339" customFormat="1" ht="14.25">
      <c r="A17" s="339" t="s">
        <v>904</v>
      </c>
      <c r="C17" s="368"/>
      <c r="E17" s="357">
        <f>Application!W860</f>
        <v>507280</v>
      </c>
      <c r="F17" s="357"/>
      <c r="G17" s="357">
        <f t="shared" si="0"/>
        <v>525034.79999999993</v>
      </c>
      <c r="H17" s="357"/>
      <c r="I17" s="357">
        <f t="shared" si="0"/>
        <v>543411.01799999992</v>
      </c>
      <c r="J17" s="357"/>
      <c r="K17" s="357">
        <f t="shared" si="0"/>
        <v>562430.40362999984</v>
      </c>
      <c r="L17" s="357"/>
      <c r="M17" s="357">
        <f t="shared" si="0"/>
        <v>582115.46775704983</v>
      </c>
      <c r="N17" s="357"/>
      <c r="O17" s="357">
        <f t="shared" si="0"/>
        <v>602489.50912854658</v>
      </c>
      <c r="P17" s="357"/>
      <c r="Q17" s="357">
        <f t="shared" si="0"/>
        <v>623576.6419480457</v>
      </c>
      <c r="R17" s="357"/>
      <c r="S17" s="357">
        <f t="shared" si="0"/>
        <v>645401.82441622729</v>
      </c>
      <c r="T17" s="357"/>
      <c r="U17" s="357">
        <f t="shared" si="0"/>
        <v>667990.88827079523</v>
      </c>
      <c r="V17" s="357"/>
      <c r="W17" s="357">
        <f t="shared" si="0"/>
        <v>691370.56936027296</v>
      </c>
      <c r="X17" s="357"/>
      <c r="Y17" s="357">
        <f t="shared" si="0"/>
        <v>715568.53928788251</v>
      </c>
      <c r="Z17" s="357"/>
      <c r="AA17" s="357">
        <f t="shared" si="0"/>
        <v>740613.43816295837</v>
      </c>
      <c r="AB17" s="357"/>
      <c r="AC17" s="357">
        <f t="shared" si="0"/>
        <v>766534.90849866183</v>
      </c>
      <c r="AD17" s="357"/>
      <c r="AE17" s="357">
        <f t="shared" si="0"/>
        <v>793363.63029611495</v>
      </c>
      <c r="AF17" s="357"/>
      <c r="AG17" s="357">
        <f t="shared" si="0"/>
        <v>821131.35735647893</v>
      </c>
    </row>
    <row r="18" spans="1:33" s="339" customFormat="1" ht="14.25">
      <c r="A18" s="339" t="s">
        <v>160</v>
      </c>
      <c r="C18" s="368"/>
      <c r="E18" s="357">
        <f>Application!W861</f>
        <v>88400</v>
      </c>
      <c r="F18" s="357"/>
      <c r="G18" s="357">
        <f t="shared" si="0"/>
        <v>91494</v>
      </c>
      <c r="H18" s="357"/>
      <c r="I18" s="357">
        <f t="shared" si="0"/>
        <v>94696.29</v>
      </c>
      <c r="J18" s="357"/>
      <c r="K18" s="357">
        <f t="shared" si="0"/>
        <v>98010.660149999982</v>
      </c>
      <c r="L18" s="357"/>
      <c r="M18" s="357">
        <f t="shared" si="0"/>
        <v>101441.03325524997</v>
      </c>
      <c r="N18" s="357"/>
      <c r="O18" s="357">
        <f t="shared" si="0"/>
        <v>104991.46941918372</v>
      </c>
      <c r="P18" s="357"/>
      <c r="Q18" s="357">
        <f t="shared" si="0"/>
        <v>108666.17084885514</v>
      </c>
      <c r="R18" s="357"/>
      <c r="S18" s="357">
        <f t="shared" si="0"/>
        <v>112469.48682856506</v>
      </c>
      <c r="T18" s="357"/>
      <c r="U18" s="357">
        <f t="shared" si="0"/>
        <v>116405.91886756483</v>
      </c>
      <c r="V18" s="357"/>
      <c r="W18" s="357">
        <f t="shared" si="0"/>
        <v>120480.1260279296</v>
      </c>
      <c r="X18" s="357"/>
      <c r="Y18" s="357">
        <f t="shared" si="0"/>
        <v>124696.93043890712</v>
      </c>
      <c r="Z18" s="357"/>
      <c r="AA18" s="357">
        <f t="shared" si="0"/>
        <v>129061.32300426885</v>
      </c>
      <c r="AB18" s="357"/>
      <c r="AC18" s="357">
        <f t="shared" si="0"/>
        <v>133578.46930941826</v>
      </c>
      <c r="AD18" s="357"/>
      <c r="AE18" s="357">
        <f t="shared" si="0"/>
        <v>138253.71573524788</v>
      </c>
      <c r="AF18" s="357"/>
      <c r="AG18" s="357">
        <f t="shared" si="0"/>
        <v>143092.59578598154</v>
      </c>
    </row>
    <row r="19" spans="1:33" s="339" customFormat="1" ht="14.25">
      <c r="A19" s="339" t="s">
        <v>408</v>
      </c>
      <c r="C19" s="368"/>
      <c r="E19" s="357">
        <f>Application!W870</f>
        <v>782000</v>
      </c>
      <c r="F19" s="357"/>
      <c r="G19" s="357">
        <f t="shared" si="0"/>
        <v>809369.99999999988</v>
      </c>
      <c r="H19" s="357"/>
      <c r="I19" s="357">
        <f t="shared" si="0"/>
        <v>837697.94999999984</v>
      </c>
      <c r="J19" s="357"/>
      <c r="K19" s="357">
        <f t="shared" si="0"/>
        <v>867017.37824999972</v>
      </c>
      <c r="L19" s="357"/>
      <c r="M19" s="357">
        <f t="shared" si="0"/>
        <v>897362.98648874962</v>
      </c>
      <c r="N19" s="357"/>
      <c r="O19" s="357">
        <f t="shared" si="0"/>
        <v>928770.69101585576</v>
      </c>
      <c r="P19" s="357"/>
      <c r="Q19" s="357">
        <f t="shared" si="0"/>
        <v>961277.66520141065</v>
      </c>
      <c r="R19" s="357"/>
      <c r="S19" s="357">
        <f t="shared" si="0"/>
        <v>994922.38348345994</v>
      </c>
      <c r="T19" s="357"/>
      <c r="U19" s="357">
        <f t="shared" si="0"/>
        <v>1029744.6669053809</v>
      </c>
      <c r="V19" s="357"/>
      <c r="W19" s="357">
        <f t="shared" si="0"/>
        <v>1065785.7302470692</v>
      </c>
      <c r="X19" s="357"/>
      <c r="Y19" s="357">
        <f t="shared" si="0"/>
        <v>1103088.2308057165</v>
      </c>
      <c r="Z19" s="357"/>
      <c r="AA19" s="357">
        <f t="shared" si="0"/>
        <v>1141696.3188839164</v>
      </c>
      <c r="AB19" s="357"/>
      <c r="AC19" s="357">
        <f t="shared" si="0"/>
        <v>1181655.6900448534</v>
      </c>
      <c r="AD19" s="357"/>
      <c r="AE19" s="357">
        <f t="shared" si="0"/>
        <v>1223013.6391964231</v>
      </c>
      <c r="AF19" s="357"/>
      <c r="AG19" s="357">
        <f t="shared" si="0"/>
        <v>1265819.1165682978</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2125780</v>
      </c>
      <c r="G21" s="358">
        <f>SUM(G14:G20)</f>
        <v>2200182.2999999998</v>
      </c>
      <c r="I21" s="358">
        <f>SUM(I14:I20)</f>
        <v>2277188.6804999998</v>
      </c>
      <c r="K21" s="358">
        <f>SUM(K14:K20)</f>
        <v>2356890.284317499</v>
      </c>
      <c r="M21" s="358">
        <f>SUM(M14:M20)</f>
        <v>2439381.4442686117</v>
      </c>
      <c r="O21" s="358">
        <f>SUM(O14:O20)</f>
        <v>2524759.794818013</v>
      </c>
      <c r="Q21" s="358">
        <f>SUM(Q14:Q20)</f>
        <v>2613126.3876366429</v>
      </c>
      <c r="S21" s="358">
        <f>SUM(S14:S20)</f>
        <v>2704585.8112039259</v>
      </c>
      <c r="U21" s="358">
        <f>SUM(U14:U20)</f>
        <v>2799246.3145960625</v>
      </c>
      <c r="W21" s="358">
        <f>SUM(W14:W20)</f>
        <v>2897219.9356069248</v>
      </c>
      <c r="Y21" s="358">
        <f>SUM(Y14:Y20)</f>
        <v>2998622.6333531663</v>
      </c>
      <c r="AA21" s="358">
        <f>SUM(AA14:AA20)</f>
        <v>3103574.4255205272</v>
      </c>
      <c r="AC21" s="358">
        <f>SUM(AC14:AC20)</f>
        <v>3212199.5304137454</v>
      </c>
      <c r="AE21" s="358">
        <f>SUM(AE14:AE20)</f>
        <v>3324626.5139782261</v>
      </c>
      <c r="AG21" s="358">
        <f>SUM(AG14:AG20)</f>
        <v>3440988.4419674641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200000</v>
      </c>
      <c r="F26" s="357"/>
      <c r="G26" s="357">
        <f>E26*$C$26</f>
        <v>206999.99999999997</v>
      </c>
      <c r="H26" s="357"/>
      <c r="I26" s="357">
        <f>G26*$C$26</f>
        <v>214244.99999999994</v>
      </c>
      <c r="J26" s="357"/>
      <c r="K26" s="357">
        <f>I26*$C$26</f>
        <v>221743.57499999992</v>
      </c>
      <c r="L26" s="357"/>
      <c r="M26" s="357">
        <f>K26*$C$26</f>
        <v>229504.60012499991</v>
      </c>
      <c r="N26" s="357"/>
      <c r="O26" s="357">
        <f>M26*$C$26</f>
        <v>237537.26112937488</v>
      </c>
      <c r="P26" s="357"/>
      <c r="Q26" s="357">
        <f>O26*$C$26</f>
        <v>245851.06526890298</v>
      </c>
      <c r="R26" s="357"/>
      <c r="S26" s="357">
        <f>Q26*$C$26</f>
        <v>254455.85255331456</v>
      </c>
      <c r="T26" s="357"/>
      <c r="U26" s="357">
        <f>S26*$C$26</f>
        <v>263361.80739268055</v>
      </c>
      <c r="V26" s="357"/>
      <c r="W26" s="357">
        <f>U26*$C$26</f>
        <v>272579.47065142437</v>
      </c>
      <c r="X26" s="357"/>
      <c r="Y26" s="357">
        <f>W26*$C$26</f>
        <v>282119.75212422421</v>
      </c>
      <c r="Z26" s="357"/>
      <c r="AA26" s="357">
        <f>Y26*$C$26</f>
        <v>291993.94344857201</v>
      </c>
      <c r="AB26" s="357"/>
      <c r="AC26" s="357">
        <f>AA26*$C$26</f>
        <v>302213.731469272</v>
      </c>
      <c r="AD26" s="357"/>
      <c r="AE26" s="357">
        <f>AC26*$C$26</f>
        <v>312791.21207069646</v>
      </c>
      <c r="AF26" s="357"/>
      <c r="AG26" s="357">
        <f>AE26*$C$26</f>
        <v>323738.90449317079</v>
      </c>
    </row>
    <row r="27" spans="1:33" s="339" customFormat="1" ht="14.25">
      <c r="A27" s="339" t="s">
        <v>908</v>
      </c>
      <c r="C27" s="376"/>
      <c r="E27" s="357">
        <f>Application!AC887</f>
        <v>102000</v>
      </c>
      <c r="F27" s="357"/>
      <c r="G27" s="357">
        <f>$E$27</f>
        <v>102000</v>
      </c>
      <c r="H27" s="357"/>
      <c r="I27" s="357">
        <f>$E$27</f>
        <v>102000</v>
      </c>
      <c r="J27" s="357"/>
      <c r="K27" s="357">
        <f>$E$27</f>
        <v>102000</v>
      </c>
      <c r="L27" s="357"/>
      <c r="M27" s="357">
        <f>$E$27</f>
        <v>102000</v>
      </c>
      <c r="N27" s="357"/>
      <c r="O27" s="357">
        <f>$E$27</f>
        <v>102000</v>
      </c>
      <c r="P27" s="357"/>
      <c r="Q27" s="357">
        <f>$E$27</f>
        <v>102000</v>
      </c>
      <c r="R27" s="357"/>
      <c r="S27" s="357">
        <f>$E$27</f>
        <v>102000</v>
      </c>
      <c r="T27" s="357"/>
      <c r="U27" s="357">
        <f>$E$27</f>
        <v>102000</v>
      </c>
      <c r="V27" s="357"/>
      <c r="W27" s="357">
        <f>$E$27</f>
        <v>102000</v>
      </c>
      <c r="X27" s="357"/>
      <c r="Y27" s="357">
        <f>$E$27</f>
        <v>102000</v>
      </c>
      <c r="Z27" s="357"/>
      <c r="AA27" s="357">
        <f>$E$27</f>
        <v>102000</v>
      </c>
      <c r="AB27" s="357"/>
      <c r="AC27" s="357">
        <f>$E$27</f>
        <v>102000</v>
      </c>
      <c r="AD27" s="357"/>
      <c r="AE27" s="357">
        <f>$E$27</f>
        <v>102000</v>
      </c>
      <c r="AF27" s="357"/>
      <c r="AG27" s="357">
        <f>$E$27</f>
        <v>102000</v>
      </c>
    </row>
    <row r="28" spans="1:33" s="339" customFormat="1" ht="14.25">
      <c r="A28" s="339" t="s">
        <v>2157</v>
      </c>
      <c r="C28" s="374">
        <v>1.0349999999999999</v>
      </c>
      <c r="E28" s="357">
        <f>Application!AC888</f>
        <v>50550</v>
      </c>
      <c r="F28" s="357"/>
      <c r="G28" s="357">
        <f>E28*$C$28</f>
        <v>52319.249999999993</v>
      </c>
      <c r="H28" s="357"/>
      <c r="I28" s="357">
        <f t="shared" ref="I28:AG28" si="1">G28*$C$28</f>
        <v>54150.423749999987</v>
      </c>
      <c r="J28" s="357"/>
      <c r="K28" s="357">
        <f t="shared" si="1"/>
        <v>56045.688581249982</v>
      </c>
      <c r="L28" s="357"/>
      <c r="M28" s="357">
        <f t="shared" si="1"/>
        <v>58007.287681593727</v>
      </c>
      <c r="N28" s="357"/>
      <c r="O28" s="357">
        <f t="shared" si="1"/>
        <v>60037.542750449502</v>
      </c>
      <c r="P28" s="357"/>
      <c r="Q28" s="357">
        <f t="shared" si="1"/>
        <v>62138.856746715232</v>
      </c>
      <c r="R28" s="357"/>
      <c r="S28" s="357">
        <f t="shared" si="1"/>
        <v>64313.716732850262</v>
      </c>
      <c r="T28" s="357"/>
      <c r="U28" s="357">
        <f t="shared" si="1"/>
        <v>66564.696818500015</v>
      </c>
      <c r="V28" s="357"/>
      <c r="W28" s="357">
        <f t="shared" si="1"/>
        <v>68894.461207147513</v>
      </c>
      <c r="X28" s="357"/>
      <c r="Y28" s="357">
        <f t="shared" si="1"/>
        <v>71305.767349397676</v>
      </c>
      <c r="Z28" s="357"/>
      <c r="AA28" s="357">
        <f t="shared" si="1"/>
        <v>73801.469206626585</v>
      </c>
      <c r="AB28" s="357"/>
      <c r="AC28" s="357">
        <f t="shared" si="1"/>
        <v>76384.520628858503</v>
      </c>
      <c r="AD28" s="357"/>
      <c r="AE28" s="357">
        <f t="shared" si="1"/>
        <v>79057.978850868545</v>
      </c>
      <c r="AF28" s="357"/>
      <c r="AG28" s="357">
        <f t="shared" si="1"/>
        <v>81825.008110648938</v>
      </c>
    </row>
    <row r="29" spans="1:33" s="339" customFormat="1" ht="14.25">
      <c r="A29" s="339" t="s">
        <v>906</v>
      </c>
      <c r="C29" s="374">
        <v>1.02</v>
      </c>
      <c r="E29" s="357">
        <f>Application!AC889</f>
        <v>54400</v>
      </c>
      <c r="F29" s="357"/>
      <c r="G29" s="357">
        <f>E29*$C$29</f>
        <v>55488</v>
      </c>
      <c r="H29" s="357"/>
      <c r="I29" s="357">
        <f>G29*$C$29</f>
        <v>56597.760000000002</v>
      </c>
      <c r="J29" s="357"/>
      <c r="K29" s="357">
        <f>I29*$C$29</f>
        <v>57729.715200000006</v>
      </c>
      <c r="L29" s="357"/>
      <c r="M29" s="357">
        <f>K29*$C$29</f>
        <v>58884.309504000004</v>
      </c>
      <c r="N29" s="357"/>
      <c r="O29" s="357">
        <f>M29*$C$29</f>
        <v>60061.995694080004</v>
      </c>
      <c r="P29" s="357"/>
      <c r="Q29" s="357">
        <f>O29*$C$29</f>
        <v>61263.235607961607</v>
      </c>
      <c r="R29" s="357"/>
      <c r="S29" s="357">
        <f>Q29*$C$29</f>
        <v>62488.500320120838</v>
      </c>
      <c r="T29" s="357"/>
      <c r="U29" s="357">
        <f>S29*$C$29</f>
        <v>63738.270326523256</v>
      </c>
      <c r="V29" s="357"/>
      <c r="W29" s="357">
        <f>U29*$C$29</f>
        <v>65013.035733053723</v>
      </c>
      <c r="X29" s="357"/>
      <c r="Y29" s="357">
        <f>W29*$C$29</f>
        <v>66313.296447714805</v>
      </c>
      <c r="Z29" s="357"/>
      <c r="AA29" s="357">
        <f>Y29*$C$29</f>
        <v>67639.562376669099</v>
      </c>
      <c r="AB29" s="357"/>
      <c r="AC29" s="357">
        <f>AA29*$C$29</f>
        <v>68992.353624202486</v>
      </c>
      <c r="AD29" s="357"/>
      <c r="AE29" s="357">
        <f>AC29*$C$29</f>
        <v>70372.20069668653</v>
      </c>
      <c r="AF29" s="357"/>
      <c r="AG29" s="357">
        <f>AE29*$C$29</f>
        <v>71779.644710620269</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Annual Issuer Fee</v>
      </c>
      <c r="B31" s="361"/>
      <c r="C31" s="492">
        <v>1</v>
      </c>
      <c r="E31" s="357">
        <f>Application!AC891</f>
        <v>46796</v>
      </c>
      <c r="F31" s="357"/>
      <c r="G31" s="357">
        <f>E31</f>
        <v>46796</v>
      </c>
      <c r="H31" s="357"/>
      <c r="I31" s="357">
        <f>G31*$C$31</f>
        <v>46796</v>
      </c>
      <c r="J31" s="357"/>
      <c r="K31" s="357">
        <f>I31*$C$31</f>
        <v>46796</v>
      </c>
      <c r="L31" s="357"/>
      <c r="M31" s="357">
        <f>K31*$C$31</f>
        <v>46796</v>
      </c>
      <c r="N31" s="357"/>
      <c r="O31" s="357">
        <f>M31*$C$31</f>
        <v>46796</v>
      </c>
      <c r="P31" s="357"/>
      <c r="Q31" s="357">
        <f>O31*$C$31</f>
        <v>46796</v>
      </c>
      <c r="R31" s="357"/>
      <c r="S31" s="357">
        <f>Q31*$C$31</f>
        <v>46796</v>
      </c>
      <c r="T31" s="357"/>
      <c r="U31" s="357">
        <f>S31*$C$31</f>
        <v>46796</v>
      </c>
      <c r="V31" s="357"/>
      <c r="W31" s="357">
        <f>U31*$C$31</f>
        <v>46796</v>
      </c>
      <c r="X31" s="357"/>
      <c r="Y31" s="357">
        <f>W31*$C$31</f>
        <v>46796</v>
      </c>
      <c r="Z31" s="357"/>
      <c r="AA31" s="357">
        <f>Y31*$C$31</f>
        <v>46796</v>
      </c>
      <c r="AB31" s="357"/>
      <c r="AC31" s="357">
        <f>AA31*$C$31</f>
        <v>46796</v>
      </c>
      <c r="AD31" s="357"/>
      <c r="AE31" s="357">
        <f>AC31*$C$31</f>
        <v>46796</v>
      </c>
      <c r="AF31" s="357"/>
      <c r="AG31" s="357">
        <f>AE31*$C$31</f>
        <v>46796</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2579526</v>
      </c>
      <c r="G34" s="358">
        <f>SUM(G21:G32)</f>
        <v>2663785.5499999998</v>
      </c>
      <c r="I34" s="358">
        <f>SUM(I21:I32)</f>
        <v>2750977.8642499996</v>
      </c>
      <c r="K34" s="358">
        <f>SUM(K21:K32)</f>
        <v>2841205.2630987489</v>
      </c>
      <c r="M34" s="358">
        <f>SUM(M21:M32)</f>
        <v>2934573.6415792052</v>
      </c>
      <c r="O34" s="358">
        <f>SUM(O21:O32)</f>
        <v>3031192.5943919173</v>
      </c>
      <c r="Q34" s="358">
        <f>SUM(Q21:Q32)</f>
        <v>3131175.5452602226</v>
      </c>
      <c r="S34" s="358">
        <f>SUM(S21:S32)</f>
        <v>3234639.8808102114</v>
      </c>
      <c r="U34" s="358">
        <f>SUM(U21:U32)</f>
        <v>3341707.089133766</v>
      </c>
      <c r="W34" s="358">
        <f>SUM(W21:W32)</f>
        <v>3452502.9031985509</v>
      </c>
      <c r="Y34" s="358">
        <f>SUM(Y21:Y32)</f>
        <v>3567157.4492745032</v>
      </c>
      <c r="AA34" s="358">
        <f>SUM(AA21:AA32)</f>
        <v>3685805.4005523948</v>
      </c>
      <c r="AC34" s="358">
        <f>SUM(AC21:AC32)</f>
        <v>3808586.1361360783</v>
      </c>
      <c r="AE34" s="358">
        <f>SUM(AE21:AE32)</f>
        <v>3935643.9055964779</v>
      </c>
      <c r="AG34" s="358">
        <f>SUM(AG21:AG32)</f>
        <v>4067127.9992819042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2275186.7999999998</v>
      </c>
      <c r="G36" s="358">
        <f>G10-G34</f>
        <v>2312295.0699999994</v>
      </c>
      <c r="I36" s="358">
        <f>I10-I34</f>
        <v>2349504.7712499993</v>
      </c>
      <c r="K36" s="358">
        <f>K10-K34</f>
        <v>2386789.4382887497</v>
      </c>
      <c r="M36" s="358">
        <f>M10-M34</f>
        <v>2424120.9273429811</v>
      </c>
      <c r="O36" s="358">
        <f>O10-O34</f>
        <v>2461469.3387533217</v>
      </c>
      <c r="Q36" s="358">
        <f>Q10-Q34</f>
        <v>2498802.936213647</v>
      </c>
      <c r="S36" s="358">
        <f>S10-S34</f>
        <v>2536088.0627005044</v>
      </c>
      <c r="U36" s="358">
        <f>U10-U34</f>
        <v>2573289.0529647176</v>
      </c>
      <c r="W36" s="358">
        <f>W10-W34</f>
        <v>2610368.1424523941</v>
      </c>
      <c r="Y36" s="358">
        <f>Y10-Y34</f>
        <v>2647285.3725177157</v>
      </c>
      <c r="AA36" s="358">
        <f>AA10-AA34</f>
        <v>2683998.4917846294</v>
      </c>
      <c r="AC36" s="358">
        <f>AC10-AC34</f>
        <v>2720462.8535093702</v>
      </c>
      <c r="AE36" s="358">
        <f>AE10-AE34</f>
        <v>2756631.3087901063</v>
      </c>
      <c r="AG36" s="358">
        <f>AG10-AG34</f>
        <v>2792454.0954643446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Conventional Perm Loan (BofA)</v>
      </c>
      <c r="B39" s="361"/>
      <c r="C39" s="355"/>
      <c r="E39" s="357">
        <f>Application!AF637</f>
        <v>1978423</v>
      </c>
      <c r="F39" s="357"/>
      <c r="G39" s="357">
        <f>$E$39</f>
        <v>1978423</v>
      </c>
      <c r="H39" s="357"/>
      <c r="I39" s="357">
        <f>$E$39</f>
        <v>1978423</v>
      </c>
      <c r="J39" s="357"/>
      <c r="K39" s="357">
        <f>$E$39</f>
        <v>1978423</v>
      </c>
      <c r="L39" s="357"/>
      <c r="M39" s="357">
        <f>$E$39</f>
        <v>1978423</v>
      </c>
      <c r="N39" s="357"/>
      <c r="O39" s="357">
        <f>$E$39</f>
        <v>1978423</v>
      </c>
      <c r="P39" s="357"/>
      <c r="Q39" s="357">
        <f>$E$39</f>
        <v>1978423</v>
      </c>
      <c r="R39" s="357"/>
      <c r="S39" s="357">
        <f>$E$39</f>
        <v>1978423</v>
      </c>
      <c r="T39" s="357"/>
      <c r="U39" s="357">
        <f>$E$39</f>
        <v>1978423</v>
      </c>
      <c r="V39" s="357"/>
      <c r="W39" s="357">
        <f>$E$39</f>
        <v>1978423</v>
      </c>
      <c r="X39" s="357"/>
      <c r="Y39" s="357">
        <f>$E$39</f>
        <v>1978423</v>
      </c>
      <c r="Z39" s="357"/>
      <c r="AA39" s="357">
        <f>$E$39</f>
        <v>1978423</v>
      </c>
      <c r="AB39" s="357"/>
      <c r="AC39" s="357">
        <f>$E$39</f>
        <v>1978423</v>
      </c>
      <c r="AD39" s="357"/>
      <c r="AE39" s="357">
        <f>$E$39</f>
        <v>1978423</v>
      </c>
      <c r="AF39" s="357"/>
      <c r="AG39" s="357">
        <f>$E$39</f>
        <v>1978423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1978423</v>
      </c>
      <c r="G42" s="358">
        <f>SUM(G39:G41)</f>
        <v>1978423</v>
      </c>
      <c r="I42" s="358">
        <f>SUM(I39:I41)</f>
        <v>1978423</v>
      </c>
      <c r="K42" s="358">
        <f>SUM(K39:K41)</f>
        <v>1978423</v>
      </c>
      <c r="M42" s="358">
        <f>SUM(M39:M41)</f>
        <v>1978423</v>
      </c>
      <c r="O42" s="358">
        <f>SUM(O39:O41)</f>
        <v>1978423</v>
      </c>
      <c r="Q42" s="358">
        <f>SUM(Q39:Q41)</f>
        <v>1978423</v>
      </c>
      <c r="S42" s="358">
        <f>SUM(S39:S41)</f>
        <v>1978423</v>
      </c>
      <c r="U42" s="358">
        <f>SUM(U39:U41)</f>
        <v>1978423</v>
      </c>
      <c r="W42" s="358">
        <f>SUM(W39:W41)</f>
        <v>1978423</v>
      </c>
      <c r="Y42" s="358">
        <f>SUM(Y39:Y41)</f>
        <v>1978423</v>
      </c>
      <c r="AA42" s="358">
        <f>SUM(AA39:AA41)</f>
        <v>1978423</v>
      </c>
      <c r="AC42" s="358">
        <f>SUM(AC39:AC41)</f>
        <v>1978423</v>
      </c>
      <c r="AE42" s="358">
        <f>SUM(AE39:AE41)</f>
        <v>1978423</v>
      </c>
      <c r="AG42" s="358">
        <f>SUM(AG39:AG41)</f>
        <v>1978423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296763.79999999981</v>
      </c>
      <c r="G44" s="358">
        <f>G36-G42</f>
        <v>333872.06999999937</v>
      </c>
      <c r="I44" s="358">
        <f>I36-I42</f>
        <v>371081.77124999929</v>
      </c>
      <c r="K44" s="358">
        <f>K36-K42</f>
        <v>408366.43828874966</v>
      </c>
      <c r="M44" s="358">
        <f>M36-M42</f>
        <v>445697.9273429811</v>
      </c>
      <c r="O44" s="358">
        <f>O36-O42</f>
        <v>483046.33875332167</v>
      </c>
      <c r="Q44" s="358">
        <f>Q36-Q42</f>
        <v>520379.93621364702</v>
      </c>
      <c r="S44" s="358">
        <f>S36-S42</f>
        <v>557665.06270050444</v>
      </c>
      <c r="U44" s="358">
        <f>U36-U42</f>
        <v>594866.05296471762</v>
      </c>
      <c r="W44" s="358">
        <f>W36-W42</f>
        <v>631945.14245239412</v>
      </c>
      <c r="Y44" s="358">
        <f>Y36-Y42</f>
        <v>668862.37251771567</v>
      </c>
      <c r="AA44" s="358">
        <f>AA36-AA42</f>
        <v>705575.49178462941</v>
      </c>
      <c r="AC44" s="358">
        <f>AC36-AC42</f>
        <v>742039.85350937024</v>
      </c>
      <c r="AE44" s="358">
        <f>AE36-AE42</f>
        <v>778208.30879010633</v>
      </c>
      <c r="AG44" s="358">
        <f>AG36-AG42</f>
        <v>814031.0954643446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5.8072561985541109E-2</v>
      </c>
      <c r="G46" s="362">
        <f>G44/(G4+G6+G8)</f>
        <v>6.3740620524753364E-2</v>
      </c>
      <c r="I46" s="362">
        <f>I44/(I4+I6+I8)</f>
        <v>6.9116534234204122E-2</v>
      </c>
      <c r="K46" s="362">
        <f>K44/(K4+K6+K8)</f>
        <v>7.4205912311148967E-2</v>
      </c>
      <c r="M46" s="362">
        <f>M44/(M4+M6+M8)</f>
        <v>7.9014212422447258E-2</v>
      </c>
      <c r="O46" s="362">
        <f>O44/(O4+O6+O8)</f>
        <v>8.3546744256455821E-2</v>
      </c>
      <c r="Q46" s="362">
        <f>Q44/(Q4+Q6+Q8)</f>
        <v>8.7808672986889658E-2</v>
      </c>
      <c r="S46" s="362">
        <f>S44/(S4+S6+S8)</f>
        <v>9.1805022650778056E-2</v>
      </c>
      <c r="U46" s="362">
        <f>U44/(U4+U6+U8)</f>
        <v>9.5540679442605886E-2</v>
      </c>
      <c r="W46" s="362">
        <f>W44/(W4+W6+W8)</f>
        <v>9.902039492666094E-2</v>
      </c>
      <c r="Y46" s="362">
        <f>Y44/(Y4+Y6+Y8)</f>
        <v>0.10224878916957798</v>
      </c>
      <c r="AA46" s="362">
        <f>AA44/(AA4+AA6+AA8)</f>
        <v>0.10523035379500076</v>
      </c>
      <c r="AC46" s="362">
        <f>AC44/(AC4+AC6+AC8)</f>
        <v>0.10796945496225821</v>
      </c>
      <c r="AE46" s="362">
        <f>AE44/(AE4+AE6+AE8)</f>
        <v>0.1104703362708859</v>
      </c>
      <c r="AG46" s="362">
        <f>AG44/(AG4+AG6+AG8)</f>
        <v>0.11273712159278917</v>
      </c>
    </row>
    <row r="47" spans="1:33" s="362" customFormat="1" ht="14.25">
      <c r="A47" s="362" t="s">
        <v>914</v>
      </c>
      <c r="C47" s="355"/>
      <c r="E47" s="362">
        <f>E44/E42</f>
        <v>0.15000017690857811</v>
      </c>
      <c r="G47" s="362">
        <f>G44/G42</f>
        <v>0.1687566662943159</v>
      </c>
      <c r="I47" s="362">
        <f>I44/I42</f>
        <v>0.18756442441783142</v>
      </c>
      <c r="K47" s="362">
        <f>K44/K42</f>
        <v>0.20641007423020744</v>
      </c>
      <c r="M47" s="362">
        <f>M44/M42</f>
        <v>0.22527939037454633</v>
      </c>
      <c r="O47" s="362">
        <f>O44/O42</f>
        <v>0.24415725997591095</v>
      </c>
      <c r="Q47" s="362">
        <f>Q44/Q42</f>
        <v>0.26302764182060512</v>
      </c>
      <c r="S47" s="362">
        <f>S44/S42</f>
        <v>0.28187352386244219</v>
      </c>
      <c r="U47" s="362">
        <f>U44/U42</f>
        <v>0.30067687899135709</v>
      </c>
      <c r="W47" s="362">
        <f>W44/W42</f>
        <v>0.31941861899724888</v>
      </c>
      <c r="Y47" s="362">
        <f>Y44/Y42</f>
        <v>0.33807854665949377</v>
      </c>
      <c r="AA47" s="362">
        <f>AA44/AA42</f>
        <v>0.35663530588990799</v>
      </c>
      <c r="AC47" s="362">
        <f>AC44/AC42</f>
        <v>0.37506632985431843</v>
      </c>
      <c r="AE47" s="362">
        <f>AE44/AE42</f>
        <v>0.39334778699504924</v>
      </c>
      <c r="AG47" s="362">
        <f>AG44/AG42</f>
        <v>0.41145452487377299</v>
      </c>
    </row>
    <row r="48" spans="1:33" s="363" customFormat="1" ht="14.25">
      <c r="A48" s="363" t="s">
        <v>912</v>
      </c>
      <c r="C48" s="364"/>
      <c r="E48" s="363">
        <f>E36/E42</f>
        <v>1.1500001769085781</v>
      </c>
      <c r="G48" s="363">
        <f>G36/G42</f>
        <v>1.1687566662943158</v>
      </c>
      <c r="I48" s="363">
        <f>I36/I42</f>
        <v>1.1875644244178314</v>
      </c>
      <c r="K48" s="363">
        <f>K36/K42</f>
        <v>1.2064100742302075</v>
      </c>
      <c r="M48" s="363">
        <f>M36/M42</f>
        <v>1.2252793903745463</v>
      </c>
      <c r="O48" s="363">
        <f>O36/O42</f>
        <v>1.244157259975911</v>
      </c>
      <c r="Q48" s="363">
        <f>Q36/Q42</f>
        <v>1.263027641820605</v>
      </c>
      <c r="S48" s="363">
        <f>S36/S42</f>
        <v>1.2818735238624421</v>
      </c>
      <c r="U48" s="363">
        <f>U36/U42</f>
        <v>1.300676878991357</v>
      </c>
      <c r="W48" s="363">
        <f>W36/W42</f>
        <v>1.3194186189972488</v>
      </c>
      <c r="Y48" s="363">
        <f>Y36/Y42</f>
        <v>1.3380785466594938</v>
      </c>
      <c r="AA48" s="363">
        <f>AA36/AA42</f>
        <v>1.3566353058899079</v>
      </c>
      <c r="AC48" s="363">
        <f>AC36/AC42</f>
        <v>1.3750663298543184</v>
      </c>
      <c r="AE48" s="363">
        <f>AE36/AE42</f>
        <v>1.3933477869950492</v>
      </c>
      <c r="AG48" s="363">
        <f>AG36/AG42</f>
        <v>1.4114545248737731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1383</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v>12000</v>
      </c>
      <c r="G52" s="1674">
        <f>E52*$C$52</f>
        <v>12419.999999999998</v>
      </c>
      <c r="I52" s="1674">
        <f>G52*$C$52</f>
        <v>12854.699999999997</v>
      </c>
      <c r="K52" s="1674">
        <f>I52*$C$52</f>
        <v>13304.614499999996</v>
      </c>
      <c r="M52" s="1674">
        <f>K52*$C$52</f>
        <v>13770.276007499995</v>
      </c>
      <c r="O52" s="1674">
        <f>M52*$C$52</f>
        <v>14252.235667762494</v>
      </c>
      <c r="Q52" s="1674">
        <f>O52*$C$52</f>
        <v>14751.063916134181</v>
      </c>
      <c r="S52" s="1674">
        <f>Q52*$C$52</f>
        <v>15267.351153198875</v>
      </c>
      <c r="U52" s="1674">
        <f>S52*$C$52</f>
        <v>15801.708443560834</v>
      </c>
      <c r="W52" s="1674">
        <f>U52*$C$52</f>
        <v>16354.768239085462</v>
      </c>
      <c r="Y52" s="1674">
        <f t="shared" ref="Y52" si="2">W52*$C$52</f>
        <v>16927.185127453453</v>
      </c>
      <c r="AA52" s="1674">
        <f t="shared" ref="AA52" si="3">Y52*$C$52</f>
        <v>17519.636606914322</v>
      </c>
      <c r="AC52" s="1674">
        <f t="shared" ref="AC52" si="4">AA52*$C$52</f>
        <v>18132.823888156323</v>
      </c>
      <c r="AE52" s="1674">
        <f t="shared" ref="AE52" si="5">AC52*$C$52</f>
        <v>18767.472724241794</v>
      </c>
      <c r="AG52" s="1674">
        <f t="shared" ref="AG52" si="6">AE52*$C$52</f>
        <v>19424.334269590254</v>
      </c>
    </row>
    <row r="53" spans="1:35" s="6" customFormat="1">
      <c r="A53" s="6" t="s">
        <v>917</v>
      </c>
      <c r="C53" s="1672"/>
      <c r="E53" s="1679">
        <v>3000</v>
      </c>
      <c r="F53" s="1674"/>
      <c r="G53" s="1674">
        <f t="shared" ref="G53:AG56" si="7">E53*$C$52</f>
        <v>3104.9999999999995</v>
      </c>
      <c r="H53" s="1674"/>
      <c r="I53" s="1674">
        <f t="shared" si="7"/>
        <v>3213.6749999999993</v>
      </c>
      <c r="J53" s="1674"/>
      <c r="K53" s="1674">
        <f t="shared" si="7"/>
        <v>3326.153624999999</v>
      </c>
      <c r="L53" s="1674"/>
      <c r="M53" s="1674">
        <f t="shared" si="7"/>
        <v>3442.5690018749988</v>
      </c>
      <c r="N53" s="1674"/>
      <c r="O53" s="1674">
        <f t="shared" si="7"/>
        <v>3563.0589169406235</v>
      </c>
      <c r="P53" s="1674"/>
      <c r="Q53" s="1674">
        <f t="shared" si="7"/>
        <v>3687.7659790335451</v>
      </c>
      <c r="R53" s="1674"/>
      <c r="S53" s="1674">
        <f t="shared" si="7"/>
        <v>3816.8377882997188</v>
      </c>
      <c r="T53" s="1674"/>
      <c r="U53" s="1674">
        <f t="shared" si="7"/>
        <v>3950.4271108902085</v>
      </c>
      <c r="V53" s="1674"/>
      <c r="W53" s="1674">
        <f t="shared" si="7"/>
        <v>4088.6920597713656</v>
      </c>
      <c r="X53" s="1674"/>
      <c r="Y53" s="1674">
        <f t="shared" si="7"/>
        <v>4231.7962818633632</v>
      </c>
      <c r="Z53" s="1674"/>
      <c r="AA53" s="1674">
        <f t="shared" si="7"/>
        <v>4379.9091517285806</v>
      </c>
      <c r="AB53" s="1674"/>
      <c r="AC53" s="1674">
        <f t="shared" si="7"/>
        <v>4533.2059720390807</v>
      </c>
      <c r="AD53" s="1674"/>
      <c r="AE53" s="1674">
        <f t="shared" si="7"/>
        <v>4691.8681810604485</v>
      </c>
      <c r="AF53" s="1674"/>
      <c r="AG53" s="1674">
        <f t="shared" si="7"/>
        <v>4856.0835673975635</v>
      </c>
      <c r="AH53" s="1674"/>
      <c r="AI53" s="1674"/>
    </row>
    <row r="54" spans="1:35" s="6" customFormat="1">
      <c r="A54" s="6" t="s">
        <v>918</v>
      </c>
      <c r="C54" s="1672"/>
      <c r="E54" s="1679"/>
      <c r="F54" s="1674"/>
      <c r="G54" s="1674">
        <f t="shared" si="7"/>
        <v>0</v>
      </c>
      <c r="H54" s="1674"/>
      <c r="I54" s="1674">
        <f t="shared" si="7"/>
        <v>0</v>
      </c>
      <c r="J54" s="1674"/>
      <c r="K54" s="1674">
        <f t="shared" si="7"/>
        <v>0</v>
      </c>
      <c r="L54" s="1674"/>
      <c r="M54" s="1674">
        <f t="shared" si="7"/>
        <v>0</v>
      </c>
      <c r="N54" s="1674"/>
      <c r="O54" s="1674">
        <f t="shared" si="7"/>
        <v>0</v>
      </c>
      <c r="P54" s="1674"/>
      <c r="Q54" s="1674">
        <f t="shared" si="7"/>
        <v>0</v>
      </c>
      <c r="R54" s="1674"/>
      <c r="S54" s="1674">
        <f t="shared" si="7"/>
        <v>0</v>
      </c>
      <c r="T54" s="1674"/>
      <c r="U54" s="1674">
        <f t="shared" si="7"/>
        <v>0</v>
      </c>
      <c r="V54" s="1674"/>
      <c r="W54" s="1674">
        <f t="shared" si="7"/>
        <v>0</v>
      </c>
      <c r="X54" s="1674"/>
      <c r="Y54" s="1674">
        <f t="shared" si="7"/>
        <v>0</v>
      </c>
      <c r="Z54" s="1674"/>
      <c r="AA54" s="1674">
        <f t="shared" si="7"/>
        <v>0</v>
      </c>
      <c r="AB54" s="1674"/>
      <c r="AC54" s="1674">
        <f t="shared" si="7"/>
        <v>0</v>
      </c>
      <c r="AD54" s="1674"/>
      <c r="AE54" s="1674">
        <f t="shared" si="7"/>
        <v>0</v>
      </c>
      <c r="AF54" s="1674"/>
      <c r="AG54" s="1674">
        <f t="shared" si="7"/>
        <v>0</v>
      </c>
      <c r="AH54" s="1674"/>
      <c r="AI54" s="1674"/>
    </row>
    <row r="55" spans="1:35" s="6" customFormat="1">
      <c r="A55" s="1680"/>
      <c r="B55" s="1680"/>
      <c r="C55" s="1672"/>
      <c r="E55" s="1679"/>
      <c r="F55" s="1674"/>
      <c r="G55" s="1674">
        <f t="shared" si="7"/>
        <v>0</v>
      </c>
      <c r="H55" s="1674"/>
      <c r="I55" s="1674">
        <f t="shared" si="7"/>
        <v>0</v>
      </c>
      <c r="J55" s="1674"/>
      <c r="K55" s="1674">
        <f t="shared" si="7"/>
        <v>0</v>
      </c>
      <c r="L55" s="1674"/>
      <c r="M55" s="1674">
        <f t="shared" si="7"/>
        <v>0</v>
      </c>
      <c r="N55" s="1674"/>
      <c r="O55" s="1674">
        <f t="shared" si="7"/>
        <v>0</v>
      </c>
      <c r="P55" s="1674"/>
      <c r="Q55" s="1674">
        <f t="shared" si="7"/>
        <v>0</v>
      </c>
      <c r="R55" s="1674"/>
      <c r="S55" s="1674">
        <f t="shared" si="7"/>
        <v>0</v>
      </c>
      <c r="T55" s="1674"/>
      <c r="U55" s="1674">
        <f t="shared" si="7"/>
        <v>0</v>
      </c>
      <c r="V55" s="1674"/>
      <c r="W55" s="1674">
        <f t="shared" si="7"/>
        <v>0</v>
      </c>
      <c r="X55" s="1674"/>
      <c r="Y55" s="1674">
        <f t="shared" si="7"/>
        <v>0</v>
      </c>
      <c r="Z55" s="1674"/>
      <c r="AA55" s="1674">
        <f t="shared" si="7"/>
        <v>0</v>
      </c>
      <c r="AB55" s="1674"/>
      <c r="AC55" s="1674">
        <f t="shared" si="7"/>
        <v>0</v>
      </c>
      <c r="AD55" s="1674"/>
      <c r="AE55" s="1674">
        <f t="shared" si="7"/>
        <v>0</v>
      </c>
      <c r="AF55" s="1674"/>
      <c r="AG55" s="1674">
        <f t="shared" si="7"/>
        <v>0</v>
      </c>
      <c r="AH55" s="1674"/>
      <c r="AI55" s="1674"/>
    </row>
    <row r="56" spans="1:35" s="6" customFormat="1">
      <c r="A56" s="1680"/>
      <c r="B56" s="1680"/>
      <c r="C56" s="1672"/>
      <c r="E56" s="1681"/>
      <c r="F56" s="1674"/>
      <c r="G56" s="1682">
        <f t="shared" si="7"/>
        <v>0</v>
      </c>
      <c r="H56" s="1674"/>
      <c r="I56" s="1682">
        <f t="shared" si="7"/>
        <v>0</v>
      </c>
      <c r="J56" s="1674"/>
      <c r="K56" s="1682">
        <f t="shared" si="7"/>
        <v>0</v>
      </c>
      <c r="L56" s="1674"/>
      <c r="M56" s="1682">
        <f t="shared" si="7"/>
        <v>0</v>
      </c>
      <c r="N56" s="1674"/>
      <c r="O56" s="1682">
        <f t="shared" si="7"/>
        <v>0</v>
      </c>
      <c r="P56" s="1674"/>
      <c r="Q56" s="1682">
        <f t="shared" si="7"/>
        <v>0</v>
      </c>
      <c r="R56" s="1674"/>
      <c r="S56" s="1682">
        <f t="shared" si="7"/>
        <v>0</v>
      </c>
      <c r="T56" s="1674"/>
      <c r="U56" s="1682">
        <f t="shared" si="7"/>
        <v>0</v>
      </c>
      <c r="V56" s="1674"/>
      <c r="W56" s="1682">
        <f t="shared" si="7"/>
        <v>0</v>
      </c>
      <c r="X56" s="1674"/>
      <c r="Y56" s="1682">
        <f t="shared" si="7"/>
        <v>0</v>
      </c>
      <c r="Z56" s="1674"/>
      <c r="AA56" s="1682">
        <f t="shared" si="7"/>
        <v>0</v>
      </c>
      <c r="AB56" s="1674"/>
      <c r="AC56" s="1682">
        <f t="shared" si="7"/>
        <v>0</v>
      </c>
      <c r="AD56" s="1674"/>
      <c r="AE56" s="1682">
        <f t="shared" si="7"/>
        <v>0</v>
      </c>
      <c r="AF56" s="1674"/>
      <c r="AG56" s="1682">
        <f t="shared" si="7"/>
        <v>0</v>
      </c>
      <c r="AH56" s="1674"/>
      <c r="AI56" s="1674"/>
    </row>
    <row r="57" spans="1:35" s="6" customFormat="1">
      <c r="A57" s="1676" t="s">
        <v>915</v>
      </c>
      <c r="C57" s="1675"/>
      <c r="E57" s="1674">
        <f>SUM(E52:E56)</f>
        <v>15000</v>
      </c>
      <c r="F57" s="1674"/>
      <c r="G57" s="1674">
        <f>SUM(G52:G56)</f>
        <v>15524.999999999998</v>
      </c>
      <c r="H57" s="1674"/>
      <c r="I57" s="1674">
        <f>SUM(I52:I56)</f>
        <v>16068.374999999996</v>
      </c>
      <c r="J57" s="1674"/>
      <c r="K57" s="1674">
        <f>SUM(K52:K56)</f>
        <v>16630.768124999995</v>
      </c>
      <c r="L57" s="1674"/>
      <c r="M57" s="1674">
        <f>SUM(M52:M56)</f>
        <v>17212.845009374993</v>
      </c>
      <c r="N57" s="1674"/>
      <c r="O57" s="1674">
        <f>SUM(O52:O56)</f>
        <v>17815.294584703119</v>
      </c>
      <c r="P57" s="1674"/>
      <c r="Q57" s="1674">
        <f>SUM(Q52:Q56)</f>
        <v>18438.829895167724</v>
      </c>
      <c r="R57" s="1674"/>
      <c r="S57" s="1674">
        <f>SUM(S52:S56)</f>
        <v>19084.188941498593</v>
      </c>
      <c r="T57" s="1674"/>
      <c r="U57" s="1674">
        <f>SUM(U52:U56)</f>
        <v>19752.135554451044</v>
      </c>
      <c r="V57" s="1674"/>
      <c r="W57" s="1674">
        <f>SUM(W52:W56)</f>
        <v>20443.460298856829</v>
      </c>
      <c r="X57" s="1674"/>
      <c r="Y57" s="1674">
        <f>SUM(Y52:Y56)</f>
        <v>21158.981409316817</v>
      </c>
      <c r="Z57" s="1674"/>
      <c r="AA57" s="1674">
        <f>SUM(AA52:AA56)</f>
        <v>21899.545758642904</v>
      </c>
      <c r="AB57" s="1674"/>
      <c r="AC57" s="1674">
        <f>SUM(AC52:AC56)</f>
        <v>22666.029860195405</v>
      </c>
      <c r="AD57" s="1674"/>
      <c r="AE57" s="1674">
        <f>SUM(AE52:AE56)</f>
        <v>23459.340905302241</v>
      </c>
      <c r="AF57" s="1674"/>
      <c r="AG57" s="1674">
        <f>SUM(AG52:AG56)</f>
        <v>24280.417836987817</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281763.79999999981</v>
      </c>
      <c r="G59" s="1676">
        <f>G44-G57</f>
        <v>318347.06999999937</v>
      </c>
      <c r="I59" s="1676">
        <f>I44-I57</f>
        <v>355013.39624999929</v>
      </c>
      <c r="K59" s="1676">
        <f>K44-K57</f>
        <v>391735.67016374966</v>
      </c>
      <c r="M59" s="1676">
        <f>M44-M57</f>
        <v>428485.08233360609</v>
      </c>
      <c r="O59" s="1676">
        <f>O44-O57</f>
        <v>465231.04416861857</v>
      </c>
      <c r="Q59" s="1676">
        <f>Q44-Q57</f>
        <v>501941.10631847929</v>
      </c>
      <c r="S59" s="1676">
        <f>S44-S57</f>
        <v>538580.8737590058</v>
      </c>
      <c r="U59" s="1676">
        <f>U44-U57</f>
        <v>575113.91741026659</v>
      </c>
      <c r="W59" s="1676">
        <f>W44-W57</f>
        <v>611501.68215353729</v>
      </c>
      <c r="Y59" s="1676">
        <f>Y44-Y57</f>
        <v>647703.39110839891</v>
      </c>
      <c r="AA59" s="1676">
        <f>AA44-AA57</f>
        <v>683675.94602598646</v>
      </c>
      <c r="AC59" s="1676">
        <f>AC44-AC57</f>
        <v>719373.82364917488</v>
      </c>
      <c r="AE59" s="1676">
        <f>AE44-AE57</f>
        <v>754748.96788480412</v>
      </c>
      <c r="AG59" s="1676">
        <f>AG44-AG57</f>
        <v>789750.67762735684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281763.79999999981</v>
      </c>
      <c r="G61" s="1684">
        <f>G59*$C$61</f>
        <v>318347.06999999937</v>
      </c>
      <c r="H61" s="1684"/>
      <c r="I61" s="1684">
        <f>I59*$C$61</f>
        <v>355013.39624999929</v>
      </c>
      <c r="J61" s="1684"/>
      <c r="K61" s="1684">
        <f>K59*$C$61</f>
        <v>391735.67016374966</v>
      </c>
      <c r="L61" s="1684"/>
      <c r="M61" s="1684">
        <f>M59*$C$61</f>
        <v>428485.08233360609</v>
      </c>
      <c r="N61" s="1684"/>
      <c r="O61" s="1684">
        <f>O59*$C$61</f>
        <v>465231.04416861857</v>
      </c>
      <c r="P61" s="1684"/>
      <c r="Q61" s="1684">
        <f>Q59*$C$61</f>
        <v>501941.10631847929</v>
      </c>
      <c r="R61" s="1684"/>
      <c r="S61" s="1684">
        <f>S59*$C$61</f>
        <v>538580.8737590058</v>
      </c>
      <c r="T61" s="1684"/>
      <c r="U61" s="1684">
        <f>U59*$C$61</f>
        <v>575113.91741026659</v>
      </c>
      <c r="V61" s="1684"/>
      <c r="W61" s="1684">
        <f>W59*$C$61</f>
        <v>611501.68215353729</v>
      </c>
      <c r="Y61" s="1684">
        <f>'Sources and Uses Budget'!K99-SUM(E61:W61)</f>
        <v>140773.35744273849</v>
      </c>
      <c r="AA61" s="1684">
        <v>0</v>
      </c>
      <c r="AC61" s="1684">
        <v>0</v>
      </c>
      <c r="AE61" s="1684">
        <v>0</v>
      </c>
      <c r="AG61" s="1684">
        <v>0</v>
      </c>
    </row>
    <row r="62" spans="1:35" s="1684" customFormat="1">
      <c r="A62" s="3359" t="s">
        <v>2660</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2677</v>
      </c>
      <c r="B65" s="1678"/>
      <c r="C65" s="1677"/>
      <c r="E65" s="1678">
        <v>0</v>
      </c>
      <c r="G65" s="1674">
        <v>0</v>
      </c>
      <c r="I65" s="1674">
        <v>0</v>
      </c>
      <c r="K65" s="1674">
        <v>0</v>
      </c>
      <c r="M65" s="1674">
        <v>0</v>
      </c>
      <c r="O65" s="1674">
        <v>0</v>
      </c>
      <c r="Q65" s="1674">
        <v>0</v>
      </c>
      <c r="S65" s="1674">
        <v>0</v>
      </c>
      <c r="U65" s="1674">
        <v>0</v>
      </c>
      <c r="W65" s="1674">
        <v>0</v>
      </c>
      <c r="Y65" s="1674">
        <f>(Y$59-Y$61)*$C$64</f>
        <v>253465.01683283021</v>
      </c>
      <c r="AA65" s="1674">
        <f>(AA$59-AA$61)*$C$64</f>
        <v>341837.97301299323</v>
      </c>
      <c r="AC65" s="1674">
        <f>(AC$59-AC$61)*$C$64</f>
        <v>359686.91182458744</v>
      </c>
      <c r="AE65" s="1674">
        <f>(AE$59-AE$61)*$C$64</f>
        <v>377374.48394240206</v>
      </c>
      <c r="AG65" s="1674">
        <f>(AG$59-AG$61)*$C$64</f>
        <v>394875.33881367842</v>
      </c>
    </row>
    <row r="66" spans="1:33" s="1674" customFormat="1">
      <c r="A66" s="1679" t="s">
        <v>2661</v>
      </c>
      <c r="B66" s="1679"/>
      <c r="C66" s="1685"/>
      <c r="E66" s="1678">
        <v>0</v>
      </c>
      <c r="G66" s="1674">
        <v>0</v>
      </c>
      <c r="I66" s="1674">
        <v>0</v>
      </c>
      <c r="K66" s="1674">
        <v>0</v>
      </c>
      <c r="M66" s="1674">
        <v>0</v>
      </c>
      <c r="O66" s="1674">
        <v>0</v>
      </c>
      <c r="Q66" s="1674">
        <v>0</v>
      </c>
      <c r="S66" s="1674">
        <v>0</v>
      </c>
      <c r="U66" s="1674">
        <v>0</v>
      </c>
      <c r="W66" s="1674">
        <v>0</v>
      </c>
      <c r="Y66" s="1674">
        <f>(Y$59-Y$61)*$C$64</f>
        <v>253465.01683283021</v>
      </c>
      <c r="AA66" s="1674">
        <f>(AA$59-AA$61)*$C$64</f>
        <v>341837.97301299323</v>
      </c>
      <c r="AC66" s="1674">
        <f>(AC$59-AC$61)*$C$64</f>
        <v>359686.91182458744</v>
      </c>
      <c r="AE66" s="1674">
        <f>(AE$59-AE$61)*$C$64</f>
        <v>377374.48394240206</v>
      </c>
      <c r="AG66" s="1674">
        <f>(AG$59-AG$61)*$C$64</f>
        <v>394875.33881367842</v>
      </c>
    </row>
    <row r="67" spans="1:33" s="1674" customFormat="1">
      <c r="A67" s="1679"/>
      <c r="B67" s="1679"/>
      <c r="C67" s="1685"/>
      <c r="E67" s="1679"/>
      <c r="G67" s="1674">
        <f t="shared" ref="G67:AG68" si="8">E67*$C$65</f>
        <v>0</v>
      </c>
      <c r="I67" s="1674">
        <f t="shared" si="8"/>
        <v>0</v>
      </c>
      <c r="K67" s="1674">
        <f t="shared" si="8"/>
        <v>0</v>
      </c>
      <c r="M67" s="1674">
        <f t="shared" si="8"/>
        <v>0</v>
      </c>
      <c r="O67" s="1674">
        <f t="shared" si="8"/>
        <v>0</v>
      </c>
      <c r="Q67" s="1674">
        <f t="shared" si="8"/>
        <v>0</v>
      </c>
      <c r="S67" s="1674">
        <f t="shared" si="8"/>
        <v>0</v>
      </c>
      <c r="U67" s="1674">
        <f t="shared" si="8"/>
        <v>0</v>
      </c>
      <c r="W67" s="1674">
        <f t="shared" si="8"/>
        <v>0</v>
      </c>
      <c r="Y67" s="1674">
        <f t="shared" si="8"/>
        <v>0</v>
      </c>
      <c r="AA67" s="1674">
        <f t="shared" si="8"/>
        <v>0</v>
      </c>
      <c r="AC67" s="1674">
        <f t="shared" si="8"/>
        <v>0</v>
      </c>
      <c r="AE67" s="1674">
        <f t="shared" si="8"/>
        <v>0</v>
      </c>
      <c r="AG67" s="1674">
        <f t="shared" si="8"/>
        <v>0</v>
      </c>
    </row>
    <row r="68" spans="1:33" s="1674" customFormat="1">
      <c r="A68" s="1679"/>
      <c r="B68" s="1679"/>
      <c r="C68" s="1685"/>
      <c r="E68" s="1681"/>
      <c r="G68" s="1682">
        <f t="shared" si="8"/>
        <v>0</v>
      </c>
      <c r="I68" s="1682">
        <f t="shared" si="8"/>
        <v>0</v>
      </c>
      <c r="K68" s="1682">
        <f t="shared" si="8"/>
        <v>0</v>
      </c>
      <c r="M68" s="1682">
        <f t="shared" si="8"/>
        <v>0</v>
      </c>
      <c r="O68" s="1682">
        <f t="shared" si="8"/>
        <v>0</v>
      </c>
      <c r="Q68" s="1682">
        <f t="shared" si="8"/>
        <v>0</v>
      </c>
      <c r="S68" s="1682">
        <f t="shared" si="8"/>
        <v>0</v>
      </c>
      <c r="U68" s="1682">
        <f t="shared" si="8"/>
        <v>0</v>
      </c>
      <c r="W68" s="1682">
        <f t="shared" si="8"/>
        <v>0</v>
      </c>
      <c r="Y68" s="1682">
        <f t="shared" si="8"/>
        <v>0</v>
      </c>
      <c r="AA68" s="1682">
        <f t="shared" si="8"/>
        <v>0</v>
      </c>
      <c r="AC68" s="1682">
        <f t="shared" si="8"/>
        <v>0</v>
      </c>
      <c r="AE68" s="1682">
        <f t="shared" si="8"/>
        <v>0</v>
      </c>
      <c r="AG68" s="1682">
        <f t="shared" si="8"/>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506930.03366566042</v>
      </c>
      <c r="AA69" s="1686">
        <f>SUM(AA65:AA68)</f>
        <v>683675.94602598646</v>
      </c>
      <c r="AC69" s="1686">
        <f>SUM(AC65:AC68)</f>
        <v>719373.82364917488</v>
      </c>
      <c r="AE69" s="1686">
        <f>SUM(AE65:AE68)</f>
        <v>754748.96788480412</v>
      </c>
      <c r="AG69" s="1686">
        <f>SUM(AG65:AG68)</f>
        <v>789750.67762735684</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7" t="s">
        <v>2219</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0" t="s">
        <v>978</v>
      </c>
      <c r="B1" s="3360"/>
      <c r="C1" s="3360"/>
      <c r="D1" s="3360"/>
      <c r="E1" s="3360"/>
      <c r="F1" s="3360"/>
      <c r="G1" s="3360"/>
      <c r="H1" s="3360"/>
      <c r="I1" s="3360"/>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14</v>
      </c>
      <c r="C4" s="658">
        <f>Application!O728</f>
        <v>363</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18</v>
      </c>
      <c r="C5" s="658">
        <f>Application!O729</f>
        <v>564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v>
      </c>
      <c r="C6" s="658">
        <f>Application!O730</f>
        <v>597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48</v>
      </c>
      <c r="C7" s="658">
        <f>Application!O731</f>
        <v>819</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29</v>
      </c>
      <c r="C8" s="658">
        <f>Application!O732</f>
        <v>1040</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131</v>
      </c>
      <c r="C9" s="658">
        <f>Application!O733</f>
        <v>1262</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50</v>
      </c>
      <c r="C10" s="658">
        <f>Application!O734</f>
        <v>1706</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1238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40</v>
      </c>
      <c r="C12" s="658">
        <f>Application!O736</f>
        <v>2036</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424152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12400000</v>
      </c>
      <c r="C5" s="421">
        <f>'Sources and Uses Budget'!$C4</f>
        <v>12400000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640000</v>
      </c>
      <c r="C6" s="421">
        <f>'Sources and Uses Budget'!$C5</f>
        <v>640000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75000</v>
      </c>
      <c r="C7" s="421">
        <f>'Sources and Uses Budget'!$C6</f>
        <v>75000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13115000</v>
      </c>
      <c r="C9" s="425">
        <f>SUM(C5:C8)</f>
        <v>13115000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2391692</v>
      </c>
      <c r="C11" s="421">
        <f>'Sources and Uses Budget'!$C10</f>
        <v>2391692</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2391692</v>
      </c>
      <c r="C12" s="425">
        <f>SUM(C10:C11)</f>
        <v>2391692</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15506692</v>
      </c>
      <c r="C13" s="425">
        <f>SUM(C9+C12)</f>
        <v>15506692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30000</v>
      </c>
      <c r="C14" s="421">
        <f>'Sources and Uses Budget'!$C13</f>
        <v>30000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23801788</v>
      </c>
      <c r="C30" s="421">
        <f>'Sources and Uses Budget'!$C29</f>
        <v>23801788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52784548</v>
      </c>
      <c r="C31" s="421">
        <f>'Sources and Uses Budget'!$C30</f>
        <v>52784548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5573262</v>
      </c>
      <c r="C32" s="421">
        <f>'Sources and Uses Budget'!$C31</f>
        <v>5573262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2388541</v>
      </c>
      <c r="C33" s="421">
        <f>'Sources and Uses Budget'!$C32</f>
        <v>2388541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3184722</v>
      </c>
      <c r="C34" s="421">
        <f>'Sources and Uses Budget'!$C33</f>
        <v>3184722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1833444</v>
      </c>
      <c r="C36" s="421">
        <f>'Sources and Uses Budget'!$C35</f>
        <v>1833444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89566305</v>
      </c>
      <c r="C39" s="425">
        <f>SUM(C30:C38)</f>
        <v>89566305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1575000</v>
      </c>
      <c r="C41" s="421">
        <f>'Sources and Uses Budget'!$C40</f>
        <v>1575000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600000</v>
      </c>
      <c r="C42" s="421">
        <f>'Sources and Uses Budget'!$C41</f>
        <v>600000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2175000</v>
      </c>
      <c r="C43" s="425">
        <f>SUM(C41:C42)</f>
        <v>2175000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765000</v>
      </c>
      <c r="C44" s="421">
        <f>'Sources and Uses Budget'!$C43</f>
        <v>765000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8279672</v>
      </c>
      <c r="C46" s="421">
        <f>'Sources and Uses Budget'!$C45</f>
        <v>8279672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787199</v>
      </c>
      <c r="C47" s="421">
        <f>'Sources and Uses Budget'!$C46</f>
        <v>787199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907646</v>
      </c>
      <c r="C49" s="421">
        <f>'Sources and Uses Budget'!$C48</f>
        <v>907646</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873497</v>
      </c>
      <c r="C50" s="421">
        <f>'Sources and Uses Budget'!$C49</f>
        <v>873497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155000</v>
      </c>
      <c r="C52" s="421">
        <f>'Sources and Uses Budget'!$C51</f>
        <v>155000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80000</v>
      </c>
      <c r="C53" s="421">
        <f>'Sources and Uses Budget'!$C52</f>
        <v>80000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11163014</v>
      </c>
      <c r="C55" s="428">
        <f>SUM(C46:C54)</f>
        <v>11163014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348371</v>
      </c>
      <c r="C57" s="421">
        <f>'Sources and Uses Budget'!$C56</f>
        <v>348371</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v>
      </c>
      <c r="C59" s="421">
        <f>'Sources and Uses Budget'!$C58</f>
        <v>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353371</v>
      </c>
      <c r="C63" s="425">
        <f>SUM(C57:C62)</f>
        <v>353371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119559382</v>
      </c>
      <c r="C64" s="425">
        <f>SUM(C9+C12+C14+C15+C17+C26+C28+C39+C43+C44+C55+C63)</f>
        <v>119559382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45000</v>
      </c>
      <c r="C66" s="421">
        <f>'Sources and Uses Budget'!$C65</f>
        <v>45000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45000</v>
      </c>
      <c r="C71" s="425">
        <f>SUM(C66:C70)</f>
        <v>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1139487</v>
      </c>
      <c r="C76" s="421">
        <f>'Sources and Uses Budget'!$C75</f>
        <v>1139487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1139487</v>
      </c>
      <c r="C78" s="425">
        <f>SUM(C73:C77)</f>
        <v>1139487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4675283</v>
      </c>
      <c r="C80" s="421">
        <f>'Sources and Uses Budget'!$C79</f>
        <v>4675283</v>
      </c>
      <c r="D80" s="425">
        <f t="shared" si="1"/>
        <v>0</v>
      </c>
      <c r="E80" s="423"/>
      <c r="F80" s="422"/>
      <c r="G80" s="553"/>
    </row>
    <row r="81" spans="1:7" s="547" customFormat="1">
      <c r="A81" s="861" t="s">
        <v>61</v>
      </c>
      <c r="B81" s="421">
        <f>'Sources and Uses Budget'!$C80</f>
        <v>905965</v>
      </c>
      <c r="C81" s="421">
        <f>'Sources and Uses Budget'!$C80</f>
        <v>905965</v>
      </c>
      <c r="D81" s="425">
        <f>C81-B81</f>
        <v>0</v>
      </c>
      <c r="E81" s="423"/>
      <c r="F81" s="422"/>
      <c r="G81" s="553"/>
    </row>
    <row r="82" spans="1:7" s="547" customFormat="1">
      <c r="A82" s="426" t="s">
        <v>1418</v>
      </c>
      <c r="B82" s="425">
        <f>SUM(B80:B81)</f>
        <v>5581248</v>
      </c>
      <c r="C82" s="425">
        <f>SUM(C80:C81)</f>
        <v>5581248</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228099</v>
      </c>
      <c r="C84" s="421">
        <f>'Sources and Uses Budget'!$C83</f>
        <v>228099</v>
      </c>
      <c r="D84" s="425">
        <f t="shared" si="1"/>
        <v>0</v>
      </c>
      <c r="E84" s="423"/>
      <c r="F84" s="422"/>
      <c r="G84" s="553"/>
    </row>
    <row r="85" spans="1:7" s="547" customFormat="1">
      <c r="A85" s="424" t="s">
        <v>824</v>
      </c>
      <c r="B85" s="421">
        <f>'Sources and Uses Budget'!$C84</f>
        <v>85000</v>
      </c>
      <c r="C85" s="421">
        <f>'Sources and Uses Budget'!$C84</f>
        <v>85000</v>
      </c>
      <c r="D85" s="425">
        <f t="shared" si="1"/>
        <v>0</v>
      </c>
      <c r="E85" s="423"/>
      <c r="F85" s="422"/>
      <c r="G85" s="553"/>
    </row>
    <row r="86" spans="1:7" s="547" customFormat="1">
      <c r="A86" s="424" t="s">
        <v>825</v>
      </c>
      <c r="B86" s="421">
        <f>'Sources and Uses Budget'!$C85</f>
        <v>2724312</v>
      </c>
      <c r="C86" s="421">
        <f>'Sources and Uses Budget'!$C85</f>
        <v>2724312</v>
      </c>
      <c r="D86" s="425">
        <f t="shared" si="1"/>
        <v>0</v>
      </c>
      <c r="E86" s="423"/>
      <c r="F86" s="422"/>
      <c r="G86" s="553"/>
    </row>
    <row r="87" spans="1:7" s="547" customFormat="1">
      <c r="A87" s="424" t="s">
        <v>826</v>
      </c>
      <c r="B87" s="421">
        <f>'Sources and Uses Budget'!$C86</f>
        <v>2277358</v>
      </c>
      <c r="C87" s="421">
        <f>'Sources and Uses Budget'!$C86</f>
        <v>2277358</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124250</v>
      </c>
      <c r="C89" s="421">
        <f>'Sources and Uses Budget'!$C88</f>
        <v>124250</v>
      </c>
      <c r="D89" s="425">
        <f t="shared" si="1"/>
        <v>0</v>
      </c>
      <c r="E89" s="423"/>
      <c r="F89" s="422"/>
      <c r="G89" s="553"/>
    </row>
    <row r="90" spans="1:7" s="547" customFormat="1">
      <c r="A90" s="424" t="s">
        <v>829</v>
      </c>
      <c r="B90" s="421">
        <f>'Sources and Uses Budget'!$C89</f>
        <v>229500</v>
      </c>
      <c r="C90" s="421">
        <f>'Sources and Uses Budget'!$C89</f>
        <v>229500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60000</v>
      </c>
      <c r="C94" s="421">
        <f>'Sources and Uses Budget'!$C93</f>
        <v>60000</v>
      </c>
      <c r="D94" s="425">
        <f t="shared" si="1"/>
        <v>0</v>
      </c>
      <c r="E94" s="423"/>
      <c r="F94" s="422"/>
      <c r="G94" s="553"/>
    </row>
    <row r="95" spans="1:7" s="547" customFormat="1">
      <c r="A95" s="427" t="s">
        <v>35</v>
      </c>
      <c r="B95" s="421">
        <f>'Sources and Uses Budget'!$C94</f>
        <v>75000</v>
      </c>
      <c r="C95" s="421">
        <f>'Sources and Uses Budget'!$C94</f>
        <v>75000</v>
      </c>
      <c r="D95" s="425">
        <f t="shared" si="1"/>
        <v>0</v>
      </c>
      <c r="E95" s="423"/>
      <c r="F95" s="422"/>
      <c r="G95" s="553"/>
    </row>
    <row r="96" spans="1:7" s="547" customFormat="1">
      <c r="A96" s="427" t="s">
        <v>35</v>
      </c>
      <c r="B96" s="421">
        <f>'Sources and Uses Budget'!$C95</f>
        <v>192000</v>
      </c>
      <c r="C96" s="421">
        <f>'Sources and Uses Budget'!$C95</f>
        <v>192000</v>
      </c>
      <c r="D96" s="425">
        <f t="shared" si="1"/>
        <v>0</v>
      </c>
      <c r="E96" s="423"/>
      <c r="F96" s="422"/>
      <c r="G96" s="553"/>
    </row>
    <row r="97" spans="1:7" s="547" customFormat="1">
      <c r="A97" s="426" t="s">
        <v>831</v>
      </c>
      <c r="B97" s="425">
        <f>SUM(B84:B96)</f>
        <v>6025519</v>
      </c>
      <c r="C97" s="425">
        <f>SUM(C84:C96)</f>
        <v>6025519</v>
      </c>
      <c r="D97" s="425">
        <f t="shared" si="1"/>
        <v>0</v>
      </c>
      <c r="E97" s="423"/>
      <c r="F97" s="422"/>
      <c r="G97" s="553"/>
    </row>
    <row r="98" spans="1:7" s="547" customFormat="1">
      <c r="A98" s="426" t="s">
        <v>832</v>
      </c>
      <c r="B98" s="425">
        <f>SUM(B64+B71+B78+B82+B97)</f>
        <v>132350636</v>
      </c>
      <c r="C98" s="425">
        <f>SUM(C64+C71+C78+C82+C97)</f>
        <v>132350636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17096181</v>
      </c>
      <c r="C100" s="421">
        <f>'Sources and Uses Budget'!$C99</f>
        <v>17096181</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17096181</v>
      </c>
      <c r="C105" s="425">
        <f>SUM(C100:C104)</f>
        <v>17096181</v>
      </c>
      <c r="D105" s="425">
        <f t="shared" si="1"/>
        <v>0</v>
      </c>
      <c r="E105" s="423"/>
      <c r="F105" s="422"/>
      <c r="G105" s="551"/>
    </row>
    <row r="106" spans="1:7" s="546" customFormat="1">
      <c r="A106" s="426" t="s">
        <v>837</v>
      </c>
      <c r="B106" s="428">
        <f>SUM(B98+B105)</f>
        <v>149446817</v>
      </c>
      <c r="C106" s="428">
        <f>SUM(C98+C105)</f>
        <v>149446817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7" t="s">
        <v>315</v>
      </c>
    </row>
    <row r="4" spans="1:9">
      <c r="I4" s="678" t="s">
        <v>1158</v>
      </c>
    </row>
    <row r="5" spans="1:9" s="39" customFormat="1">
      <c r="A5" s="1912" t="s">
        <v>1088</v>
      </c>
      <c r="B5" s="1912"/>
      <c r="C5" s="1913"/>
      <c r="D5" s="1913"/>
      <c r="E5" s="1913"/>
      <c r="F5" s="1913"/>
      <c r="G5" s="1913"/>
      <c r="I5" s="678" t="s">
        <v>1159</v>
      </c>
    </row>
    <row r="6" spans="1:9" s="39" customFormat="1">
      <c r="A6" s="1912" t="s">
        <v>879</v>
      </c>
      <c r="B6" s="1912"/>
      <c r="C6" s="1913"/>
      <c r="D6" s="1913"/>
      <c r="E6" s="1913"/>
      <c r="F6" s="1913"/>
      <c r="G6" s="1913"/>
      <c r="I6" s="677" t="s">
        <v>625</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3"/>
      <c r="E12" s="50"/>
    </row>
    <row r="13" spans="1:9" ht="13.15"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25">
      <c r="A17" s="261"/>
      <c r="B17" s="679" t="s">
        <v>315</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9" t="s">
        <v>315</v>
      </c>
      <c r="D21" s="1887" t="s">
        <v>1241</v>
      </c>
      <c r="E21" s="1887"/>
      <c r="F21" s="1887"/>
    </row>
    <row r="22" spans="1:7" ht="14.25">
      <c r="A22" s="261"/>
      <c r="B22" s="261"/>
      <c r="D22" s="135"/>
    </row>
    <row r="23" spans="1:7" ht="14.25">
      <c r="A23" s="261"/>
      <c r="B23" s="679" t="s">
        <v>315</v>
      </c>
      <c r="D23" s="1858" t="s">
        <v>1242</v>
      </c>
      <c r="E23" s="1858"/>
      <c r="F23" s="1858"/>
    </row>
    <row r="24" spans="1:7" ht="14.25">
      <c r="A24" s="261"/>
      <c r="B24" s="261"/>
      <c r="D24" s="1858"/>
      <c r="E24" s="1858"/>
      <c r="F24" s="1858"/>
    </row>
    <row r="25" spans="1:7"/>
    <row r="26" spans="1:7" ht="14.25">
      <c r="A26" s="261"/>
      <c r="B26" s="679" t="s">
        <v>315</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1244</v>
      </c>
      <c r="E32" s="1860"/>
      <c r="F32" s="1860"/>
      <c r="G32" s="130"/>
    </row>
    <row r="33" spans="1:7" s="39" customFormat="1">
      <c r="A33" s="273"/>
      <c r="B33" s="273"/>
      <c r="C33" s="273"/>
      <c r="D33" s="1860"/>
      <c r="E33" s="1860"/>
      <c r="F33" s="1860"/>
      <c r="G33" s="130"/>
    </row>
    <row r="34" spans="1:7" ht="14.25">
      <c r="A34" s="261"/>
      <c r="B34" s="261"/>
      <c r="D34" s="404"/>
    </row>
    <row r="35" spans="1:7" ht="14.45" customHeight="1">
      <c r="A35" s="261"/>
      <c r="B35" s="679" t="s">
        <v>315</v>
      </c>
      <c r="C35" s="554"/>
      <c r="D35" s="1860" t="s">
        <v>1245</v>
      </c>
      <c r="E35" s="1860"/>
      <c r="F35" s="1860"/>
    </row>
    <row r="36" spans="1:7" ht="14.25">
      <c r="A36" s="261"/>
      <c r="B36" s="261"/>
      <c r="C36" s="554"/>
      <c r="D36" s="1860"/>
      <c r="E36" s="1860"/>
      <c r="F36" s="1860"/>
    </row>
    <row r="37" spans="1:7" ht="14.25">
      <c r="A37" s="261"/>
      <c r="B37" s="261"/>
      <c r="C37" s="554"/>
      <c r="D37" s="1860"/>
      <c r="E37" s="1860"/>
      <c r="F37" s="1860"/>
    </row>
    <row r="38" spans="1:7" ht="14.25">
      <c r="A38" s="261"/>
      <c r="B38" s="261"/>
      <c r="C38" s="554"/>
      <c r="D38" s="12"/>
    </row>
    <row r="39" spans="1:7" s="682" customFormat="1" ht="14.25">
      <c r="A39" s="261"/>
      <c r="B39" s="679" t="s">
        <v>315</v>
      </c>
      <c r="C39" s="699"/>
      <c r="D39" s="1860" t="s">
        <v>1246</v>
      </c>
      <c r="E39" s="1860"/>
      <c r="F39" s="1860"/>
      <c r="G39" s="7"/>
    </row>
    <row r="40" spans="1:7" s="682" customFormat="1" ht="14.25">
      <c r="A40" s="261"/>
      <c r="B40" s="261"/>
      <c r="C40" s="699"/>
      <c r="D40" s="1860"/>
      <c r="E40" s="1860"/>
      <c r="F40" s="1860"/>
      <c r="G40" s="7"/>
    </row>
    <row r="41" spans="1:7" s="682" customFormat="1" ht="14.25">
      <c r="A41" s="261"/>
      <c r="B41" s="261"/>
      <c r="C41" s="699"/>
      <c r="D41" s="1860"/>
      <c r="E41" s="1860"/>
      <c r="F41" s="1860"/>
      <c r="G41" s="7"/>
    </row>
    <row r="42" spans="1:7" s="682" customFormat="1" ht="14.25">
      <c r="A42" s="261"/>
      <c r="B42" s="261"/>
      <c r="C42" s="699"/>
      <c r="D42" s="1860"/>
      <c r="E42" s="1860"/>
      <c r="F42" s="1860"/>
      <c r="G42" s="7"/>
    </row>
    <row r="43" spans="1:7" s="682" customFormat="1" ht="14.25">
      <c r="A43" s="261"/>
      <c r="B43" s="261"/>
      <c r="C43" s="699"/>
      <c r="D43" s="1860"/>
      <c r="E43" s="1860"/>
      <c r="F43" s="1860"/>
      <c r="G43" s="7"/>
    </row>
    <row r="44" spans="1:7" s="682" customFormat="1" ht="14.25">
      <c r="A44" s="261"/>
      <c r="B44" s="261"/>
      <c r="C44" s="699"/>
      <c r="D44" s="698"/>
      <c r="E44" s="698"/>
      <c r="F44" s="698"/>
      <c r="G44" s="7"/>
    </row>
    <row r="45" spans="1:7" ht="14.25">
      <c r="A45" s="261"/>
      <c r="B45" s="679" t="s">
        <v>315</v>
      </c>
      <c r="C45" s="554"/>
      <c r="D45" s="1860" t="s">
        <v>1247</v>
      </c>
      <c r="E45" s="1860"/>
      <c r="F45" s="1860"/>
    </row>
    <row r="46" spans="1:7" ht="14.25">
      <c r="A46" s="261"/>
      <c r="B46" s="261"/>
      <c r="C46" s="554"/>
      <c r="D46" s="1860"/>
      <c r="E46" s="1860"/>
      <c r="F46" s="1860"/>
    </row>
    <row r="47" spans="1:7" ht="14.25">
      <c r="A47" s="261"/>
      <c r="B47" s="261"/>
      <c r="C47" s="554"/>
      <c r="D47" s="1860"/>
      <c r="E47" s="1860"/>
      <c r="F47" s="1860"/>
    </row>
    <row r="48" spans="1:7" ht="23.25" customHeight="1">
      <c r="A48" s="261"/>
      <c r="B48" s="261"/>
      <c r="C48" s="554"/>
      <c r="D48" s="1860"/>
      <c r="E48" s="1860"/>
      <c r="F48" s="1860"/>
    </row>
    <row r="49" spans="1:7" ht="14.25">
      <c r="A49" s="261"/>
      <c r="B49" s="261"/>
      <c r="D49" s="151"/>
    </row>
    <row r="50" spans="1:7" ht="14.45" customHeight="1">
      <c r="A50" s="261"/>
      <c r="B50" s="679" t="s">
        <v>315</v>
      </c>
      <c r="D50" s="1860" t="s">
        <v>1248</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6"/>
      <c r="D53" s="239"/>
      <c r="E53" s="22"/>
      <c r="F53" s="22"/>
      <c r="G53" s="22"/>
    </row>
    <row r="54" spans="1:7" s="2" customFormat="1" ht="14.25">
      <c r="A54" s="403"/>
      <c r="B54" s="679" t="s">
        <v>315</v>
      </c>
      <c r="C54" s="557"/>
      <c r="D54" s="1860" t="s">
        <v>1249</v>
      </c>
      <c r="E54" s="1860"/>
      <c r="F54" s="1860"/>
      <c r="G54" s="22"/>
    </row>
    <row r="55" spans="1:7" s="2" customFormat="1" ht="14.25">
      <c r="A55" s="403"/>
      <c r="B55" s="403"/>
      <c r="C55" s="557"/>
      <c r="D55" s="1860"/>
      <c r="E55" s="1860"/>
      <c r="F55" s="1860"/>
      <c r="G55" s="22"/>
    </row>
    <row r="56" spans="1:7" s="39" customFormat="1">
      <c r="A56" s="273"/>
      <c r="B56" s="273"/>
      <c r="C56" s="273"/>
      <c r="D56" s="443"/>
      <c r="E56" s="130"/>
      <c r="F56" s="130"/>
      <c r="G56" s="130"/>
    </row>
    <row r="57" spans="1:7" ht="14.25">
      <c r="A57" s="261"/>
      <c r="B57" s="679" t="s">
        <v>315</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25">
      <c r="A61" s="261"/>
      <c r="B61" s="679" t="s">
        <v>315</v>
      </c>
      <c r="D61" s="1860" t="s">
        <v>1251</v>
      </c>
      <c r="E61" s="1860"/>
      <c r="F61" s="1860"/>
    </row>
    <row r="62" spans="1:7">
      <c r="D62" s="1860"/>
      <c r="E62" s="1860"/>
      <c r="F62" s="1860"/>
    </row>
    <row r="63" spans="1:7"/>
    <row r="64" spans="1:7" ht="14.25">
      <c r="A64" s="261"/>
      <c r="B64" s="679" t="s">
        <v>315</v>
      </c>
      <c r="D64" s="1860" t="s">
        <v>1252</v>
      </c>
      <c r="E64" s="1860"/>
      <c r="F64" s="1860"/>
    </row>
    <row r="65" spans="1:7">
      <c r="D65" s="1860"/>
      <c r="E65" s="1860"/>
      <c r="F65" s="1860"/>
    </row>
    <row r="66" spans="1:7">
      <c r="A66" s="555"/>
      <c r="C66" s="555"/>
      <c r="D66" s="1860"/>
      <c r="E66" s="1860"/>
      <c r="F66" s="1860"/>
    </row>
    <row r="67" spans="1:7">
      <c r="D67" s="12"/>
    </row>
    <row r="68" spans="1:7" ht="14.25">
      <c r="A68" s="261"/>
      <c r="B68" s="679" t="s">
        <v>315</v>
      </c>
      <c r="D68" s="1858" t="s">
        <v>1253</v>
      </c>
      <c r="E68" s="1858"/>
      <c r="F68" s="1858"/>
    </row>
    <row r="69" spans="1:7">
      <c r="D69" s="1858"/>
      <c r="E69" s="1858"/>
      <c r="F69" s="1858"/>
    </row>
    <row r="70" spans="1:7" ht="14.25">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25">
      <c r="A76" s="261"/>
      <c r="B76" s="679" t="s">
        <v>315</v>
      </c>
      <c r="D76" s="1858" t="s">
        <v>1259</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6" customFormat="1" ht="14.25">
      <c r="A82" s="707"/>
      <c r="B82" s="707"/>
      <c r="C82" s="705"/>
      <c r="D82" s="709"/>
      <c r="E82" s="709"/>
      <c r="F82" s="709"/>
      <c r="G82" s="7"/>
    </row>
    <row r="83" spans="1:7" s="706" customFormat="1" ht="14.45" customHeight="1">
      <c r="A83" s="707"/>
      <c r="B83" s="712" t="s">
        <v>315</v>
      </c>
      <c r="C83" s="705"/>
      <c r="D83" s="1915" t="s">
        <v>1358</v>
      </c>
      <c r="E83" s="1915"/>
      <c r="F83" s="1915"/>
      <c r="G83" s="7"/>
    </row>
    <row r="84" spans="1:7" s="706" customFormat="1" ht="14.25">
      <c r="A84" s="707"/>
      <c r="B84" s="707"/>
      <c r="C84" s="705"/>
      <c r="D84" s="1915"/>
      <c r="E84" s="1915"/>
      <c r="F84" s="1915"/>
      <c r="G84" s="7"/>
    </row>
    <row r="85" spans="1:7" s="706" customFormat="1" ht="14.25">
      <c r="A85" s="707"/>
      <c r="B85" s="707"/>
      <c r="C85" s="705"/>
      <c r="D85" s="1915"/>
      <c r="E85" s="1915"/>
      <c r="F85" s="1915"/>
      <c r="G85" s="7"/>
    </row>
    <row r="86" spans="1:7" s="706" customFormat="1" ht="14.25">
      <c r="A86" s="707"/>
      <c r="B86" s="707"/>
      <c r="C86" s="705"/>
      <c r="D86" s="1915"/>
      <c r="E86" s="1915"/>
      <c r="F86" s="1915"/>
      <c r="G86" s="7"/>
    </row>
    <row r="87" spans="1:7" s="706" customFormat="1" ht="14.25">
      <c r="A87" s="707"/>
      <c r="B87" s="707"/>
      <c r="C87" s="705"/>
      <c r="D87" s="1915"/>
      <c r="E87" s="1915"/>
      <c r="F87" s="1915"/>
      <c r="G87" s="7"/>
    </row>
    <row r="88" spans="1:7" s="719" customFormat="1" ht="14.25">
      <c r="A88" s="714"/>
      <c r="B88" s="714"/>
      <c r="C88" s="745"/>
      <c r="D88" s="1915"/>
      <c r="E88" s="1915"/>
      <c r="F88" s="1915"/>
      <c r="G88" s="7"/>
    </row>
    <row r="89" spans="1:7" s="719" customFormat="1" ht="14.25">
      <c r="A89" s="714"/>
      <c r="B89" s="714"/>
      <c r="C89" s="745"/>
      <c r="D89" s="1915"/>
      <c r="E89" s="1915"/>
      <c r="F89" s="1915"/>
      <c r="G89" s="7"/>
    </row>
    <row r="90" spans="1:7" s="719" customFormat="1" ht="14.25">
      <c r="A90" s="714"/>
      <c r="B90" s="714"/>
      <c r="C90" s="745"/>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10" customFormat="1" ht="14.25">
      <c r="A97" s="711"/>
      <c r="B97" s="715" t="s">
        <v>315</v>
      </c>
      <c r="C97" s="705"/>
      <c r="D97" s="1858" t="s">
        <v>1260</v>
      </c>
      <c r="E97" s="1858"/>
      <c r="F97" s="1858"/>
      <c r="G97" s="7"/>
    </row>
    <row r="98" spans="1:11" s="710" customFormat="1" ht="14.25">
      <c r="A98" s="711"/>
      <c r="B98" s="711"/>
      <c r="C98" s="705"/>
      <c r="D98" s="1858"/>
      <c r="E98" s="1858"/>
      <c r="F98" s="1858"/>
      <c r="G98" s="7"/>
    </row>
    <row r="99" spans="1:11" s="710" customFormat="1" ht="14.25">
      <c r="A99" s="711"/>
      <c r="B99" s="711"/>
      <c r="C99" s="705"/>
      <c r="D99" s="1858"/>
      <c r="E99" s="1858"/>
      <c r="F99" s="1858"/>
      <c r="G99" s="7"/>
    </row>
    <row r="100" spans="1:11" s="710" customFormat="1" ht="14.25">
      <c r="A100" s="711"/>
      <c r="B100" s="711"/>
      <c r="C100" s="705"/>
      <c r="D100" s="1858"/>
      <c r="E100" s="1858"/>
      <c r="F100" s="1858"/>
      <c r="G100" s="7"/>
    </row>
    <row r="101" spans="1:11" s="710" customFormat="1" ht="14.25">
      <c r="A101" s="711"/>
      <c r="B101" s="711"/>
      <c r="C101" s="705"/>
      <c r="D101" s="1858"/>
      <c r="E101" s="1858"/>
      <c r="F101" s="1858"/>
      <c r="G101" s="7"/>
    </row>
    <row r="102" spans="1:11" s="710" customFormat="1" ht="14.25">
      <c r="A102" s="711"/>
      <c r="B102" s="711"/>
      <c r="C102" s="705"/>
      <c r="D102" s="1858"/>
      <c r="E102" s="1858"/>
      <c r="F102" s="1858"/>
      <c r="G102" s="7"/>
    </row>
    <row r="103" spans="1:11" s="710" customFormat="1" ht="14.25">
      <c r="A103" s="711"/>
      <c r="B103" s="711"/>
      <c r="C103" s="705"/>
      <c r="D103" s="1858"/>
      <c r="E103" s="1858"/>
      <c r="F103" s="1858"/>
      <c r="G103" s="7"/>
    </row>
    <row r="104" spans="1:11" s="710" customFormat="1" ht="14.25">
      <c r="A104" s="711"/>
      <c r="B104" s="711"/>
      <c r="C104" s="705"/>
      <c r="D104" s="1858"/>
      <c r="E104" s="1858"/>
      <c r="F104" s="1858"/>
      <c r="G104" s="7"/>
    </row>
    <row r="105" spans="1:11" s="713" customFormat="1" ht="14.25">
      <c r="A105" s="714"/>
      <c r="B105" s="714"/>
      <c r="C105" s="705"/>
      <c r="D105" s="716"/>
      <c r="E105" s="716"/>
      <c r="F105" s="716"/>
      <c r="G105" s="7"/>
    </row>
    <row r="106" spans="1:11" ht="14.25">
      <c r="A106" s="403"/>
      <c r="B106" s="708" t="s">
        <v>315</v>
      </c>
      <c r="C106" s="469"/>
      <c r="D106" s="1916" t="s">
        <v>1261</v>
      </c>
      <c r="E106" s="1916"/>
      <c r="F106" s="1916"/>
      <c r="G106" s="470"/>
      <c r="H106" s="468"/>
      <c r="I106" s="468"/>
      <c r="J106" s="468"/>
      <c r="K106" s="468"/>
    </row>
    <row r="107" spans="1:11" ht="14.25">
      <c r="A107" s="261"/>
      <c r="B107" s="261"/>
      <c r="C107" s="315"/>
      <c r="D107" s="1916"/>
      <c r="E107" s="1916"/>
      <c r="F107" s="1916"/>
      <c r="G107" s="470"/>
      <c r="H107" s="468"/>
      <c r="I107" s="468"/>
      <c r="J107" s="468"/>
      <c r="K107" s="468"/>
    </row>
    <row r="108" spans="1:11" ht="14.25">
      <c r="A108" s="261"/>
      <c r="B108" s="261"/>
      <c r="C108" s="315"/>
      <c r="D108" s="1916"/>
      <c r="E108" s="1916"/>
      <c r="F108" s="1916"/>
      <c r="G108" s="470"/>
      <c r="H108" s="468"/>
      <c r="I108" s="468"/>
      <c r="J108" s="468"/>
      <c r="K108" s="468"/>
    </row>
    <row r="109" spans="1:11" ht="14.25">
      <c r="A109" s="261"/>
      <c r="B109" s="261"/>
      <c r="C109" s="315"/>
      <c r="D109" s="1916"/>
      <c r="E109" s="1916"/>
      <c r="F109" s="1916"/>
      <c r="G109" s="470"/>
      <c r="H109" s="468"/>
      <c r="I109" s="468"/>
      <c r="J109" s="468"/>
      <c r="K109" s="468"/>
    </row>
    <row r="110" spans="1:11" ht="14.25">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25">
      <c r="A114" s="261"/>
      <c r="B114" s="679" t="s">
        <v>315</v>
      </c>
      <c r="C114"/>
      <c r="D114" s="1917" t="s">
        <v>1262</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9" t="s">
        <v>315</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9" t="s">
        <v>315</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315</v>
      </c>
      <c r="C136" s="10"/>
      <c r="D136" s="1858" t="s">
        <v>1372</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18" t="s">
        <v>1265</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315</v>
      </c>
      <c r="C159" s="325"/>
      <c r="D159" s="1861" t="s">
        <v>1266</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315</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1270</v>
      </c>
      <c r="E174" s="1920"/>
      <c r="F174" s="1920"/>
      <c r="G174" s="57"/>
    </row>
    <row r="175" spans="1:7">
      <c r="A175" s="264"/>
      <c r="B175" s="264"/>
      <c r="C175" s="265"/>
      <c r="D175" s="1920"/>
      <c r="E175" s="1920"/>
      <c r="F175" s="1920"/>
      <c r="G175" s="57"/>
    </row>
    <row r="176" spans="1:7" s="719" customFormat="1">
      <c r="A176" s="721"/>
      <c r="B176" s="721"/>
      <c r="C176" s="265"/>
      <c r="D176" s="1921" t="s">
        <v>1271</v>
      </c>
      <c r="E176" s="1921"/>
      <c r="F176" s="1921"/>
      <c r="G176" s="57"/>
    </row>
    <row r="177" spans="1:7" ht="12" customHeight="1">
      <c r="A177" s="264"/>
      <c r="B177" s="264"/>
      <c r="C177" s="265"/>
      <c r="D177" s="57"/>
      <c r="E177" s="49"/>
      <c r="F177" s="57"/>
      <c r="G177" s="57"/>
    </row>
    <row r="178" spans="1:7" ht="14.25">
      <c r="A178" s="261"/>
      <c r="B178" s="679" t="s">
        <v>315</v>
      </c>
      <c r="C178" s="265"/>
      <c r="D178" s="1919" t="s">
        <v>1269</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25">
      <c r="A186" s="261"/>
      <c r="B186" s="679" t="s">
        <v>315</v>
      </c>
      <c r="C186" s="557"/>
      <c r="D186" s="1858" t="s">
        <v>1268</v>
      </c>
      <c r="E186" s="1858"/>
      <c r="F186" s="1858"/>
      <c r="G186" s="678"/>
    </row>
    <row r="187" spans="1:7" s="677" customFormat="1" ht="14.45" customHeight="1">
      <c r="A187" s="261"/>
      <c r="C187" s="557"/>
      <c r="D187" s="1858"/>
      <c r="E187" s="1858"/>
      <c r="F187" s="1858"/>
      <c r="G187" s="678"/>
    </row>
    <row r="188" spans="1:7" s="677" customFormat="1" ht="14.25">
      <c r="A188" s="261"/>
      <c r="B188" s="697"/>
      <c r="C188" s="557"/>
      <c r="D188" s="1858"/>
      <c r="E188" s="1858"/>
      <c r="F188" s="1858"/>
      <c r="G188" s="678"/>
    </row>
    <row r="189" spans="1:7" s="677" customFormat="1" ht="14.25">
      <c r="A189" s="261"/>
      <c r="B189" s="697"/>
      <c r="C189" s="557"/>
      <c r="D189" s="1858"/>
      <c r="E189" s="1858"/>
      <c r="F189" s="1858"/>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22" t="s">
        <v>213</v>
      </c>
      <c r="E193" s="1922"/>
      <c r="F193" s="1922"/>
    </row>
    <row r="194" spans="1:6">
      <c r="A194" s="255"/>
      <c r="B194" s="673"/>
      <c r="C194" s="255"/>
      <c r="D194" s="1890" t="s">
        <v>1292</v>
      </c>
      <c r="E194" s="1891"/>
      <c r="F194" s="1891"/>
    </row>
    <row r="195" spans="1:6" ht="12" customHeight="1">
      <c r="A195" s="23"/>
      <c r="B195" s="675"/>
      <c r="C195" s="23"/>
    </row>
    <row r="196" spans="1:6" ht="13.15" customHeight="1">
      <c r="A196" s="23"/>
      <c r="C196" s="23"/>
      <c r="D196" s="1882" t="s">
        <v>578</v>
      </c>
      <c r="E196" s="1882"/>
      <c r="F196" s="1882"/>
    </row>
    <row r="197" spans="1:6" ht="14.25">
      <c r="A197" s="261"/>
      <c r="B197" s="679" t="s">
        <v>315</v>
      </c>
      <c r="D197" s="1858" t="s">
        <v>1286</v>
      </c>
      <c r="E197" s="1858"/>
      <c r="F197" s="1858"/>
    </row>
    <row r="198" spans="1:6" ht="14.25">
      <c r="A198" s="261"/>
      <c r="B198" s="261"/>
      <c r="D198" s="1858"/>
      <c r="E198" s="1858"/>
      <c r="F198" s="1858"/>
    </row>
    <row r="199" spans="1:6"/>
    <row r="200" spans="1:6" ht="14.25">
      <c r="A200" s="261"/>
      <c r="B200" s="679" t="s">
        <v>315</v>
      </c>
      <c r="D200" s="1858" t="s">
        <v>1287</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1288</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9" t="s">
        <v>315</v>
      </c>
      <c r="D210" s="1879" t="s">
        <v>1289</v>
      </c>
      <c r="E210" s="1879"/>
      <c r="F210" s="1879"/>
    </row>
    <row r="211" spans="1:7" ht="14.25">
      <c r="A211" s="261"/>
      <c r="B211" s="261"/>
      <c r="D211" s="1879"/>
      <c r="E211" s="1879"/>
      <c r="F211" s="1879"/>
    </row>
    <row r="212" spans="1:7" ht="14.25">
      <c r="A212" s="261"/>
      <c r="B212" s="261"/>
      <c r="D212" s="1880" t="s">
        <v>962</v>
      </c>
      <c r="E212" s="1880"/>
      <c r="F212" s="1880"/>
    </row>
    <row r="213" spans="1:7" ht="14.25">
      <c r="A213" s="261"/>
      <c r="B213" s="261"/>
      <c r="D213" s="135"/>
      <c r="E213" s="135"/>
      <c r="F213" s="135"/>
    </row>
    <row r="214" spans="1:7" ht="14.45" customHeight="1">
      <c r="A214" s="261"/>
      <c r="B214" s="679" t="s">
        <v>315</v>
      </c>
      <c r="D214" s="1879" t="s">
        <v>1291</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315</v>
      </c>
      <c r="D220" s="1858" t="s">
        <v>1290</v>
      </c>
      <c r="E220" s="1858"/>
      <c r="F220" s="1858"/>
    </row>
    <row r="221" spans="1:7" ht="14.25">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3"/>
      <c r="C226" s="255"/>
      <c r="D226" s="135"/>
      <c r="E226" s="135"/>
      <c r="F226" s="135"/>
    </row>
    <row r="227" spans="1:6">
      <c r="A227" s="260"/>
      <c r="B227" s="260"/>
      <c r="C227" s="260"/>
      <c r="D227" s="1882" t="s">
        <v>274</v>
      </c>
      <c r="E227" s="1882"/>
      <c r="F227" s="1882"/>
    </row>
    <row r="228" spans="1:6" ht="14.25">
      <c r="A228" s="261"/>
      <c r="B228" s="679" t="s">
        <v>315</v>
      </c>
      <c r="D228" s="1932" t="s">
        <v>1294</v>
      </c>
      <c r="E228" s="1932"/>
      <c r="F228" s="1932"/>
    </row>
    <row r="229" spans="1:6" ht="14.25">
      <c r="A229" s="261"/>
      <c r="B229" s="261"/>
      <c r="D229" s="1932"/>
      <c r="E229" s="1932"/>
      <c r="F229" s="1932"/>
    </row>
    <row r="230" spans="1:6">
      <c r="D230" s="135"/>
      <c r="E230" s="135"/>
      <c r="F230" s="135"/>
    </row>
    <row r="231" spans="1:6" ht="14.45" customHeight="1">
      <c r="A231" s="261"/>
      <c r="B231" s="679" t="s">
        <v>315</v>
      </c>
      <c r="D231" s="1879" t="s">
        <v>1295</v>
      </c>
      <c r="E231" s="1879"/>
      <c r="F231" s="1879"/>
    </row>
    <row r="232" spans="1:6">
      <c r="D232" s="1879"/>
      <c r="E232" s="1879"/>
      <c r="F232" s="1879"/>
    </row>
    <row r="233" spans="1:6">
      <c r="D233" s="1891" t="s">
        <v>953</v>
      </c>
      <c r="E233" s="1891"/>
      <c r="F233" s="1891"/>
    </row>
    <row r="234" spans="1:6">
      <c r="D234" s="135"/>
      <c r="E234" s="135"/>
      <c r="F234" s="135"/>
    </row>
    <row r="235" spans="1:6" ht="14.45" customHeight="1">
      <c r="A235" s="261"/>
      <c r="B235" s="679" t="s">
        <v>315</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315</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1299</v>
      </c>
      <c r="E251" s="1888"/>
      <c r="F251" s="1888"/>
    </row>
    <row r="252" spans="1:7">
      <c r="E252" s="135"/>
      <c r="F252" s="135"/>
    </row>
    <row r="253" spans="1:7" ht="14.25">
      <c r="A253" s="261"/>
      <c r="B253" s="679" t="s">
        <v>315</v>
      </c>
      <c r="D253" s="1858" t="s">
        <v>1300</v>
      </c>
      <c r="E253" s="1858"/>
      <c r="F253" s="1858"/>
    </row>
    <row r="254" spans="1:7" ht="14.25">
      <c r="A254" s="261"/>
      <c r="B254" s="261"/>
      <c r="D254" s="1858"/>
      <c r="E254" s="1858"/>
      <c r="F254" s="1858"/>
    </row>
    <row r="255" spans="1:7">
      <c r="D255" s="135"/>
      <c r="E255" s="135"/>
      <c r="F255" s="135"/>
    </row>
    <row r="256" spans="1:7" ht="14.25">
      <c r="A256" s="261"/>
      <c r="B256" s="679" t="s">
        <v>315</v>
      </c>
      <c r="D256" s="1879" t="s">
        <v>1301</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315</v>
      </c>
      <c r="D260" s="1858" t="s">
        <v>1302</v>
      </c>
      <c r="E260" s="1858"/>
      <c r="F260" s="1858"/>
    </row>
    <row r="261" spans="1:7" ht="14.25">
      <c r="A261" s="261"/>
      <c r="B261" s="261"/>
      <c r="D261" s="1858"/>
      <c r="E261" s="1858"/>
      <c r="F261" s="1858"/>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1303</v>
      </c>
      <c r="E266" s="1883"/>
      <c r="F266" s="1883"/>
    </row>
    <row r="267" spans="1:7">
      <c r="C267" s="23"/>
      <c r="D267" s="259"/>
    </row>
    <row r="268" spans="1:7">
      <c r="A268" s="273"/>
      <c r="B268" s="679" t="s">
        <v>315</v>
      </c>
      <c r="D268" s="1883" t="s">
        <v>1304</v>
      </c>
      <c r="E268" s="1883"/>
      <c r="F268" s="1883"/>
    </row>
    <row r="269" spans="1:7" s="39" customFormat="1" ht="14.25">
      <c r="A269" s="403"/>
      <c r="B269" s="403"/>
      <c r="C269" s="273"/>
      <c r="D269" s="497"/>
      <c r="E269" s="498"/>
      <c r="F269" s="498"/>
      <c r="G269" s="130"/>
    </row>
    <row r="270" spans="1:7" s="39" customFormat="1" ht="13.15" customHeight="1">
      <c r="A270" s="273"/>
      <c r="B270" s="679" t="s">
        <v>315</v>
      </c>
      <c r="C270" s="273"/>
      <c r="D270" s="1933" t="s">
        <v>1305</v>
      </c>
      <c r="E270" s="1933"/>
      <c r="F270" s="1933"/>
      <c r="G270" s="130"/>
    </row>
    <row r="271" spans="1:7" s="39" customFormat="1" ht="14.25">
      <c r="A271" s="403"/>
      <c r="B271" s="403"/>
      <c r="C271" s="273"/>
      <c r="D271" s="1933"/>
      <c r="E271" s="1933"/>
      <c r="F271" s="1933"/>
      <c r="G271" s="130"/>
    </row>
    <row r="272" spans="1:7" s="39" customFormat="1" ht="14.25">
      <c r="A272" s="403"/>
      <c r="B272" s="403"/>
      <c r="C272" s="273"/>
      <c r="D272" s="1933"/>
      <c r="E272" s="1933"/>
      <c r="F272" s="1933"/>
      <c r="G272" s="130"/>
    </row>
    <row r="273" spans="1:7" s="39" customFormat="1" ht="14.25">
      <c r="A273" s="403"/>
      <c r="B273" s="403"/>
      <c r="C273" s="273"/>
      <c r="D273" s="1933"/>
      <c r="E273" s="1933"/>
      <c r="F273" s="1933"/>
      <c r="G273" s="130"/>
    </row>
    <row r="274" spans="1:7" s="39" customFormat="1" ht="14.25">
      <c r="A274" s="403"/>
      <c r="B274" s="403"/>
      <c r="C274" s="273"/>
      <c r="D274" s="1933"/>
      <c r="E274" s="1933"/>
      <c r="F274" s="1933"/>
      <c r="G274" s="130"/>
    </row>
    <row r="275" spans="1:7" s="39" customFormat="1" ht="14.25">
      <c r="A275" s="403"/>
      <c r="B275" s="403"/>
      <c r="C275" s="273"/>
      <c r="D275" s="497"/>
      <c r="E275" s="498"/>
      <c r="F275" s="498"/>
      <c r="G275" s="130"/>
    </row>
    <row r="276" spans="1:7" s="39" customFormat="1" ht="13.15" customHeight="1">
      <c r="A276" s="273"/>
      <c r="B276" s="679" t="s">
        <v>315</v>
      </c>
      <c r="C276" s="273"/>
      <c r="D276" s="1933" t="s">
        <v>1306</v>
      </c>
      <c r="E276" s="1933"/>
      <c r="F276" s="1933"/>
      <c r="G276" s="130"/>
    </row>
    <row r="277" spans="1:7" s="39" customFormat="1">
      <c r="A277" s="273"/>
      <c r="B277" s="273"/>
      <c r="C277" s="273"/>
      <c r="D277" s="1933"/>
      <c r="E277" s="1933"/>
      <c r="F277" s="1933"/>
      <c r="G277" s="130"/>
    </row>
    <row r="278" spans="1:7" s="39" customFormat="1" ht="14.25">
      <c r="A278" s="403"/>
      <c r="B278" s="403"/>
      <c r="C278" s="273"/>
      <c r="D278" s="497"/>
      <c r="E278" s="498"/>
      <c r="F278" s="498"/>
      <c r="G278" s="130"/>
    </row>
    <row r="279" spans="1:7">
      <c r="A279" s="273"/>
      <c r="B279" s="679" t="s">
        <v>315</v>
      </c>
      <c r="D279" s="1883" t="s">
        <v>1307</v>
      </c>
      <c r="E279" s="1883"/>
      <c r="F279" s="1883"/>
    </row>
    <row r="280" spans="1:7">
      <c r="E280" s="135"/>
      <c r="F280" s="135"/>
    </row>
    <row r="281" spans="1:7" ht="14.25">
      <c r="A281" s="261"/>
      <c r="B281" s="679" t="s">
        <v>315</v>
      </c>
      <c r="D281" s="1879" t="s">
        <v>1308</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315</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315</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5" thickBot="1">
      <c r="D314" s="1929" t="s">
        <v>1059</v>
      </c>
      <c r="E314" s="1929"/>
      <c r="F314" s="1929"/>
      <c r="G314" s="12"/>
    </row>
    <row r="315" spans="1:7" s="719" customFormat="1" ht="13.5" thickTop="1">
      <c r="A315" s="731"/>
      <c r="B315" s="731"/>
      <c r="C315" s="731"/>
      <c r="D315" s="1930" t="s">
        <v>1311</v>
      </c>
      <c r="E315" s="1930"/>
      <c r="F315" s="1930"/>
    </row>
    <row r="316" spans="1:7">
      <c r="A316" s="325"/>
      <c r="B316" s="325"/>
      <c r="C316" s="325"/>
      <c r="D316" s="467"/>
      <c r="E316" s="467"/>
      <c r="F316" s="135"/>
      <c r="G316" s="12"/>
    </row>
    <row r="317" spans="1:7" ht="14.25">
      <c r="A317" s="261"/>
      <c r="B317" s="679" t="s">
        <v>315</v>
      </c>
      <c r="C317" s="325"/>
      <c r="D317" s="1931" t="s">
        <v>1312</v>
      </c>
      <c r="E317" s="1931"/>
      <c r="F317" s="1931"/>
      <c r="G317" s="12"/>
    </row>
    <row r="318" spans="1:7">
      <c r="A318" s="325"/>
      <c r="B318" s="325"/>
      <c r="C318" s="325"/>
      <c r="D318" s="467"/>
      <c r="E318" s="467"/>
      <c r="F318" s="135"/>
      <c r="G318" s="12"/>
    </row>
    <row r="319" spans="1:7">
      <c r="A319" s="325"/>
      <c r="B319" s="679" t="s">
        <v>315</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25">
      <c r="A331" s="261"/>
      <c r="B331" s="679" t="s">
        <v>315</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25">
      <c r="A367" s="261"/>
      <c r="B367" s="679" t="s">
        <v>315</v>
      </c>
      <c r="C367" s="325"/>
      <c r="D367" s="1915" t="s">
        <v>1318</v>
      </c>
      <c r="E367" s="1915"/>
      <c r="F367" s="1915"/>
      <c r="G367" s="12"/>
    </row>
    <row r="368" spans="1:7" ht="14.25">
      <c r="A368" s="506"/>
      <c r="B368" s="506"/>
      <c r="C368" s="325"/>
      <c r="D368" s="1915"/>
      <c r="E368" s="1915"/>
      <c r="F368" s="1915"/>
      <c r="G368" s="12"/>
    </row>
    <row r="369" spans="1:7" ht="14.25">
      <c r="A369" s="506"/>
      <c r="B369" s="506"/>
      <c r="C369" s="325"/>
      <c r="D369" s="1915"/>
      <c r="E369" s="1915"/>
      <c r="F369" s="1915"/>
      <c r="G369" s="12"/>
    </row>
    <row r="370" spans="1:7" ht="14.25">
      <c r="A370" s="506"/>
      <c r="B370" s="506"/>
      <c r="C370" s="325"/>
      <c r="D370" s="1915"/>
      <c r="E370" s="1915"/>
      <c r="F370" s="1915"/>
      <c r="G370" s="12"/>
    </row>
    <row r="371" spans="1:7" ht="14.25">
      <c r="A371" s="506"/>
      <c r="B371" s="506"/>
      <c r="C371" s="325"/>
      <c r="D371" s="1915"/>
      <c r="E371" s="1915"/>
      <c r="F371" s="1915"/>
      <c r="G371" s="12"/>
    </row>
    <row r="372" spans="1:7">
      <c r="D372" s="135"/>
      <c r="E372" s="135"/>
      <c r="F372" s="135"/>
      <c r="G372" s="12"/>
    </row>
    <row r="373" spans="1:7" ht="14.25">
      <c r="A373" s="261"/>
      <c r="B373" s="679" t="s">
        <v>315</v>
      </c>
      <c r="C373" s="266"/>
      <c r="D373" s="1858" t="s">
        <v>1319</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25">
      <c r="A405" s="261"/>
      <c r="B405" s="679" t="s">
        <v>315</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315</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25">
      <c r="B416" s="679" t="s">
        <v>315</v>
      </c>
      <c r="C416" s="261"/>
      <c r="D416" s="1879" t="s">
        <v>1323</v>
      </c>
      <c r="E416" s="1879"/>
      <c r="F416" s="1879"/>
      <c r="G416" s="12"/>
    </row>
    <row r="417" spans="1:7">
      <c r="D417" s="1879"/>
      <c r="E417" s="1879"/>
      <c r="F417" s="1879"/>
      <c r="G417" s="12"/>
    </row>
    <row r="418" spans="1:7">
      <c r="D418" s="135"/>
      <c r="E418" s="135"/>
      <c r="F418" s="135"/>
      <c r="G418" s="12"/>
    </row>
    <row r="419" spans="1:7" ht="14.25">
      <c r="B419" s="679" t="s">
        <v>315</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947</v>
      </c>
      <c r="E444" s="1935"/>
      <c r="F444" s="1935"/>
    </row>
    <row r="445" spans="1:7" s="39" customFormat="1" ht="14.25">
      <c r="A445" s="403"/>
      <c r="B445" s="403"/>
      <c r="C445" s="273"/>
      <c r="D445" s="1936" t="s">
        <v>1327</v>
      </c>
      <c r="E445" s="1936"/>
      <c r="F445" s="1936"/>
      <c r="G445" s="130"/>
    </row>
    <row r="446" spans="1:7" s="39" customFormat="1" ht="14.25">
      <c r="A446" s="403"/>
      <c r="B446" s="403"/>
      <c r="C446" s="273"/>
      <c r="D446" s="732"/>
      <c r="E446" s="6"/>
      <c r="F446" s="6"/>
      <c r="G446" s="130"/>
    </row>
    <row r="447" spans="1:7" s="39" customFormat="1" ht="14.25">
      <c r="A447" s="261"/>
      <c r="B447" s="679" t="s">
        <v>315</v>
      </c>
      <c r="C447" s="273"/>
      <c r="D447" s="1937" t="s">
        <v>1328</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30"/>
      <c r="E449" s="6"/>
      <c r="F449" s="6"/>
      <c r="G449" s="130"/>
    </row>
    <row r="450" spans="1:7">
      <c r="B450" s="679" t="s">
        <v>315</v>
      </c>
      <c r="D450" s="1907" t="s">
        <v>1329</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8"/>
      <c r="E454" s="678"/>
      <c r="F454" s="678"/>
      <c r="G454" s="12"/>
    </row>
    <row r="455" spans="1:7" ht="14.25">
      <c r="A455" s="261"/>
      <c r="B455" s="679" t="s">
        <v>315</v>
      </c>
      <c r="D455" s="1860" t="s">
        <v>1330</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8"/>
      <c r="E458" s="678"/>
      <c r="F458" s="678"/>
      <c r="G458" s="12"/>
    </row>
    <row r="459" spans="1:7" ht="14.25">
      <c r="A459" s="261"/>
      <c r="B459" s="718" t="s">
        <v>315</v>
      </c>
      <c r="D459" s="1883" t="s">
        <v>1331</v>
      </c>
      <c r="E459" s="1883"/>
      <c r="F459" s="1883"/>
      <c r="G459" s="12"/>
    </row>
    <row r="460" spans="1:7" ht="14.25">
      <c r="A460" s="261"/>
      <c r="B460" s="261"/>
      <c r="D460" s="730"/>
      <c r="E460" s="6"/>
      <c r="F460" s="6"/>
      <c r="G460" s="12"/>
    </row>
    <row r="461" spans="1:7" ht="14.25">
      <c r="A461" s="261"/>
      <c r="B461" s="679" t="s">
        <v>315</v>
      </c>
      <c r="D461" s="1858" t="s">
        <v>1332</v>
      </c>
      <c r="E461" s="1858"/>
      <c r="F461" s="1858"/>
      <c r="G461" s="12"/>
    </row>
    <row r="462" spans="1:7" ht="14.25">
      <c r="A462" s="261"/>
      <c r="D462" s="1858"/>
      <c r="E462" s="1858"/>
      <c r="F462" s="1858"/>
      <c r="G462" s="12"/>
    </row>
    <row r="463" spans="1:7">
      <c r="A463" s="23"/>
      <c r="B463" s="675"/>
      <c r="D463" s="733"/>
      <c r="E463" s="6"/>
      <c r="F463" s="6"/>
      <c r="G463" s="12"/>
    </row>
    <row r="464" spans="1:7">
      <c r="A464" s="23"/>
      <c r="B464" s="718" t="s">
        <v>315</v>
      </c>
      <c r="D464" s="1883" t="s">
        <v>1333</v>
      </c>
      <c r="E464" s="1883"/>
      <c r="F464" s="1883"/>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15"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5" customHeight="1">
      <c r="A475" s="261"/>
      <c r="B475" s="679" t="s">
        <v>315</v>
      </c>
      <c r="C475" s="313"/>
      <c r="D475" s="1905" t="s">
        <v>1202</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5" customHeight="1">
      <c r="A481" s="261"/>
      <c r="B481" s="679" t="s">
        <v>315</v>
      </c>
      <c r="C481" s="313"/>
      <c r="D481" s="1905" t="s">
        <v>1205</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5" customHeight="1">
      <c r="A490" s="261"/>
      <c r="B490" s="679" t="s">
        <v>315</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15" customHeight="1">
      <c r="A500" s="487"/>
      <c r="B500" s="679" t="s">
        <v>315</v>
      </c>
      <c r="C500" s="486"/>
      <c r="D500" s="1918" t="s">
        <v>1348</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5" customHeight="1">
      <c r="A506" s="261"/>
      <c r="B506" s="679" t="s">
        <v>315</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15" customHeight="1">
      <c r="A519" s="261"/>
      <c r="B519" s="679" t="s">
        <v>315</v>
      </c>
      <c r="C519" s="266"/>
      <c r="D519" s="1883" t="s">
        <v>948</v>
      </c>
      <c r="E519" s="1883"/>
      <c r="F519" s="1883"/>
      <c r="G519" s="12"/>
    </row>
    <row r="520" spans="1:7" ht="13.15" customHeight="1">
      <c r="A520" s="266"/>
      <c r="B520" s="266"/>
      <c r="C520" s="266"/>
      <c r="D520" s="704"/>
      <c r="E520" s="677"/>
      <c r="F520" s="677"/>
      <c r="G520" s="12"/>
    </row>
    <row r="521" spans="1:7" ht="14.25">
      <c r="A521" s="261"/>
      <c r="B521" s="679" t="s">
        <v>315</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9" t="s">
        <v>315</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9" t="s">
        <v>315</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9" t="s">
        <v>315</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9" t="s">
        <v>315</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9" t="s">
        <v>315</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9" t="s">
        <v>315</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9" t="s">
        <v>315</v>
      </c>
      <c r="C543" s="266"/>
      <c r="D543" s="1883" t="s">
        <v>1234</v>
      </c>
      <c r="E543" s="1883"/>
      <c r="F543" s="1883"/>
      <c r="G543" s="57"/>
    </row>
    <row r="544" spans="1:7">
      <c r="A544" s="23"/>
      <c r="B544" s="675"/>
      <c r="C544" s="266"/>
      <c r="D544" s="1883" t="s">
        <v>880</v>
      </c>
      <c r="E544" s="1883"/>
      <c r="F544" s="1883"/>
      <c r="G544" s="57"/>
    </row>
    <row r="545" spans="1:7">
      <c r="A545" s="23"/>
      <c r="B545" s="675"/>
      <c r="C545" s="266"/>
      <c r="D545" s="6"/>
      <c r="E545" s="1888" t="s">
        <v>1235</v>
      </c>
      <c r="F545" s="1888"/>
      <c r="G545" s="57"/>
    </row>
    <row r="546" spans="1:7" ht="14.25">
      <c r="A546" s="261"/>
      <c r="B546" s="261"/>
      <c r="C546" s="266"/>
      <c r="E546" s="135"/>
      <c r="F546" s="135"/>
      <c r="G546" s="57"/>
    </row>
    <row r="547" spans="1:7" ht="14.25">
      <c r="A547" s="261"/>
      <c r="B547" s="679" t="s">
        <v>315</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9" t="s">
        <v>315</v>
      </c>
      <c r="C552" s="266"/>
      <c r="D552" s="1858" t="s">
        <v>1238</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00" t="s">
        <v>215</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9" t="s">
        <v>315</v>
      </c>
      <c r="D562" s="1906" t="s">
        <v>954</v>
      </c>
      <c r="E562" s="1906"/>
      <c r="F562" s="1906"/>
      <c r="G562" s="57"/>
    </row>
    <row r="563" spans="1:7">
      <c r="A563" s="23"/>
      <c r="B563" s="675"/>
      <c r="D563" s="325"/>
    </row>
    <row r="564" spans="1:7">
      <c r="A564" s="23"/>
      <c r="B564" s="679" t="s">
        <v>315</v>
      </c>
      <c r="D564" s="1907" t="s">
        <v>1188</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1189</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1190</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315</v>
      </c>
      <c r="D579" s="1906" t="s">
        <v>949</v>
      </c>
      <c r="E579" s="1906"/>
      <c r="F579" s="1906"/>
    </row>
    <row r="580" spans="1:7" ht="14.25">
      <c r="A580" s="261"/>
      <c r="B580" s="261"/>
      <c r="D580" s="377"/>
    </row>
    <row r="581" spans="1:7" ht="14.25">
      <c r="A581" s="261"/>
      <c r="B581" s="679" t="s">
        <v>315</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4.25">
      <c r="A593" s="403"/>
      <c r="B593" s="679" t="s">
        <v>315</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4"/>
      <c r="C599" s="255"/>
      <c r="D599" s="1877" t="s">
        <v>1275</v>
      </c>
      <c r="E599" s="1877"/>
      <c r="F599" s="1877"/>
      <c r="G599" s="57"/>
    </row>
    <row r="600" spans="1:7">
      <c r="A600" s="257"/>
      <c r="B600" s="674"/>
      <c r="C600" s="255"/>
      <c r="D600" s="1877"/>
      <c r="E600" s="1877"/>
      <c r="F600" s="1877"/>
      <c r="G600" s="57"/>
    </row>
    <row r="601" spans="1:7">
      <c r="C601" s="260"/>
      <c r="D601" s="1875" t="s">
        <v>1276</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1277</v>
      </c>
      <c r="E605" s="1878"/>
      <c r="F605" s="1878"/>
      <c r="G605" s="57"/>
    </row>
    <row r="606" spans="1:7">
      <c r="D606" s="1878"/>
      <c r="E606" s="1878"/>
      <c r="F606" s="1878"/>
      <c r="G606" s="57"/>
    </row>
    <row r="607" spans="1:7">
      <c r="D607" s="12"/>
      <c r="G607" s="57"/>
    </row>
    <row r="608" spans="1:7">
      <c r="B608" s="679" t="s">
        <v>315</v>
      </c>
      <c r="D608" s="1878" t="s">
        <v>1278</v>
      </c>
      <c r="E608" s="1878"/>
      <c r="F608" s="1878"/>
      <c r="G608" s="57"/>
    </row>
    <row r="609" spans="1:7">
      <c r="C609" s="268"/>
      <c r="D609" s="1878"/>
      <c r="E609" s="1878"/>
      <c r="F609" s="1878"/>
      <c r="G609" s="57"/>
    </row>
    <row r="610" spans="1:7">
      <c r="C610" s="268"/>
      <c r="G610" s="57"/>
    </row>
    <row r="611" spans="1:7">
      <c r="B611" s="679" t="s">
        <v>315</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5"/>
      <c r="C617" s="265"/>
      <c r="D617" s="50"/>
      <c r="G617" s="57"/>
    </row>
    <row r="618" spans="1:7" ht="14.25">
      <c r="A618" s="261"/>
      <c r="B618" s="679" t="s">
        <v>315</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25">
      <c r="A625" s="261"/>
      <c r="B625" s="679" t="s">
        <v>315</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9" t="s">
        <v>315</v>
      </c>
      <c r="C628" s="266"/>
      <c r="D628" s="1876" t="s">
        <v>1283</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1284</v>
      </c>
      <c r="E633" s="1924"/>
      <c r="F633" s="192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9" customFormat="1">
      <c r="A639" s="720"/>
      <c r="B639" s="720"/>
      <c r="C639" s="720"/>
      <c r="D639" s="734"/>
      <c r="E639" s="734"/>
      <c r="F639" s="734"/>
      <c r="G639" s="57"/>
    </row>
    <row r="640" spans="1:7" ht="14.45" customHeight="1">
      <c r="A640" s="261"/>
      <c r="B640" s="679" t="s">
        <v>315</v>
      </c>
      <c r="C640" s="266"/>
      <c r="D640" s="1872" t="s">
        <v>1336</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2" customFormat="1" ht="14.25">
      <c r="A644" s="261"/>
      <c r="B644" s="261"/>
      <c r="C644" s="266"/>
      <c r="D644" s="1872"/>
      <c r="E644" s="1872"/>
      <c r="F644" s="1872"/>
      <c r="G644" s="57"/>
    </row>
    <row r="645" spans="1:11" s="719" customFormat="1" ht="14.25">
      <c r="A645" s="714"/>
      <c r="B645" s="714"/>
      <c r="C645" s="266"/>
      <c r="D645" s="736"/>
      <c r="E645" s="736"/>
      <c r="F645" s="736"/>
      <c r="G645" s="57"/>
    </row>
    <row r="646" spans="1:11" s="682" customFormat="1" ht="14.25">
      <c r="A646" s="261"/>
      <c r="B646" s="679" t="s">
        <v>315</v>
      </c>
      <c r="C646" s="266"/>
      <c r="D646" s="1902" t="s">
        <v>1186</v>
      </c>
      <c r="E646" s="1902"/>
      <c r="F646" s="1902"/>
      <c r="G646" s="57"/>
    </row>
    <row r="647" spans="1:11" s="682" customFormat="1" ht="14.25">
      <c r="A647" s="261"/>
      <c r="B647" s="261"/>
      <c r="C647" s="266"/>
      <c r="D647" s="1903" t="s">
        <v>1337</v>
      </c>
      <c r="E647" s="1903"/>
      <c r="F647" s="1903"/>
      <c r="G647" s="57"/>
    </row>
    <row r="648" spans="1:11" s="682" customFormat="1" ht="14.25">
      <c r="A648" s="261"/>
      <c r="B648" s="261"/>
      <c r="C648" s="266"/>
      <c r="D648" s="1903"/>
      <c r="E648" s="1903"/>
      <c r="F648" s="1903"/>
      <c r="G648" s="57"/>
    </row>
    <row r="649" spans="1:11" s="682" customFormat="1" ht="14.25">
      <c r="A649" s="261"/>
      <c r="B649" s="261"/>
      <c r="C649" s="266"/>
      <c r="D649" s="1903"/>
      <c r="E649" s="1903"/>
      <c r="F649" s="1903"/>
      <c r="G649" s="57"/>
    </row>
    <row r="650" spans="1:11" s="682" customFormat="1" ht="14.25">
      <c r="A650" s="261"/>
      <c r="B650" s="261"/>
      <c r="C650" s="266"/>
      <c r="D650" s="1903"/>
      <c r="E650" s="1903"/>
      <c r="F650" s="1903"/>
      <c r="G650" s="57"/>
    </row>
    <row r="651" spans="1:11" s="682" customFormat="1" ht="14.25">
      <c r="A651" s="261"/>
      <c r="B651" s="261"/>
      <c r="C651" s="266"/>
      <c r="D651" s="1903"/>
      <c r="E651" s="1903"/>
      <c r="F651" s="1903"/>
      <c r="G651" s="57"/>
    </row>
    <row r="652" spans="1:11" s="682" customFormat="1" ht="14.25">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58" t="s">
        <v>1214</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3" t="s">
        <v>990</v>
      </c>
      <c r="E669" s="1883"/>
      <c r="F669" s="1883"/>
      <c r="G669" s="57"/>
      <c r="H669" s="269"/>
      <c r="I669" s="269"/>
      <c r="J669" s="269"/>
      <c r="K669" s="269"/>
    </row>
    <row r="670" spans="1:11" ht="14.25">
      <c r="A670" s="261"/>
      <c r="B670" s="261"/>
      <c r="C670" s="260"/>
      <c r="D670" s="1883" t="s">
        <v>961</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1223</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1224</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25">
      <c r="A743" s="261"/>
      <c r="B743" s="679" t="s">
        <v>315</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25">
      <c r="A747" s="261"/>
      <c r="B747" s="679" t="s">
        <v>315</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4.25">
      <c r="A759" s="261"/>
      <c r="B759" s="679" t="s">
        <v>315</v>
      </c>
      <c r="C759" s="442"/>
      <c r="D759" s="1898" t="s">
        <v>1069</v>
      </c>
      <c r="E759" s="1898"/>
      <c r="F759" s="1898"/>
      <c r="G759" s="271"/>
    </row>
    <row r="760" spans="1:11">
      <c r="A760" s="273"/>
      <c r="B760" s="273"/>
      <c r="C760" s="442"/>
      <c r="D760" s="692"/>
      <c r="E760" s="1899" t="s">
        <v>1185</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1068</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ht="14.25">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2401</v>
      </c>
      <c r="B72" s="1944"/>
      <c r="C72" s="1944"/>
      <c r="D72" s="1944"/>
      <c r="E72" s="1944"/>
      <c r="F72" s="1944"/>
      <c r="G72" s="1944"/>
      <c r="H72" s="1944"/>
      <c r="I72" s="1944"/>
    </row>
    <row r="73" spans="1:9" ht="12.75">
      <c r="A73" s="1866" t="s">
        <v>1093</v>
      </c>
      <c r="B73" s="1866"/>
      <c r="C73" s="1866"/>
      <c r="D73" s="1866"/>
      <c r="E73" s="1866"/>
    </row>
    <row r="74" spans="1:9" ht="12.75">
      <c r="A74" s="1866" t="s">
        <v>1392</v>
      </c>
      <c r="B74" s="1866"/>
      <c r="C74" s="1866"/>
      <c r="D74" s="1866"/>
      <c r="E74" s="1866"/>
    </row>
    <row r="75" spans="1:9" ht="12.75">
      <c r="A75" s="1866" t="s">
        <v>2402</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66" zoomScale="80" zoomScaleNormal="80" zoomScaleSheetLayoutView="100" workbookViewId="0">
      <selection activeCell="B1098" sqref="B1098"/>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2416</v>
      </c>
    </row>
    <row r="7" spans="1:9" s="791" customFormat="1">
      <c r="A7" s="1972" t="s">
        <v>1255</v>
      </c>
      <c r="B7" s="1972"/>
      <c r="C7" s="1973"/>
      <c r="D7" s="1973"/>
      <c r="E7" s="1973"/>
      <c r="F7" s="1973"/>
      <c r="G7" s="1973"/>
      <c r="I7" s="1836" t="s">
        <v>2417</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7"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ht="14.25">
      <c r="A15" s="797"/>
      <c r="B15" s="798" t="s">
        <v>2666</v>
      </c>
      <c r="C15" s="799"/>
      <c r="D15" s="1919" t="s">
        <v>1240</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ht="14.25">
      <c r="A19" s="797"/>
      <c r="B19" s="798" t="s">
        <v>2678</v>
      </c>
      <c r="D19" s="1898" t="s">
        <v>1241</v>
      </c>
      <c r="E19" s="1898"/>
      <c r="F19" s="1898"/>
      <c r="I19" s="1774" t="s">
        <v>2419</v>
      </c>
    </row>
    <row r="20" spans="1:9" ht="14.25">
      <c r="A20" s="797"/>
      <c r="B20" s="797"/>
      <c r="D20" s="800"/>
    </row>
    <row r="21" spans="1:9" ht="14.25">
      <c r="A21" s="797"/>
      <c r="B21" s="798" t="s">
        <v>2666</v>
      </c>
      <c r="D21" s="1919" t="s">
        <v>1242</v>
      </c>
      <c r="E21" s="1919"/>
      <c r="F21" s="1919"/>
      <c r="I21" s="1774" t="s">
        <v>2419</v>
      </c>
    </row>
    <row r="22" spans="1:9" ht="14.25">
      <c r="A22" s="797"/>
      <c r="B22" s="797"/>
      <c r="D22" s="1919"/>
      <c r="E22" s="1919"/>
      <c r="F22" s="1919"/>
    </row>
    <row r="23" spans="1:9"/>
    <row r="24" spans="1:9" ht="14.25">
      <c r="A24" s="797"/>
      <c r="B24" s="798" t="s">
        <v>2666</v>
      </c>
      <c r="D24" s="1964" t="s">
        <v>1243</v>
      </c>
      <c r="E24" s="1964"/>
      <c r="F24" s="1964"/>
      <c r="I24" s="1774" t="s">
        <v>2422</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2666</v>
      </c>
      <c r="C30" s="801"/>
      <c r="D30" s="1876" t="s">
        <v>1244</v>
      </c>
      <c r="E30" s="1876"/>
      <c r="F30" s="1876"/>
      <c r="G30" s="802"/>
      <c r="I30" s="1837" t="s">
        <v>2418</v>
      </c>
    </row>
    <row r="31" spans="1:9" s="791" customFormat="1">
      <c r="A31" s="801"/>
      <c r="B31" s="801"/>
      <c r="C31" s="801"/>
      <c r="D31" s="1876"/>
      <c r="E31" s="1876"/>
      <c r="F31" s="1876"/>
      <c r="G31" s="802"/>
      <c r="I31" s="1837"/>
    </row>
    <row r="32" spans="1:9" ht="14.25">
      <c r="A32" s="797"/>
      <c r="B32" s="797"/>
      <c r="D32" s="803"/>
    </row>
    <row r="33" spans="1:9" ht="14.45" customHeight="1">
      <c r="A33" s="797"/>
      <c r="B33" s="798" t="s">
        <v>2666</v>
      </c>
      <c r="D33" s="1876" t="s">
        <v>1423</v>
      </c>
      <c r="E33" s="1876"/>
      <c r="F33" s="1876"/>
      <c r="I33" s="1837" t="s">
        <v>2490</v>
      </c>
    </row>
    <row r="34" spans="1:9" ht="14.25">
      <c r="A34" s="797"/>
      <c r="B34" s="797"/>
      <c r="D34" s="1876"/>
      <c r="E34" s="1876"/>
      <c r="F34" s="1876"/>
    </row>
    <row r="35" spans="1:9" ht="14.25">
      <c r="A35" s="797"/>
      <c r="B35" s="797"/>
      <c r="D35" s="1876"/>
      <c r="E35" s="1876"/>
      <c r="F35" s="1876"/>
    </row>
    <row r="36" spans="1:9" ht="14.25">
      <c r="A36" s="797"/>
      <c r="B36" s="797"/>
      <c r="D36" s="1876"/>
      <c r="E36" s="1876"/>
      <c r="F36" s="1876"/>
    </row>
    <row r="37" spans="1:9" ht="14.25">
      <c r="A37" s="797"/>
      <c r="B37" s="797"/>
      <c r="D37" s="790"/>
    </row>
    <row r="38" spans="1:9" ht="14.25">
      <c r="A38" s="797"/>
      <c r="B38" s="798" t="s">
        <v>2666</v>
      </c>
      <c r="D38" s="1876" t="s">
        <v>1246</v>
      </c>
      <c r="E38" s="1876"/>
      <c r="F38" s="1876"/>
    </row>
    <row r="39" spans="1:9" ht="14.25">
      <c r="A39" s="797"/>
      <c r="B39" s="797"/>
      <c r="D39" s="1876"/>
      <c r="E39" s="1876"/>
      <c r="F39" s="1876"/>
    </row>
    <row r="40" spans="1:9" ht="14.25">
      <c r="A40" s="797"/>
      <c r="B40" s="797"/>
      <c r="D40" s="1876"/>
      <c r="E40" s="1876"/>
      <c r="F40" s="1876"/>
    </row>
    <row r="41" spans="1:9" ht="14.25">
      <c r="A41" s="797"/>
      <c r="B41" s="797"/>
      <c r="D41" s="1876"/>
      <c r="E41" s="1876"/>
      <c r="F41" s="1876"/>
    </row>
    <row r="42" spans="1:9" ht="14.25">
      <c r="A42" s="797"/>
      <c r="B42" s="797"/>
      <c r="D42" s="1876"/>
      <c r="E42" s="1876"/>
      <c r="F42" s="1876"/>
    </row>
    <row r="43" spans="1:9" ht="14.25">
      <c r="A43" s="797"/>
      <c r="B43" s="797"/>
      <c r="D43" s="781"/>
      <c r="E43" s="781"/>
      <c r="F43" s="781"/>
    </row>
    <row r="44" spans="1:9" ht="14.25">
      <c r="A44" s="797"/>
      <c r="B44" s="798" t="s">
        <v>2666</v>
      </c>
      <c r="D44" s="1876" t="s">
        <v>1247</v>
      </c>
      <c r="E44" s="1876"/>
      <c r="F44" s="1876"/>
      <c r="I44" s="1837" t="s">
        <v>2490</v>
      </c>
    </row>
    <row r="45" spans="1:9" ht="14.25">
      <c r="A45" s="797"/>
      <c r="B45" s="797"/>
      <c r="D45" s="1876"/>
      <c r="E45" s="1876"/>
      <c r="F45" s="1876"/>
    </row>
    <row r="46" spans="1:9" ht="14.25">
      <c r="A46" s="797"/>
      <c r="B46" s="797"/>
      <c r="D46" s="1876"/>
      <c r="E46" s="1876"/>
      <c r="F46" s="1876"/>
    </row>
    <row r="47" spans="1:9" ht="23.25" customHeight="1">
      <c r="A47" s="797"/>
      <c r="B47" s="797"/>
      <c r="D47" s="1876"/>
      <c r="E47" s="1876"/>
      <c r="F47" s="1876"/>
    </row>
    <row r="48" spans="1:9" ht="14.25">
      <c r="A48" s="797"/>
      <c r="B48" s="797"/>
      <c r="D48" s="785"/>
    </row>
    <row r="49" spans="1:9" ht="14.45" customHeight="1">
      <c r="A49" s="797"/>
      <c r="B49" s="798" t="s">
        <v>2666</v>
      </c>
      <c r="D49" s="1876" t="s">
        <v>1248</v>
      </c>
      <c r="E49" s="1876"/>
      <c r="F49" s="1876"/>
      <c r="I49" s="1837" t="s">
        <v>2490</v>
      </c>
    </row>
    <row r="50" spans="1:9" ht="14.25">
      <c r="A50" s="797"/>
      <c r="B50" s="797"/>
      <c r="D50" s="1876"/>
      <c r="E50" s="1876"/>
      <c r="F50" s="1876"/>
    </row>
    <row r="51" spans="1:9" ht="14.25">
      <c r="A51" s="797"/>
      <c r="B51" s="797"/>
      <c r="D51" s="1876"/>
      <c r="E51" s="1876"/>
      <c r="F51" s="1876"/>
    </row>
    <row r="52" spans="1:9" s="618" customFormat="1" ht="14.25">
      <c r="A52" s="797"/>
      <c r="B52" s="797"/>
      <c r="C52" s="804"/>
      <c r="D52" s="802"/>
      <c r="E52" s="693"/>
      <c r="F52" s="693"/>
      <c r="G52" s="693"/>
      <c r="I52" s="642"/>
    </row>
    <row r="53" spans="1:9" s="618" customFormat="1" ht="14.25">
      <c r="A53" s="805"/>
      <c r="B53" s="798" t="s">
        <v>2678</v>
      </c>
      <c r="C53" s="806"/>
      <c r="D53" s="1876" t="s">
        <v>1249</v>
      </c>
      <c r="E53" s="1876"/>
      <c r="F53" s="1876"/>
      <c r="G53" s="693"/>
      <c r="I53" s="1774"/>
    </row>
    <row r="54" spans="1:9" s="618" customFormat="1" ht="14.25">
      <c r="A54" s="805"/>
      <c r="B54" s="805"/>
      <c r="C54" s="806"/>
      <c r="D54" s="1876"/>
      <c r="E54" s="1876"/>
      <c r="F54" s="1876"/>
      <c r="G54" s="693"/>
      <c r="I54" s="642"/>
    </row>
    <row r="55" spans="1:9" s="791" customFormat="1">
      <c r="A55" s="801"/>
      <c r="B55" s="801"/>
      <c r="C55" s="801"/>
      <c r="D55" s="733"/>
      <c r="E55" s="802"/>
      <c r="F55" s="802"/>
      <c r="G55" s="802"/>
      <c r="I55" s="1837"/>
    </row>
    <row r="56" spans="1:9" ht="14.25">
      <c r="A56" s="797"/>
      <c r="B56" s="798" t="s">
        <v>2678</v>
      </c>
      <c r="D56" s="1876" t="s">
        <v>1250</v>
      </c>
      <c r="E56" s="1876"/>
      <c r="F56" s="1876"/>
      <c r="I56" s="1774" t="s">
        <v>2420</v>
      </c>
    </row>
    <row r="57" spans="1:9">
      <c r="D57" s="1876"/>
      <c r="E57" s="1876"/>
      <c r="F57" s="1876"/>
    </row>
    <row r="58" spans="1:9">
      <c r="D58" s="1876"/>
      <c r="E58" s="1876"/>
      <c r="F58" s="1876"/>
    </row>
    <row r="59" spans="1:9">
      <c r="D59" s="693"/>
    </row>
    <row r="60" spans="1:9" ht="14.25">
      <c r="A60" s="797"/>
      <c r="B60" s="798" t="s">
        <v>2666</v>
      </c>
      <c r="D60" s="1876" t="s">
        <v>1251</v>
      </c>
      <c r="E60" s="1876"/>
      <c r="F60" s="1876"/>
      <c r="I60" s="1774" t="s">
        <v>2421</v>
      </c>
    </row>
    <row r="61" spans="1:9">
      <c r="D61" s="1876"/>
      <c r="E61" s="1876"/>
      <c r="F61" s="1876"/>
    </row>
    <row r="62" spans="1:9"/>
    <row r="63" spans="1:9" ht="14.25">
      <c r="A63" s="797"/>
      <c r="B63" s="798" t="s">
        <v>2666</v>
      </c>
      <c r="D63" s="1876" t="s">
        <v>1252</v>
      </c>
      <c r="E63" s="1876"/>
      <c r="F63" s="1876"/>
    </row>
    <row r="64" spans="1:9">
      <c r="D64" s="1876"/>
      <c r="E64" s="1876"/>
      <c r="F64" s="1876"/>
      <c r="I64" s="1774" t="s">
        <v>2422</v>
      </c>
    </row>
    <row r="65" spans="1:9">
      <c r="D65" s="1876"/>
      <c r="E65" s="1876"/>
      <c r="F65" s="1876"/>
    </row>
    <row r="66" spans="1:9">
      <c r="D66" s="790"/>
    </row>
    <row r="67" spans="1:9" ht="14.25">
      <c r="A67" s="797"/>
      <c r="B67" s="798" t="s">
        <v>2678</v>
      </c>
      <c r="D67" s="1919" t="s">
        <v>1253</v>
      </c>
      <c r="E67" s="1919"/>
      <c r="F67" s="1919"/>
      <c r="I67" s="1774" t="s">
        <v>2422</v>
      </c>
    </row>
    <row r="68" spans="1:9">
      <c r="D68" s="1919"/>
      <c r="E68" s="1919"/>
      <c r="F68" s="1919"/>
    </row>
    <row r="69" spans="1:9" ht="14.25">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7" customHeight="1">
      <c r="A75" s="797"/>
      <c r="B75" s="798" t="s">
        <v>2678</v>
      </c>
      <c r="D75" s="1919" t="s">
        <v>1472</v>
      </c>
      <c r="E75" s="1919"/>
      <c r="F75" s="1919"/>
      <c r="I75" s="1774" t="s">
        <v>2423</v>
      </c>
    </row>
    <row r="76" spans="1:9" ht="14.25">
      <c r="A76" s="797"/>
      <c r="B76" s="797"/>
      <c r="D76" s="1919"/>
      <c r="E76" s="1919"/>
      <c r="F76" s="1919"/>
    </row>
    <row r="77" spans="1:9" ht="14.25">
      <c r="A77" s="797"/>
      <c r="B77" s="797"/>
      <c r="D77" s="1919"/>
      <c r="E77" s="1919"/>
      <c r="F77" s="1919"/>
    </row>
    <row r="78" spans="1:9" ht="14.25">
      <c r="A78" s="797"/>
      <c r="B78" s="797"/>
      <c r="D78" s="1919"/>
      <c r="E78" s="1919"/>
      <c r="F78" s="1919"/>
    </row>
    <row r="79" spans="1:9" ht="14.25">
      <c r="A79" s="797"/>
      <c r="B79" s="797"/>
      <c r="D79" s="1919"/>
      <c r="E79" s="1919"/>
      <c r="F79" s="1919"/>
    </row>
    <row r="80" spans="1:9" ht="14.25">
      <c r="A80" s="797"/>
      <c r="B80" s="797"/>
      <c r="D80" s="1919"/>
      <c r="E80" s="1919"/>
      <c r="F80" s="1919"/>
    </row>
    <row r="81" spans="1:9" ht="14.25">
      <c r="A81" s="797"/>
      <c r="B81" s="797"/>
      <c r="D81" s="1919"/>
      <c r="E81" s="1919"/>
      <c r="F81" s="1919"/>
    </row>
    <row r="82" spans="1:9" ht="14.25">
      <c r="A82" s="797"/>
      <c r="B82" s="797"/>
      <c r="D82" s="1919"/>
      <c r="E82" s="1919"/>
      <c r="F82" s="1919"/>
    </row>
    <row r="83" spans="1:9" ht="14.25">
      <c r="A83" s="797"/>
      <c r="B83" s="797"/>
      <c r="D83" s="878"/>
      <c r="E83" s="878"/>
      <c r="F83" s="878"/>
    </row>
    <row r="84" spans="1:9" ht="15" customHeight="1">
      <c r="A84" s="797"/>
      <c r="B84" s="798" t="s">
        <v>2678</v>
      </c>
      <c r="D84" s="1919" t="s">
        <v>2243</v>
      </c>
      <c r="E84" s="1919"/>
      <c r="F84" s="1919"/>
      <c r="I84" s="1774" t="s">
        <v>2424</v>
      </c>
    </row>
    <row r="85" spans="1:9" ht="14.25">
      <c r="A85" s="797"/>
      <c r="B85" s="797"/>
      <c r="D85" s="1919"/>
      <c r="E85" s="1919"/>
      <c r="F85" s="1919"/>
    </row>
    <row r="86" spans="1:9" ht="14.25">
      <c r="A86" s="797"/>
      <c r="B86" s="797"/>
      <c r="D86" s="1712"/>
      <c r="E86" s="1712"/>
      <c r="F86" s="1712"/>
    </row>
    <row r="87" spans="1:9" ht="14.25">
      <c r="A87" s="797"/>
      <c r="B87" s="798" t="s">
        <v>2678</v>
      </c>
      <c r="D87" s="1919" t="s">
        <v>2247</v>
      </c>
      <c r="E87" s="1919"/>
      <c r="F87" s="1919"/>
      <c r="I87" s="1774" t="s">
        <v>2425</v>
      </c>
    </row>
    <row r="88" spans="1:9" ht="14.25">
      <c r="A88" s="797"/>
      <c r="B88" s="797"/>
      <c r="D88" s="1919"/>
      <c r="E88" s="1919"/>
      <c r="F88" s="1919"/>
    </row>
    <row r="89" spans="1:9" ht="14.25">
      <c r="A89" s="797"/>
      <c r="B89" s="797"/>
      <c r="D89" s="1919"/>
      <c r="E89" s="1919"/>
      <c r="F89" s="1919"/>
    </row>
    <row r="90" spans="1:9" ht="14.25">
      <c r="A90" s="797"/>
      <c r="B90" s="797"/>
      <c r="D90" s="1712"/>
      <c r="E90" s="1712"/>
      <c r="F90" s="1712"/>
    </row>
    <row r="91" spans="1:9" ht="14.25">
      <c r="A91" s="797"/>
      <c r="B91" s="798" t="s">
        <v>2666</v>
      </c>
      <c r="D91" s="1919" t="s">
        <v>2245</v>
      </c>
      <c r="E91" s="1919"/>
      <c r="F91" s="1919"/>
      <c r="I91" s="1774" t="s">
        <v>2470</v>
      </c>
    </row>
    <row r="92" spans="1:9" s="1729" customFormat="1" ht="14.25">
      <c r="A92" s="1727"/>
      <c r="B92" s="1727"/>
      <c r="C92" s="1728"/>
      <c r="D92" s="1919"/>
      <c r="E92" s="1919"/>
      <c r="F92" s="1919"/>
      <c r="I92" s="1838"/>
    </row>
    <row r="93" spans="1:9" ht="14.25">
      <c r="A93" s="797"/>
      <c r="B93" s="797"/>
      <c r="D93" s="1718"/>
      <c r="E93" s="1719" t="s">
        <v>2246</v>
      </c>
      <c r="F93" s="1712"/>
    </row>
    <row r="94" spans="1:9" ht="14.25">
      <c r="A94" s="797"/>
      <c r="B94" s="797"/>
      <c r="D94" s="878"/>
      <c r="E94" s="878"/>
      <c r="F94" s="878"/>
    </row>
    <row r="95" spans="1:9" ht="14.25">
      <c r="A95" s="797"/>
      <c r="B95" s="798" t="s">
        <v>2666</v>
      </c>
      <c r="D95" s="1919" t="s">
        <v>2244</v>
      </c>
      <c r="E95" s="1919"/>
      <c r="F95" s="1919"/>
      <c r="I95" s="1774" t="s">
        <v>2426</v>
      </c>
    </row>
    <row r="96" spans="1:9" ht="14.25">
      <c r="A96" s="797"/>
      <c r="B96" s="797"/>
      <c r="D96" s="1919"/>
      <c r="E96" s="1919"/>
      <c r="F96" s="1919"/>
    </row>
    <row r="97" spans="1:9" ht="14.25">
      <c r="A97" s="797"/>
      <c r="B97" s="797"/>
      <c r="D97" s="1712"/>
      <c r="E97" s="1712"/>
      <c r="F97" s="1712"/>
    </row>
    <row r="98" spans="1:9" ht="14.45" customHeight="1">
      <c r="A98" s="797"/>
      <c r="B98" s="798" t="s">
        <v>2666</v>
      </c>
      <c r="D98" s="1919" t="s">
        <v>1398</v>
      </c>
      <c r="E98" s="1919"/>
      <c r="F98" s="1919"/>
      <c r="G98" s="790"/>
      <c r="I98" s="1774" t="s">
        <v>2427</v>
      </c>
    </row>
    <row r="99" spans="1:9" ht="14.25">
      <c r="A99" s="797"/>
      <c r="B99" s="797"/>
      <c r="D99" s="1919"/>
      <c r="E99" s="1919"/>
      <c r="F99" s="1919"/>
      <c r="G99" s="790"/>
    </row>
    <row r="100" spans="1:9" ht="14.25">
      <c r="A100" s="797"/>
      <c r="B100" s="797"/>
      <c r="D100" s="1919"/>
      <c r="E100" s="1919"/>
      <c r="F100" s="1919"/>
      <c r="G100" s="790"/>
    </row>
    <row r="101" spans="1:9" ht="14.25">
      <c r="A101" s="797"/>
      <c r="B101" s="797"/>
      <c r="D101" s="1919"/>
      <c r="E101" s="1919"/>
      <c r="F101" s="1919"/>
      <c r="G101" s="790"/>
    </row>
    <row r="102" spans="1:9" ht="14.25">
      <c r="A102" s="797"/>
      <c r="B102" s="797"/>
      <c r="D102" s="1919"/>
      <c r="E102" s="1919"/>
      <c r="F102" s="1919"/>
      <c r="G102" s="790"/>
    </row>
    <row r="103" spans="1:9" ht="14.25">
      <c r="A103" s="797"/>
      <c r="B103" s="797"/>
      <c r="D103" s="1919"/>
      <c r="E103" s="1919"/>
      <c r="F103" s="1919"/>
      <c r="G103" s="790"/>
    </row>
    <row r="104" spans="1:9" ht="14.25">
      <c r="A104" s="797"/>
      <c r="B104" s="797"/>
      <c r="D104" s="1919"/>
      <c r="E104" s="1919"/>
      <c r="F104" s="1919"/>
      <c r="G104" s="790"/>
    </row>
    <row r="105" spans="1:9" ht="14.25">
      <c r="A105" s="797"/>
      <c r="B105" s="797"/>
      <c r="D105" s="1919"/>
      <c r="E105" s="1919"/>
      <c r="F105" s="1919"/>
      <c r="G105" s="790"/>
    </row>
    <row r="106" spans="1:9" ht="14.25">
      <c r="A106" s="797"/>
      <c r="B106" s="797"/>
      <c r="D106" s="1919"/>
      <c r="E106" s="1919"/>
      <c r="F106" s="1919"/>
      <c r="G106" s="790"/>
    </row>
    <row r="107" spans="1:9" ht="14.25">
      <c r="A107" s="797"/>
      <c r="B107" s="797"/>
      <c r="D107" s="1919"/>
      <c r="E107" s="1919"/>
      <c r="F107" s="1919"/>
      <c r="G107" s="790"/>
    </row>
    <row r="108" spans="1:9" ht="14.25">
      <c r="A108" s="797"/>
      <c r="B108" s="797"/>
      <c r="D108" s="1919"/>
      <c r="E108" s="1919"/>
      <c r="F108" s="1919"/>
      <c r="G108" s="790"/>
    </row>
    <row r="109" spans="1:9" ht="14.25">
      <c r="A109" s="797"/>
      <c r="B109" s="797"/>
      <c r="D109" s="1919"/>
      <c r="E109" s="1919"/>
      <c r="F109" s="1919"/>
      <c r="G109" s="790"/>
    </row>
    <row r="110" spans="1:9" ht="14.25">
      <c r="A110" s="797"/>
      <c r="B110" s="797"/>
      <c r="D110" s="1919"/>
      <c r="E110" s="1919"/>
      <c r="F110" s="1919"/>
      <c r="G110" s="790"/>
    </row>
    <row r="111" spans="1:9" ht="14.25">
      <c r="A111" s="797"/>
      <c r="B111" s="797"/>
      <c r="D111" s="1919"/>
      <c r="E111" s="1919"/>
      <c r="F111" s="1919"/>
    </row>
    <row r="112" spans="1:9" ht="14.25">
      <c r="A112" s="797"/>
      <c r="B112" s="797"/>
      <c r="D112" s="1919"/>
      <c r="E112" s="1919"/>
      <c r="F112" s="1919"/>
    </row>
    <row r="113" spans="1:11" ht="14.25">
      <c r="A113" s="797"/>
      <c r="B113" s="797"/>
      <c r="D113" s="904"/>
      <c r="E113" s="904"/>
      <c r="F113" s="904"/>
    </row>
    <row r="114" spans="1:11" ht="14.25" customHeight="1">
      <c r="A114" s="797"/>
      <c r="B114" s="798" t="s">
        <v>2666</v>
      </c>
      <c r="D114" s="1917" t="s">
        <v>1260</v>
      </c>
      <c r="E114" s="1917"/>
      <c r="F114" s="1917"/>
    </row>
    <row r="115" spans="1:11" ht="14.25">
      <c r="A115" s="797"/>
      <c r="B115" s="797"/>
      <c r="D115" s="1917"/>
      <c r="E115" s="1917"/>
      <c r="F115" s="1917"/>
    </row>
    <row r="116" spans="1:11" ht="14.25">
      <c r="A116" s="797"/>
      <c r="B116" s="797"/>
      <c r="D116" s="1917"/>
      <c r="E116" s="1917"/>
      <c r="F116" s="1917"/>
    </row>
    <row r="117" spans="1:11" ht="14.25">
      <c r="A117" s="797"/>
      <c r="B117" s="797"/>
      <c r="D117" s="1917"/>
      <c r="E117" s="1917"/>
      <c r="F117" s="1917"/>
    </row>
    <row r="118" spans="1:11" ht="14.25">
      <c r="A118" s="797"/>
      <c r="B118" s="797"/>
      <c r="D118" s="1917"/>
      <c r="E118" s="1917"/>
      <c r="F118" s="1917"/>
    </row>
    <row r="119" spans="1:11" ht="14.25">
      <c r="A119" s="797"/>
      <c r="B119" s="797"/>
      <c r="D119" s="1917"/>
      <c r="E119" s="1917"/>
      <c r="F119" s="1917"/>
    </row>
    <row r="120" spans="1:11" ht="14.25">
      <c r="A120" s="797"/>
      <c r="B120" s="797"/>
      <c r="D120" s="1917"/>
      <c r="E120" s="1917"/>
      <c r="F120" s="1917"/>
    </row>
    <row r="121" spans="1:11" ht="14.25">
      <c r="A121" s="797"/>
      <c r="B121" s="797"/>
      <c r="D121" s="1917"/>
      <c r="E121" s="1917"/>
      <c r="F121" s="1917"/>
    </row>
    <row r="122" spans="1:11">
      <c r="C122" s="722"/>
      <c r="D122" s="905"/>
      <c r="E122" s="905"/>
      <c r="F122" s="905"/>
      <c r="G122" s="722"/>
      <c r="H122" s="722"/>
      <c r="I122" s="622"/>
      <c r="J122" s="722"/>
      <c r="K122" s="722"/>
    </row>
    <row r="123" spans="1:11" ht="14.25">
      <c r="A123" s="797"/>
      <c r="B123" s="798" t="s">
        <v>2678</v>
      </c>
      <c r="C123" s="722"/>
      <c r="D123" s="1917" t="s">
        <v>1262</v>
      </c>
      <c r="E123" s="1917"/>
      <c r="F123" s="1917"/>
      <c r="G123" s="722"/>
      <c r="H123" s="722"/>
      <c r="I123" s="622" t="s">
        <v>2428</v>
      </c>
      <c r="J123" s="722"/>
      <c r="K123" s="722"/>
    </row>
    <row r="124" spans="1:11" ht="14.25">
      <c r="A124" s="797"/>
      <c r="B124" s="797"/>
      <c r="C124" s="722"/>
      <c r="D124" s="1917"/>
      <c r="E124" s="1917"/>
      <c r="F124" s="1917"/>
      <c r="G124" s="722"/>
      <c r="H124" s="722"/>
      <c r="I124" s="622"/>
      <c r="J124" s="722"/>
      <c r="K124" s="722"/>
    </row>
    <row r="125" spans="1:11"/>
    <row r="126" spans="1:11" ht="14.25">
      <c r="A126" s="797"/>
      <c r="B126" s="798" t="s">
        <v>2678</v>
      </c>
      <c r="C126" s="804"/>
      <c r="D126" s="1919" t="s">
        <v>1263</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25">
      <c r="A132" s="797"/>
      <c r="B132" s="798" t="s">
        <v>2678</v>
      </c>
      <c r="C132" s="804"/>
      <c r="D132" s="1876" t="s">
        <v>1264</v>
      </c>
      <c r="E132" s="1876"/>
      <c r="F132" s="1876"/>
      <c r="G132" s="672"/>
      <c r="I132" s="622" t="s">
        <v>2429</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2666</v>
      </c>
      <c r="C145" s="804"/>
      <c r="D145" s="1961" t="s">
        <v>1372</v>
      </c>
      <c r="E145" s="1961"/>
      <c r="F145" s="1961"/>
      <c r="G145" s="672"/>
      <c r="I145" s="622" t="s">
        <v>2430</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1406</v>
      </c>
      <c r="E163" s="1982"/>
      <c r="F163" s="1982"/>
      <c r="G163" s="856"/>
      <c r="I163" s="622"/>
    </row>
    <row r="164" spans="1:9" s="722" customFormat="1" ht="13.7" customHeight="1">
      <c r="A164" s="788"/>
      <c r="B164" s="788"/>
      <c r="C164" s="804"/>
      <c r="D164" s="1981"/>
      <c r="E164" s="1981"/>
      <c r="F164" s="1981"/>
      <c r="G164" s="1981"/>
      <c r="I164" s="622"/>
    </row>
    <row r="165" spans="1:9" s="722" customFormat="1" ht="14.45" customHeight="1">
      <c r="A165" s="813"/>
      <c r="B165" s="798" t="s">
        <v>2678</v>
      </c>
      <c r="C165" s="814"/>
      <c r="D165" s="1918" t="s">
        <v>1434</v>
      </c>
      <c r="E165" s="1918"/>
      <c r="F165" s="1918"/>
      <c r="G165" s="815"/>
      <c r="I165" s="622" t="s">
        <v>2425</v>
      </c>
    </row>
    <row r="166" spans="1:9" s="722" customFormat="1" ht="14.4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2666</v>
      </c>
      <c r="C169" s="814"/>
      <c r="D169" s="1861" t="s">
        <v>1266</v>
      </c>
      <c r="E169" s="1861"/>
      <c r="F169" s="1861"/>
      <c r="G169" s="815"/>
      <c r="I169" s="622" t="s">
        <v>2431</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2666</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2408</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2666</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74" t="s">
        <v>2252</v>
      </c>
      <c r="F191" s="1974"/>
      <c r="G191" s="819"/>
    </row>
    <row r="192" spans="1:9">
      <c r="A192" s="817"/>
      <c r="B192" s="817"/>
      <c r="C192" s="818"/>
      <c r="D192" s="155"/>
      <c r="E192" s="155"/>
      <c r="F192" s="155"/>
      <c r="G192" s="819"/>
    </row>
    <row r="193" spans="1:9">
      <c r="A193" s="817"/>
      <c r="B193" s="798" t="s">
        <v>2666</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79" t="s">
        <v>2255</v>
      </c>
      <c r="F195" s="1979"/>
      <c r="G195" s="819"/>
    </row>
    <row r="196" spans="1:9">
      <c r="A196" s="817"/>
      <c r="B196" s="817"/>
      <c r="C196" s="818"/>
      <c r="D196" s="155"/>
      <c r="E196" s="155"/>
      <c r="F196" s="155"/>
      <c r="G196" s="819"/>
    </row>
    <row r="197" spans="1:9">
      <c r="A197" s="817"/>
      <c r="B197" s="798" t="s">
        <v>2666</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79" t="s">
        <v>2257</v>
      </c>
      <c r="F199" s="1979"/>
      <c r="G199" s="819"/>
    </row>
    <row r="200" spans="1:9">
      <c r="A200" s="817"/>
      <c r="B200" s="817"/>
      <c r="C200" s="818"/>
      <c r="D200" s="1713"/>
      <c r="E200" s="1713"/>
      <c r="F200" s="1713"/>
      <c r="G200" s="819"/>
    </row>
    <row r="201" spans="1:9" ht="14.25">
      <c r="A201" s="797"/>
      <c r="B201" s="798" t="s">
        <v>2666</v>
      </c>
      <c r="C201" s="818"/>
      <c r="D201" s="1919" t="s">
        <v>2258</v>
      </c>
      <c r="E201" s="1919"/>
      <c r="F201" s="1919"/>
      <c r="G201" s="819"/>
      <c r="I201" s="1774" t="s">
        <v>2484</v>
      </c>
    </row>
    <row r="202" spans="1:9" ht="14.25">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2666</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79" t="s">
        <v>2260</v>
      </c>
      <c r="F207" s="1979"/>
    </row>
    <row r="208" spans="1:9">
      <c r="A208" s="818"/>
      <c r="B208" s="818"/>
      <c r="C208" s="818"/>
      <c r="D208" s="779"/>
      <c r="E208" s="779"/>
      <c r="F208" s="779"/>
    </row>
    <row r="209" spans="1:9" s="618" customFormat="1" ht="14.25">
      <c r="A209" s="797"/>
      <c r="B209" s="798" t="s">
        <v>2678</v>
      </c>
      <c r="C209" s="806"/>
      <c r="D209" s="1919" t="s">
        <v>1425</v>
      </c>
      <c r="E209" s="1919"/>
      <c r="F209" s="1919"/>
      <c r="G209" s="693"/>
      <c r="I209" s="642"/>
    </row>
    <row r="210" spans="1:9" s="618" customFormat="1" ht="14.45" customHeight="1">
      <c r="A210" s="797"/>
      <c r="C210" s="806"/>
      <c r="D210" s="1919"/>
      <c r="E210" s="1919"/>
      <c r="F210" s="1919"/>
      <c r="G210" s="693"/>
      <c r="I210" s="642"/>
    </row>
    <row r="211" spans="1:9" s="618" customFormat="1" ht="14.25">
      <c r="A211" s="797"/>
      <c r="B211" s="818"/>
      <c r="C211" s="806"/>
      <c r="D211" s="1919"/>
      <c r="E211" s="1919"/>
      <c r="F211" s="1919"/>
      <c r="G211" s="693"/>
      <c r="I211" s="642"/>
    </row>
    <row r="212" spans="1:9" s="618" customFormat="1" ht="14.25">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78" t="s">
        <v>213</v>
      </c>
      <c r="E216" s="1978"/>
      <c r="F216" s="1978"/>
    </row>
    <row r="217" spans="1:9">
      <c r="A217" s="793"/>
      <c r="B217" s="793"/>
      <c r="C217" s="793"/>
      <c r="D217" s="1958" t="s">
        <v>1292</v>
      </c>
      <c r="E217" s="1958"/>
      <c r="F217" s="1958"/>
    </row>
    <row r="218" spans="1:9" ht="12" customHeight="1">
      <c r="A218" s="816"/>
      <c r="B218" s="816"/>
      <c r="C218" s="816"/>
    </row>
    <row r="219" spans="1:9" ht="13.7" customHeight="1">
      <c r="A219" s="816"/>
      <c r="C219" s="816"/>
      <c r="D219" s="1874" t="s">
        <v>578</v>
      </c>
      <c r="E219" s="1874"/>
      <c r="F219" s="1874"/>
      <c r="I219" s="1774" t="s">
        <v>2433</v>
      </c>
    </row>
    <row r="220" spans="1:9" ht="14.25">
      <c r="A220" s="797"/>
      <c r="B220" s="798" t="s">
        <v>2678</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ht="14.25">
      <c r="A223" s="797"/>
      <c r="B223" s="797"/>
      <c r="D223" s="1919"/>
      <c r="E223" s="1919"/>
      <c r="F223" s="1919"/>
    </row>
    <row r="224" spans="1:9" ht="14.25">
      <c r="A224" s="797"/>
      <c r="B224" s="797"/>
      <c r="D224" s="1712"/>
      <c r="E224" s="1712"/>
      <c r="F224" s="1712"/>
    </row>
    <row r="225" spans="1:9" ht="14.25">
      <c r="A225" s="797"/>
      <c r="B225" s="798" t="s">
        <v>2678</v>
      </c>
      <c r="D225" s="1919" t="s">
        <v>2262</v>
      </c>
      <c r="E225" s="1919"/>
      <c r="F225" s="1919"/>
      <c r="I225" s="1774" t="s">
        <v>2434</v>
      </c>
    </row>
    <row r="226" spans="1:9" ht="14.25">
      <c r="A226" s="797"/>
      <c r="B226" s="797"/>
      <c r="D226" s="1919"/>
      <c r="E226" s="1919"/>
      <c r="F226" s="1919"/>
    </row>
    <row r="227" spans="1:9" ht="14.25">
      <c r="A227" s="797"/>
      <c r="B227" s="797"/>
      <c r="D227" s="1919"/>
      <c r="E227" s="1919"/>
      <c r="F227" s="1919"/>
    </row>
    <row r="228" spans="1:9" ht="14.25">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25">
      <c r="A231" s="797"/>
      <c r="B231" s="797"/>
      <c r="D231" s="1919" t="s">
        <v>1288</v>
      </c>
      <c r="E231" s="1919"/>
      <c r="F231" s="1919"/>
      <c r="I231" s="1774" t="s">
        <v>2433</v>
      </c>
    </row>
    <row r="232" spans="1:9" ht="14.25">
      <c r="A232" s="797"/>
      <c r="B232" s="797"/>
      <c r="D232" s="1919"/>
      <c r="E232" s="1919"/>
      <c r="F232" s="1919"/>
    </row>
    <row r="233" spans="1:9" ht="14.25">
      <c r="A233" s="797"/>
      <c r="B233" s="797"/>
      <c r="D233" s="1919"/>
      <c r="E233" s="1919"/>
      <c r="F233" s="1919"/>
    </row>
    <row r="234" spans="1:9" ht="14.25">
      <c r="A234" s="797"/>
      <c r="B234" s="797"/>
      <c r="D234" s="1919"/>
      <c r="E234" s="1919"/>
      <c r="F234" s="1919"/>
    </row>
    <row r="235" spans="1:9" ht="14.25">
      <c r="A235" s="797"/>
      <c r="B235" s="797"/>
      <c r="D235" s="1919"/>
      <c r="E235" s="1919"/>
      <c r="F235" s="1919"/>
    </row>
    <row r="236" spans="1:9" ht="14.25">
      <c r="A236" s="797"/>
      <c r="B236" s="797"/>
      <c r="D236" s="800"/>
      <c r="E236" s="800"/>
      <c r="F236" s="800"/>
    </row>
    <row r="237" spans="1:9" ht="14.25">
      <c r="A237" s="797"/>
      <c r="B237" s="798" t="s">
        <v>2666</v>
      </c>
      <c r="D237" s="1955" t="s">
        <v>2266</v>
      </c>
      <c r="E237" s="1955"/>
      <c r="F237" s="1955"/>
      <c r="I237" s="1774" t="s">
        <v>2472</v>
      </c>
    </row>
    <row r="238" spans="1:9" ht="14.25">
      <c r="A238" s="797"/>
      <c r="B238" s="797"/>
      <c r="D238" s="1955"/>
      <c r="E238" s="1955"/>
      <c r="F238" s="1955"/>
    </row>
    <row r="239" spans="1:9" ht="14.25">
      <c r="A239" s="797"/>
      <c r="B239" s="797"/>
      <c r="D239" s="1955"/>
      <c r="E239" s="1955"/>
      <c r="F239" s="1955"/>
    </row>
    <row r="240" spans="1:9" ht="14.25">
      <c r="A240" s="797"/>
      <c r="B240" s="797"/>
      <c r="D240" s="1956" t="s">
        <v>962</v>
      </c>
      <c r="E240" s="1956"/>
      <c r="F240" s="1956"/>
    </row>
    <row r="241" spans="1:9" ht="14.25">
      <c r="A241" s="797"/>
      <c r="B241" s="797"/>
      <c r="D241" s="800"/>
      <c r="E241" s="800"/>
      <c r="F241" s="800"/>
    </row>
    <row r="242" spans="1:9" ht="14.45" customHeight="1">
      <c r="A242" s="797"/>
      <c r="B242" s="798" t="s">
        <v>2666</v>
      </c>
      <c r="D242" s="1955" t="s">
        <v>1291</v>
      </c>
      <c r="E242" s="1955"/>
      <c r="F242" s="1955"/>
      <c r="I242" s="1774" t="s">
        <v>2492</v>
      </c>
    </row>
    <row r="243" spans="1:9" ht="14.25">
      <c r="A243" s="797"/>
      <c r="B243" s="797"/>
      <c r="D243" s="1955"/>
      <c r="E243" s="1955"/>
      <c r="F243" s="1955"/>
    </row>
    <row r="244" spans="1:9" ht="14.25">
      <c r="A244" s="797"/>
      <c r="B244" s="797"/>
      <c r="D244" s="1955"/>
      <c r="E244" s="1955"/>
      <c r="F244" s="1955"/>
    </row>
    <row r="245" spans="1:9" ht="14.25">
      <c r="A245" s="797"/>
      <c r="B245" s="797"/>
      <c r="D245" s="1955"/>
      <c r="E245" s="1955"/>
      <c r="F245" s="1955"/>
    </row>
    <row r="246" spans="1:9" ht="14.25">
      <c r="A246" s="797"/>
      <c r="B246" s="797"/>
      <c r="D246" s="1955"/>
      <c r="E246" s="1955"/>
      <c r="F246" s="1955"/>
    </row>
    <row r="247" spans="1:9" ht="14.25">
      <c r="A247" s="797"/>
      <c r="B247" s="797"/>
      <c r="D247" s="1724"/>
      <c r="E247" s="1724"/>
      <c r="F247" s="1724"/>
    </row>
    <row r="248" spans="1:9" ht="14.25">
      <c r="A248" s="797"/>
      <c r="B248" s="798" t="s">
        <v>2678</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2678</v>
      </c>
      <c r="D251" s="1919" t="s">
        <v>1290</v>
      </c>
      <c r="E251" s="1919"/>
      <c r="F251" s="1919"/>
    </row>
    <row r="252" spans="1:9" ht="14.25">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274</v>
      </c>
      <c r="E258" s="1874"/>
      <c r="F258" s="1874"/>
      <c r="I258" s="1774" t="s">
        <v>2473</v>
      </c>
    </row>
    <row r="259" spans="1:9" ht="14.45" customHeight="1">
      <c r="A259" s="797"/>
      <c r="B259" s="798" t="s">
        <v>2678</v>
      </c>
      <c r="D259" s="1987" t="s">
        <v>1400</v>
      </c>
      <c r="E259" s="1987"/>
      <c r="F259" s="1987"/>
    </row>
    <row r="260" spans="1:9">
      <c r="D260" s="1987"/>
      <c r="E260" s="1987"/>
      <c r="F260" s="1987"/>
    </row>
    <row r="261" spans="1:9">
      <c r="D261" s="1958" t="s">
        <v>953</v>
      </c>
      <c r="E261" s="1958"/>
      <c r="F261" s="1958"/>
    </row>
    <row r="262" spans="1:9">
      <c r="D262" s="800"/>
      <c r="E262" s="800"/>
      <c r="F262" s="800"/>
    </row>
    <row r="263" spans="1:9" ht="14.45" customHeight="1">
      <c r="A263" s="797"/>
      <c r="B263" s="798" t="s">
        <v>2666</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25">
      <c r="A270" s="797"/>
      <c r="B270" s="798" t="s">
        <v>2666</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1299</v>
      </c>
      <c r="E280" s="1967"/>
      <c r="F280" s="1967"/>
    </row>
    <row r="281" spans="1:9">
      <c r="E281" s="800"/>
      <c r="F281" s="800"/>
    </row>
    <row r="282" spans="1:9" ht="14.25">
      <c r="A282" s="797"/>
      <c r="B282" s="798" t="s">
        <v>2666</v>
      </c>
      <c r="D282" s="1919" t="s">
        <v>1300</v>
      </c>
      <c r="E282" s="1919"/>
      <c r="F282" s="1919"/>
      <c r="I282" s="1774" t="s">
        <v>2435</v>
      </c>
    </row>
    <row r="283" spans="1:9" ht="14.25">
      <c r="A283" s="797"/>
      <c r="B283" s="797"/>
      <c r="D283" s="1919"/>
      <c r="E283" s="1919"/>
      <c r="F283" s="1919"/>
    </row>
    <row r="284" spans="1:9">
      <c r="D284" s="800"/>
      <c r="E284" s="800"/>
      <c r="F284" s="800"/>
    </row>
    <row r="285" spans="1:9" ht="14.25">
      <c r="A285" s="797"/>
      <c r="B285" s="798" t="s">
        <v>2666</v>
      </c>
      <c r="D285" s="1955" t="s">
        <v>1301</v>
      </c>
      <c r="E285" s="1955"/>
      <c r="F285" s="1955"/>
      <c r="I285" s="1774" t="s">
        <v>2435</v>
      </c>
    </row>
    <row r="286" spans="1:9" ht="14.25">
      <c r="A286" s="797"/>
      <c r="B286" s="797"/>
      <c r="D286" s="1955"/>
      <c r="E286" s="1955"/>
      <c r="F286" s="1955"/>
    </row>
    <row r="287" spans="1:9" ht="14.25">
      <c r="A287" s="797"/>
      <c r="B287" s="797"/>
      <c r="D287" s="1955"/>
      <c r="E287" s="1955"/>
      <c r="F287" s="1955"/>
    </row>
    <row r="288" spans="1:9">
      <c r="D288" s="800"/>
      <c r="E288" s="800"/>
      <c r="F288" s="800"/>
    </row>
    <row r="289" spans="1:9" ht="14.25">
      <c r="A289" s="797"/>
      <c r="B289" s="798" t="s">
        <v>2666</v>
      </c>
      <c r="D289" s="1919" t="s">
        <v>1302</v>
      </c>
      <c r="E289" s="1919"/>
      <c r="F289" s="1919"/>
      <c r="I289" s="1774" t="s">
        <v>2435</v>
      </c>
    </row>
    <row r="290" spans="1:9" ht="14.25">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1303</v>
      </c>
      <c r="E295" s="1924"/>
      <c r="F295" s="1924"/>
    </row>
    <row r="296" spans="1:9">
      <c r="C296" s="816"/>
      <c r="D296" s="823"/>
    </row>
    <row r="297" spans="1:9">
      <c r="A297" s="801"/>
      <c r="B297" s="798" t="s">
        <v>2666</v>
      </c>
      <c r="D297" s="1924" t="s">
        <v>1304</v>
      </c>
      <c r="E297" s="1924"/>
      <c r="F297" s="1924"/>
      <c r="I297" s="1774" t="s">
        <v>2436</v>
      </c>
    </row>
    <row r="298" spans="1:9" s="791" customFormat="1" ht="14.25">
      <c r="A298" s="805"/>
      <c r="B298" s="805"/>
      <c r="C298" s="801"/>
      <c r="D298" s="824"/>
      <c r="E298" s="825"/>
      <c r="F298" s="825"/>
      <c r="G298" s="802"/>
      <c r="I298" s="1837"/>
    </row>
    <row r="299" spans="1:9" s="791" customFormat="1" ht="13.7" customHeight="1">
      <c r="A299" s="801"/>
      <c r="B299" s="798" t="s">
        <v>2666</v>
      </c>
      <c r="C299" s="801"/>
      <c r="D299" s="1962" t="s">
        <v>1429</v>
      </c>
      <c r="E299" s="1962"/>
      <c r="F299" s="1962"/>
      <c r="G299" s="802"/>
      <c r="I299" s="1837" t="s">
        <v>2436</v>
      </c>
    </row>
    <row r="300" spans="1:9" s="791" customFormat="1" ht="14.25">
      <c r="A300" s="805"/>
      <c r="B300" s="805"/>
      <c r="C300" s="801"/>
      <c r="D300" s="1962"/>
      <c r="E300" s="1962"/>
      <c r="F300" s="1962"/>
      <c r="G300" s="802"/>
      <c r="I300" s="1837"/>
    </row>
    <row r="301" spans="1:9" s="791" customFormat="1" ht="14.25">
      <c r="A301" s="805"/>
      <c r="B301" s="805"/>
      <c r="C301" s="801"/>
      <c r="D301" s="1962"/>
      <c r="E301" s="1962"/>
      <c r="F301" s="1962"/>
      <c r="G301" s="802"/>
      <c r="I301" s="1837"/>
    </row>
    <row r="302" spans="1:9" s="791" customFormat="1" ht="14.25">
      <c r="A302" s="805"/>
      <c r="B302" s="805"/>
      <c r="C302" s="801"/>
      <c r="D302" s="1962"/>
      <c r="E302" s="1962"/>
      <c r="F302" s="1962"/>
      <c r="G302" s="802"/>
      <c r="I302" s="1837"/>
    </row>
    <row r="303" spans="1:9" s="791" customFormat="1" ht="14.25">
      <c r="A303" s="805"/>
      <c r="B303" s="805"/>
      <c r="C303" s="801"/>
      <c r="D303" s="1962"/>
      <c r="E303" s="1962"/>
      <c r="F303" s="1962"/>
      <c r="G303" s="802"/>
      <c r="I303" s="1837"/>
    </row>
    <row r="304" spans="1:9" s="791" customFormat="1" ht="14.25">
      <c r="A304" s="805"/>
      <c r="B304" s="805"/>
      <c r="C304" s="801"/>
      <c r="D304" s="824"/>
      <c r="E304" s="825"/>
      <c r="F304" s="825"/>
      <c r="G304" s="802"/>
      <c r="I304" s="1837"/>
    </row>
    <row r="305" spans="1:9" s="791" customFormat="1" ht="13.7" customHeight="1">
      <c r="A305" s="801"/>
      <c r="B305" s="798" t="s">
        <v>2666</v>
      </c>
      <c r="C305" s="801"/>
      <c r="D305" s="1962" t="s">
        <v>1306</v>
      </c>
      <c r="E305" s="1962"/>
      <c r="F305" s="1962"/>
      <c r="G305" s="802"/>
      <c r="I305" s="1837" t="s">
        <v>2436</v>
      </c>
    </row>
    <row r="306" spans="1:9" s="791" customFormat="1">
      <c r="A306" s="801"/>
      <c r="B306" s="801"/>
      <c r="C306" s="801"/>
      <c r="D306" s="1962"/>
      <c r="E306" s="1962"/>
      <c r="F306" s="1962"/>
      <c r="G306" s="802"/>
      <c r="I306" s="1837"/>
    </row>
    <row r="307" spans="1:9" s="791" customFormat="1" ht="14.25">
      <c r="A307" s="805"/>
      <c r="B307" s="805"/>
      <c r="C307" s="801"/>
      <c r="D307" s="824"/>
      <c r="E307" s="825"/>
      <c r="F307" s="825"/>
      <c r="G307" s="802"/>
      <c r="I307" s="1837"/>
    </row>
    <row r="308" spans="1:9">
      <c r="A308" s="801"/>
      <c r="B308" s="798" t="s">
        <v>2666</v>
      </c>
      <c r="D308" s="1924" t="s">
        <v>1307</v>
      </c>
      <c r="E308" s="1924"/>
      <c r="F308" s="1924"/>
      <c r="I308" s="1774" t="s">
        <v>2422</v>
      </c>
    </row>
    <row r="309" spans="1:9">
      <c r="E309" s="800"/>
      <c r="F309" s="800"/>
    </row>
    <row r="310" spans="1:9" ht="14.25">
      <c r="A310" s="797"/>
      <c r="B310" s="798" t="s">
        <v>2666</v>
      </c>
      <c r="D310" s="1955" t="s">
        <v>1456</v>
      </c>
      <c r="E310" s="1955"/>
      <c r="F310" s="1955"/>
      <c r="I310" s="1774" t="s">
        <v>2437</v>
      </c>
    </row>
    <row r="311" spans="1:9" ht="14.25">
      <c r="A311" s="797"/>
      <c r="B311" s="797"/>
      <c r="D311" s="1955"/>
      <c r="E311" s="1955"/>
      <c r="F311" s="1955"/>
    </row>
    <row r="312" spans="1:9" ht="14.25">
      <c r="A312" s="797"/>
      <c r="B312" s="797"/>
      <c r="D312" s="1955"/>
      <c r="E312" s="1955"/>
      <c r="F312" s="1955"/>
    </row>
    <row r="313" spans="1:9" ht="14.25">
      <c r="A313" s="797"/>
      <c r="B313" s="797"/>
      <c r="D313" s="1955"/>
      <c r="E313" s="1955"/>
      <c r="F313" s="1955"/>
    </row>
    <row r="314" spans="1:9" ht="14.25">
      <c r="A314" s="797"/>
      <c r="B314" s="797"/>
      <c r="D314" s="1955"/>
      <c r="E314" s="1955"/>
      <c r="F314" s="1955"/>
    </row>
    <row r="315" spans="1:9" ht="14.25">
      <c r="A315" s="797"/>
      <c r="B315" s="797"/>
      <c r="D315" s="1955"/>
      <c r="E315" s="1955"/>
      <c r="F315" s="1955"/>
    </row>
    <row r="316" spans="1:9" ht="14.25">
      <c r="A316" s="797"/>
      <c r="B316" s="797"/>
      <c r="D316" s="1955"/>
      <c r="E316" s="1955"/>
      <c r="F316" s="1955"/>
    </row>
    <row r="317" spans="1:9" ht="14.25">
      <c r="A317" s="797"/>
      <c r="B317" s="797"/>
      <c r="D317" s="1955"/>
      <c r="E317" s="1955"/>
      <c r="F317" s="1955"/>
    </row>
    <row r="318" spans="1:9" ht="14.25">
      <c r="A318" s="797"/>
      <c r="B318" s="797"/>
      <c r="D318" s="1955"/>
      <c r="E318" s="1955"/>
      <c r="F318" s="1955"/>
    </row>
    <row r="319" spans="1:9" ht="14.25">
      <c r="A319" s="797"/>
      <c r="B319" s="797"/>
      <c r="D319" s="1955"/>
      <c r="E319" s="1955"/>
      <c r="F319" s="1955"/>
    </row>
    <row r="320" spans="1:9" ht="14.25">
      <c r="A320" s="797"/>
      <c r="B320" s="797"/>
      <c r="D320" s="1955"/>
      <c r="E320" s="1955"/>
      <c r="F320" s="1955"/>
    </row>
    <row r="321" spans="1:9" ht="14.25">
      <c r="A321" s="797"/>
      <c r="B321" s="797"/>
      <c r="D321" s="1955"/>
      <c r="E321" s="1955"/>
      <c r="F321" s="1955"/>
    </row>
    <row r="322" spans="1:9" ht="14.25">
      <c r="A322" s="797"/>
      <c r="B322" s="797"/>
      <c r="D322" s="1955"/>
      <c r="E322" s="1955"/>
      <c r="F322" s="1955"/>
    </row>
    <row r="323" spans="1:9" ht="14.25">
      <c r="A323" s="797"/>
      <c r="B323" s="797"/>
      <c r="D323" s="1955"/>
      <c r="E323" s="1955"/>
      <c r="F323" s="1955"/>
    </row>
    <row r="324" spans="1:9" ht="14.25">
      <c r="A324" s="797"/>
      <c r="B324" s="797"/>
      <c r="D324" s="1955"/>
      <c r="E324" s="1955"/>
      <c r="F324" s="1955"/>
    </row>
    <row r="325" spans="1:9">
      <c r="D325" s="800"/>
      <c r="E325" s="800"/>
      <c r="F325" s="800"/>
    </row>
    <row r="326" spans="1:9" ht="14.25">
      <c r="A326" s="797"/>
      <c r="B326" s="798" t="s">
        <v>2666</v>
      </c>
      <c r="D326" s="1955" t="s">
        <v>1309</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25">
      <c r="A336" s="797"/>
      <c r="B336" s="798" t="s">
        <v>2666</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5" thickBot="1">
      <c r="A343" s="1828"/>
      <c r="B343" s="1828"/>
      <c r="C343" s="1828"/>
      <c r="D343" s="1986" t="s">
        <v>1059</v>
      </c>
      <c r="E343" s="1986"/>
      <c r="F343" s="1986"/>
      <c r="G343" s="1851"/>
      <c r="H343" s="1851"/>
      <c r="I343" s="1852"/>
    </row>
    <row r="344" spans="1:9" ht="13.5"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2666</v>
      </c>
      <c r="C347" s="829"/>
      <c r="D347" s="1924" t="s">
        <v>1320</v>
      </c>
      <c r="E347" s="1924"/>
      <c r="F347" s="1924"/>
      <c r="I347" s="1952" t="s">
        <v>2489</v>
      </c>
    </row>
    <row r="348" spans="1:9" ht="12.75"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25">
      <c r="A352" s="797"/>
      <c r="B352" s="798" t="s">
        <v>2666</v>
      </c>
      <c r="C352" s="814"/>
      <c r="D352" s="1931" t="s">
        <v>1312</v>
      </c>
      <c r="E352" s="1931"/>
      <c r="F352" s="1931"/>
      <c r="G352" s="790"/>
      <c r="I352" s="619"/>
    </row>
    <row r="353" spans="1:9">
      <c r="A353" s="814"/>
      <c r="B353" s="814"/>
      <c r="C353" s="814"/>
      <c r="D353" s="786"/>
      <c r="E353" s="786"/>
      <c r="F353" s="800"/>
      <c r="G353" s="790"/>
    </row>
    <row r="354" spans="1:9">
      <c r="A354" s="814"/>
      <c r="B354" s="798" t="s">
        <v>2666</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2666</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2666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2666</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2666</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5" customHeight="1">
      <c r="A415" s="797"/>
      <c r="B415" s="798" t="s">
        <v>2666</v>
      </c>
      <c r="D415" s="1927" t="s">
        <v>2475</v>
      </c>
      <c r="E415" s="1927"/>
      <c r="F415" s="1927"/>
    </row>
    <row r="416" spans="1:7" ht="14.45" customHeight="1">
      <c r="A416" s="797"/>
      <c r="D416" s="1927"/>
      <c r="E416" s="1927"/>
      <c r="F416" s="1927"/>
    </row>
    <row r="417" spans="1:7" ht="14.45" customHeight="1">
      <c r="A417" s="797"/>
      <c r="D417" s="1927"/>
      <c r="E417" s="1927"/>
      <c r="F417" s="1927"/>
    </row>
    <row r="418" spans="1:7" ht="14.45" customHeight="1">
      <c r="A418" s="797"/>
      <c r="D418" s="1927"/>
      <c r="E418" s="1927"/>
      <c r="F418" s="1927"/>
    </row>
    <row r="419" spans="1:7" ht="14.45" customHeight="1">
      <c r="A419" s="797"/>
      <c r="D419" s="1927"/>
      <c r="E419" s="1927"/>
      <c r="F419" s="1927"/>
    </row>
    <row r="420" spans="1:7" ht="14.45" customHeight="1">
      <c r="A420" s="797"/>
      <c r="D420" s="878"/>
      <c r="E420" s="878"/>
      <c r="F420" s="878"/>
    </row>
    <row r="421" spans="1:7" ht="13.7" customHeight="1">
      <c r="A421" s="797"/>
      <c r="B421" s="798" t="s">
        <v>315</v>
      </c>
      <c r="C421" s="814"/>
      <c r="D421" s="1915" t="s">
        <v>1457</v>
      </c>
      <c r="E421" s="1915"/>
      <c r="F421" s="1915"/>
      <c r="G421" s="790"/>
    </row>
    <row r="422" spans="1:7" ht="14.25">
      <c r="A422" s="828"/>
      <c r="B422" s="828"/>
      <c r="C422" s="814"/>
      <c r="D422" s="1915"/>
      <c r="E422" s="1915"/>
      <c r="F422" s="1915"/>
      <c r="G422" s="790"/>
    </row>
    <row r="423" spans="1:7" ht="14.25">
      <c r="A423" s="828"/>
      <c r="B423" s="828"/>
      <c r="C423" s="814"/>
      <c r="D423" s="1915"/>
      <c r="E423" s="1915"/>
      <c r="F423" s="1915"/>
      <c r="G423" s="790"/>
    </row>
    <row r="424" spans="1:7" ht="14.25">
      <c r="A424" s="828"/>
      <c r="B424" s="828"/>
      <c r="C424" s="814"/>
      <c r="D424" s="1915"/>
      <c r="E424" s="1915"/>
      <c r="F424" s="1915"/>
      <c r="G424" s="790"/>
    </row>
    <row r="425" spans="1:7" ht="15.75" customHeight="1">
      <c r="A425" s="828"/>
      <c r="B425" s="828"/>
      <c r="C425" s="814"/>
      <c r="D425" s="1965" t="s">
        <v>1507</v>
      </c>
      <c r="E425" s="1915"/>
      <c r="F425" s="1915"/>
      <c r="G425" s="790"/>
    </row>
    <row r="426" spans="1:7">
      <c r="D426" s="800"/>
      <c r="E426" s="800"/>
      <c r="F426" s="800"/>
      <c r="G426" s="790"/>
    </row>
    <row r="427" spans="1:7" ht="14.25">
      <c r="A427" s="797"/>
      <c r="B427" s="798" t="s">
        <v>2666</v>
      </c>
      <c r="C427" s="829"/>
      <c r="D427" s="1919" t="s">
        <v>1319</v>
      </c>
      <c r="E427" s="1919"/>
      <c r="F427" s="1919"/>
      <c r="G427" s="790"/>
    </row>
    <row r="428" spans="1:7" ht="14.25">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25">
      <c r="A459" s="797"/>
      <c r="B459" s="798" t="s">
        <v>2666</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25">
      <c r="B463" s="798" t="s">
        <v>2666</v>
      </c>
      <c r="C463" s="797"/>
      <c r="D463" s="1955" t="s">
        <v>1401</v>
      </c>
      <c r="E463" s="1955"/>
      <c r="F463" s="1955"/>
      <c r="G463" s="790"/>
    </row>
    <row r="464" spans="1:9">
      <c r="D464" s="1955"/>
      <c r="E464" s="1955"/>
      <c r="F464" s="1955"/>
      <c r="G464" s="790"/>
    </row>
    <row r="465" spans="1:7">
      <c r="D465" s="800"/>
      <c r="E465" s="800"/>
      <c r="F465" s="800"/>
      <c r="G465" s="790"/>
    </row>
    <row r="466" spans="1:7" ht="14.25">
      <c r="B466" s="798" t="s">
        <v>2666</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2666</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2666</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2666</v>
      </c>
      <c r="C478" s="790"/>
      <c r="D478" s="1955"/>
      <c r="E478" s="1955"/>
      <c r="F478" s="1955"/>
      <c r="G478" s="790"/>
    </row>
    <row r="479" spans="1:7">
      <c r="A479" s="790"/>
      <c r="C479" s="790"/>
      <c r="D479" s="1955"/>
      <c r="E479" s="1955"/>
      <c r="F479" s="1955"/>
      <c r="G479" s="790"/>
    </row>
    <row r="480" spans="1:7">
      <c r="A480" s="790"/>
      <c r="B480" s="798" t="s">
        <v>2666</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2666</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25">
      <c r="A491" s="805"/>
      <c r="B491" s="805"/>
      <c r="C491" s="801"/>
      <c r="D491" s="1936" t="s">
        <v>1327</v>
      </c>
      <c r="E491" s="1936"/>
      <c r="F491" s="1936"/>
      <c r="G491" s="802"/>
      <c r="I491" s="1837"/>
    </row>
    <row r="492" spans="1:9" s="791" customFormat="1" ht="14.25">
      <c r="A492" s="805"/>
      <c r="B492" s="805"/>
      <c r="C492" s="801"/>
      <c r="D492" s="787"/>
      <c r="E492" s="672"/>
      <c r="F492" s="672"/>
      <c r="G492" s="802"/>
      <c r="I492" s="1837"/>
    </row>
    <row r="493" spans="1:9" s="791" customFormat="1" ht="14.25">
      <c r="A493" s="797"/>
      <c r="B493" s="798" t="s">
        <v>2666</v>
      </c>
      <c r="C493" s="801"/>
      <c r="D493" s="1937" t="s">
        <v>1328</v>
      </c>
      <c r="E493" s="1937"/>
      <c r="F493" s="1937"/>
      <c r="G493" s="802"/>
      <c r="I493" s="1837" t="s">
        <v>2439</v>
      </c>
    </row>
    <row r="494" spans="1:9" s="791" customFormat="1" ht="14.25">
      <c r="A494" s="797"/>
      <c r="B494" s="797"/>
      <c r="C494" s="801"/>
      <c r="D494" s="1937"/>
      <c r="E494" s="1937"/>
      <c r="F494" s="1937"/>
      <c r="G494" s="802"/>
      <c r="I494" s="1837"/>
    </row>
    <row r="495" spans="1:9" s="791" customFormat="1" ht="14.25">
      <c r="A495" s="797"/>
      <c r="B495" s="797"/>
      <c r="C495" s="801"/>
      <c r="D495" s="785"/>
      <c r="E495" s="672"/>
      <c r="F495" s="672"/>
      <c r="G495" s="802"/>
      <c r="I495" s="1837"/>
    </row>
    <row r="496" spans="1:9" ht="12.75" customHeight="1">
      <c r="B496" s="798" t="s">
        <v>2666</v>
      </c>
      <c r="D496" s="1907" t="s">
        <v>1508</v>
      </c>
      <c r="E496" s="1907"/>
      <c r="F496" s="1907"/>
      <c r="I496" s="1774" t="s">
        <v>2440</v>
      </c>
    </row>
    <row r="497" spans="1:9" ht="14.25">
      <c r="A497" s="797"/>
      <c r="D497" s="1907"/>
      <c r="E497" s="1907"/>
      <c r="F497" s="1907"/>
    </row>
    <row r="498" spans="1:9" ht="14.25">
      <c r="A498" s="797"/>
      <c r="B498" s="797"/>
      <c r="D498" s="1907"/>
      <c r="E498" s="1907"/>
      <c r="F498" s="1907"/>
    </row>
    <row r="499" spans="1:9" ht="14.25">
      <c r="A499" s="797"/>
      <c r="B499" s="797"/>
      <c r="D499" s="1907"/>
      <c r="E499" s="1907"/>
      <c r="F499" s="1907"/>
    </row>
    <row r="500" spans="1:9" ht="14.25">
      <c r="A500" s="797"/>
      <c r="D500" s="893"/>
      <c r="E500" s="893"/>
      <c r="F500" s="893"/>
      <c r="G500" s="790"/>
    </row>
    <row r="501" spans="1:9" ht="14.25">
      <c r="A501" s="797"/>
      <c r="B501" s="798" t="s">
        <v>2666</v>
      </c>
      <c r="D501" s="1924" t="s">
        <v>1331</v>
      </c>
      <c r="E501" s="1924"/>
      <c r="F501" s="1924"/>
      <c r="G501" s="790"/>
      <c r="I501" s="1774" t="s">
        <v>2441</v>
      </c>
    </row>
    <row r="502" spans="1:9" ht="14.25">
      <c r="A502" s="797"/>
      <c r="B502" s="797"/>
      <c r="D502" s="785"/>
      <c r="E502" s="672"/>
      <c r="F502" s="672"/>
      <c r="G502" s="790"/>
    </row>
    <row r="503" spans="1:9" ht="14.25">
      <c r="A503" s="797"/>
      <c r="B503" s="798" t="s">
        <v>2666</v>
      </c>
      <c r="D503" s="1919" t="s">
        <v>1332</v>
      </c>
      <c r="E503" s="1919"/>
      <c r="F503" s="1919"/>
      <c r="G503" s="790"/>
      <c r="I503" s="1774" t="s">
        <v>2441</v>
      </c>
    </row>
    <row r="504" spans="1:9" ht="14.25">
      <c r="A504" s="797"/>
      <c r="D504" s="1919"/>
      <c r="E504" s="1919"/>
      <c r="F504" s="1919"/>
      <c r="G504" s="790"/>
    </row>
    <row r="505" spans="1:9">
      <c r="A505" s="816"/>
      <c r="B505" s="816"/>
      <c r="D505" s="733"/>
      <c r="E505" s="672"/>
      <c r="F505" s="672"/>
      <c r="G505" s="790"/>
    </row>
    <row r="506" spans="1:9">
      <c r="A506" s="816"/>
      <c r="B506" s="798" t="s">
        <v>2666</v>
      </c>
      <c r="D506" s="1924" t="s">
        <v>1333</v>
      </c>
      <c r="E506" s="1924"/>
      <c r="F506" s="1924"/>
      <c r="G506" s="790"/>
      <c r="I506" s="1774" t="s">
        <v>2496</v>
      </c>
    </row>
    <row r="507" spans="1:9" ht="14.25">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2678</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2666</v>
      </c>
      <c r="C517" s="804"/>
      <c r="D517" s="1918" t="s">
        <v>1206</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15" customHeight="1">
      <c r="A521" s="795"/>
      <c r="B521" s="798" t="s">
        <v>2678</v>
      </c>
      <c r="C521" s="799"/>
      <c r="D521" s="1964" t="s">
        <v>1232</v>
      </c>
      <c r="E521" s="1964"/>
      <c r="F521" s="1964"/>
      <c r="G521" s="672"/>
      <c r="I521" s="622" t="s">
        <v>2442</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1227</v>
      </c>
      <c r="E531" s="1924"/>
      <c r="F531" s="1924"/>
    </row>
    <row r="532" spans="1:9">
      <c r="C532" s="829"/>
      <c r="D532" s="785"/>
      <c r="E532" s="785"/>
      <c r="F532" s="785"/>
    </row>
    <row r="533" spans="1:9" ht="13.7" customHeight="1">
      <c r="A533" s="797"/>
      <c r="B533" s="798" t="s">
        <v>2678</v>
      </c>
      <c r="C533" s="829"/>
      <c r="D533" s="1924" t="s">
        <v>948</v>
      </c>
      <c r="E533" s="1924"/>
      <c r="F533" s="1924"/>
      <c r="G533" s="790"/>
      <c r="I533" s="1774" t="s">
        <v>2494</v>
      </c>
    </row>
    <row r="534" spans="1:9" ht="13.7" customHeight="1">
      <c r="A534" s="829"/>
      <c r="B534" s="829"/>
      <c r="C534" s="829"/>
      <c r="D534" s="785"/>
      <c r="E534" s="618"/>
      <c r="F534" s="618"/>
      <c r="G534" s="790"/>
    </row>
    <row r="535" spans="1:9" ht="14.25">
      <c r="A535" s="797"/>
      <c r="B535" s="798" t="s">
        <v>2678</v>
      </c>
      <c r="C535" s="829"/>
      <c r="D535" s="1919" t="s">
        <v>1228</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ht="14.25">
      <c r="A538" s="797"/>
      <c r="B538" s="798" t="s">
        <v>2678</v>
      </c>
      <c r="C538" s="829"/>
      <c r="D538" s="1919" t="s">
        <v>1229</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ht="14.25">
      <c r="A541" s="797"/>
      <c r="B541" s="798" t="s">
        <v>2678</v>
      </c>
      <c r="C541" s="829"/>
      <c r="D541" s="1919" t="s">
        <v>1230</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ht="14.25">
      <c r="A544" s="797"/>
      <c r="B544" s="798" t="s">
        <v>2678</v>
      </c>
      <c r="C544" s="829"/>
      <c r="D544" s="1919" t="s">
        <v>1231</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25">
      <c r="A548" s="797"/>
      <c r="B548" s="798" t="s">
        <v>2666</v>
      </c>
      <c r="C548" s="829"/>
      <c r="D548" s="1964" t="s">
        <v>1349</v>
      </c>
      <c r="E548" s="1964"/>
      <c r="F548" s="1964"/>
      <c r="I548" s="1774" t="s">
        <v>2494</v>
      </c>
    </row>
    <row r="549" spans="1:9">
      <c r="A549" s="829"/>
      <c r="B549" s="829"/>
      <c r="C549" s="829"/>
      <c r="D549" s="1964"/>
      <c r="E549" s="1964"/>
      <c r="F549" s="1964"/>
    </row>
    <row r="550" spans="1:9">
      <c r="A550" s="829"/>
      <c r="B550" s="829"/>
      <c r="C550" s="829"/>
      <c r="D550" s="800"/>
      <c r="E550" s="800"/>
      <c r="F550" s="800"/>
    </row>
    <row r="551" spans="1:9" ht="14.25">
      <c r="A551" s="797"/>
      <c r="B551" s="798" t="s">
        <v>2678</v>
      </c>
      <c r="C551" s="829"/>
      <c r="D551" s="1919" t="s">
        <v>1233</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ht="14.25">
      <c r="A554" s="797"/>
      <c r="B554" s="798" t="s">
        <v>2678</v>
      </c>
      <c r="C554" s="829"/>
      <c r="D554" s="1924" t="s">
        <v>1234</v>
      </c>
      <c r="E554" s="1924"/>
      <c r="F554" s="1924"/>
      <c r="G554" s="819"/>
      <c r="I554" s="1774" t="s">
        <v>2497</v>
      </c>
    </row>
    <row r="555" spans="1:9">
      <c r="A555" s="816"/>
      <c r="B555" s="816"/>
      <c r="C555" s="829"/>
      <c r="D555" s="1924" t="s">
        <v>880</v>
      </c>
      <c r="E555" s="1924"/>
      <c r="F555" s="1924"/>
      <c r="G555" s="819"/>
    </row>
    <row r="556" spans="1:9">
      <c r="A556" s="816"/>
      <c r="B556" s="816"/>
      <c r="C556" s="829"/>
      <c r="D556" s="672"/>
      <c r="E556" s="1967" t="s">
        <v>1235</v>
      </c>
      <c r="F556" s="1967"/>
      <c r="G556" s="819"/>
    </row>
    <row r="557" spans="1:9" ht="14.25">
      <c r="A557" s="797"/>
      <c r="B557" s="797"/>
      <c r="C557" s="829"/>
      <c r="E557" s="800"/>
      <c r="F557" s="800"/>
      <c r="G557" s="819"/>
    </row>
    <row r="558" spans="1:9" ht="14.25">
      <c r="A558" s="797"/>
      <c r="B558" s="798" t="s">
        <v>2678</v>
      </c>
      <c r="C558" s="829"/>
      <c r="D558" s="1966" t="s">
        <v>1236</v>
      </c>
      <c r="E558" s="1966"/>
      <c r="F558" s="1966"/>
      <c r="G558" s="819"/>
      <c r="I558" s="1774" t="s">
        <v>2445</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25">
      <c r="A563" s="797"/>
      <c r="B563" s="798" t="s">
        <v>2678</v>
      </c>
      <c r="C563" s="829"/>
      <c r="D563" s="1919" t="s">
        <v>1238</v>
      </c>
      <c r="E563" s="1919"/>
      <c r="F563" s="1919"/>
      <c r="G563" s="819"/>
      <c r="I563" s="1774" t="s">
        <v>2446</v>
      </c>
    </row>
    <row r="564" spans="1:9" ht="14.25">
      <c r="A564" s="797"/>
      <c r="B564" s="797"/>
      <c r="C564" s="829"/>
      <c r="D564" s="1919"/>
      <c r="E564" s="1919"/>
      <c r="F564" s="1919"/>
      <c r="G564" s="819"/>
    </row>
    <row r="565" spans="1:9" ht="14.25">
      <c r="A565" s="797"/>
      <c r="B565" s="797"/>
      <c r="C565" s="829"/>
      <c r="D565" s="1919"/>
      <c r="E565" s="1919"/>
      <c r="F565" s="1919"/>
      <c r="G565" s="819"/>
    </row>
    <row r="566" spans="1:9" ht="14.25">
      <c r="A566" s="797"/>
      <c r="B566" s="797"/>
      <c r="C566" s="829"/>
      <c r="D566" s="1919"/>
      <c r="E566" s="1919"/>
      <c r="F566" s="1919"/>
      <c r="G566" s="819"/>
    </row>
    <row r="567" spans="1:9" ht="14.25">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215</v>
      </c>
      <c r="E570" s="1957"/>
      <c r="F570" s="1957"/>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2678</v>
      </c>
      <c r="D573" s="1906" t="s">
        <v>954</v>
      </c>
      <c r="E573" s="1906"/>
      <c r="F573" s="1906"/>
      <c r="G573" s="819"/>
    </row>
    <row r="574" spans="1:9">
      <c r="A574" s="816"/>
      <c r="B574" s="816"/>
      <c r="D574" s="814"/>
    </row>
    <row r="575" spans="1:9">
      <c r="A575" s="816"/>
      <c r="B575" s="798" t="s">
        <v>2678</v>
      </c>
      <c r="D575" s="1907" t="s">
        <v>1188</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2666</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2678</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798" t="s">
        <v>2666</v>
      </c>
      <c r="D587" s="1906" t="s">
        <v>1191</v>
      </c>
      <c r="E587" s="1906"/>
      <c r="F587" s="1906"/>
      <c r="G587" s="790"/>
      <c r="I587" s="1774" t="s">
        <v>2498</v>
      </c>
    </row>
    <row r="588" spans="1:9">
      <c r="A588" s="816"/>
      <c r="B588" s="816"/>
      <c r="D588" s="1906"/>
      <c r="E588" s="1906"/>
      <c r="F588" s="1906"/>
      <c r="G588" s="790"/>
    </row>
    <row r="589" spans="1:9" ht="14.25">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ht="14.25">
      <c r="A595" s="805"/>
      <c r="B595" s="798" t="s">
        <v>2678</v>
      </c>
      <c r="C595" s="801"/>
      <c r="D595" s="1876" t="s">
        <v>1274</v>
      </c>
      <c r="E595" s="1876"/>
      <c r="F595" s="1876"/>
      <c r="G595" s="802"/>
      <c r="I595" s="1837" t="s">
        <v>2477</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75" customHeight="1">
      <c r="A605" s="816"/>
      <c r="B605" s="798" t="s">
        <v>2678</v>
      </c>
      <c r="D605" s="1878" t="s">
        <v>1277</v>
      </c>
      <c r="E605" s="1878"/>
      <c r="F605" s="1878"/>
      <c r="G605" s="819"/>
      <c r="I605" s="1774" t="s">
        <v>2499</v>
      </c>
    </row>
    <row r="606" spans="1:9">
      <c r="D606" s="1878"/>
      <c r="E606" s="1878"/>
      <c r="F606" s="1878"/>
      <c r="G606" s="819"/>
    </row>
    <row r="607" spans="1:9">
      <c r="D607" s="790"/>
      <c r="G607" s="819"/>
    </row>
    <row r="608" spans="1:9">
      <c r="B608" s="798" t="s">
        <v>2678</v>
      </c>
      <c r="D608" s="1878" t="s">
        <v>1278</v>
      </c>
      <c r="E608" s="1878"/>
      <c r="F608" s="1878"/>
      <c r="G608" s="819"/>
      <c r="I608" s="1774" t="s">
        <v>2450</v>
      </c>
    </row>
    <row r="609" spans="1:9">
      <c r="C609" s="839"/>
      <c r="D609" s="1878"/>
      <c r="E609" s="1878"/>
      <c r="F609" s="1878"/>
      <c r="G609" s="819"/>
    </row>
    <row r="610" spans="1:9">
      <c r="C610" s="839"/>
      <c r="G610" s="819"/>
    </row>
    <row r="611" spans="1:9">
      <c r="B611" s="798" t="s">
        <v>2666</v>
      </c>
      <c r="C611" s="839"/>
      <c r="D611" s="1878" t="s">
        <v>1279</v>
      </c>
      <c r="E611" s="1878"/>
      <c r="F611" s="1878"/>
      <c r="G611" s="819"/>
      <c r="I611" s="1774" t="s">
        <v>2500</v>
      </c>
    </row>
    <row r="612" spans="1:9">
      <c r="C612" s="839"/>
      <c r="D612" s="1878"/>
      <c r="E612" s="1878"/>
      <c r="F612" s="1878"/>
      <c r="G612" s="819"/>
      <c r="I612" s="1850" t="s">
        <v>2501</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ht="14.25">
      <c r="A618" s="797"/>
      <c r="B618" s="798" t="s">
        <v>2678</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25">
      <c r="A625" s="797"/>
      <c r="B625" s="798" t="s">
        <v>2666</v>
      </c>
      <c r="C625" s="818"/>
      <c r="D625" s="1919" t="s">
        <v>1282</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ht="14.25">
      <c r="A628" s="797"/>
      <c r="B628" s="798" t="s">
        <v>2666</v>
      </c>
      <c r="C628" s="829"/>
      <c r="D628" s="1876" t="s">
        <v>1439</v>
      </c>
      <c r="E628" s="1876"/>
      <c r="F628" s="1876"/>
      <c r="G628" s="819"/>
      <c r="I628" s="1774" t="s">
        <v>2451</v>
      </c>
    </row>
    <row r="629" spans="1:9" ht="14.25">
      <c r="A629" s="797"/>
      <c r="B629" s="797"/>
      <c r="C629" s="829"/>
      <c r="D629" s="1876"/>
      <c r="E629" s="1876"/>
      <c r="F629" s="1876"/>
      <c r="G629" s="819"/>
    </row>
    <row r="630" spans="1:9" ht="14.25">
      <c r="A630" s="797"/>
      <c r="B630" s="797"/>
      <c r="C630" s="829"/>
      <c r="D630" s="1876"/>
      <c r="E630" s="1876"/>
      <c r="F630" s="1876"/>
      <c r="G630" s="819"/>
    </row>
    <row r="631" spans="1:9">
      <c r="A631" s="829"/>
      <c r="B631" s="798" t="s">
        <v>2666</v>
      </c>
      <c r="C631" s="829"/>
      <c r="D631" s="1924" t="s">
        <v>1284</v>
      </c>
      <c r="E631" s="1924"/>
      <c r="F631" s="1924"/>
      <c r="G631" s="819"/>
      <c r="I631" s="1774" t="s">
        <v>2451</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75" customHeight="1">
      <c r="B638" s="798" t="s">
        <v>2678</v>
      </c>
      <c r="C638" s="829"/>
      <c r="D638" s="1961" t="s">
        <v>1523</v>
      </c>
      <c r="E638" s="1961"/>
      <c r="F638" s="1961"/>
      <c r="I638" s="1774" t="s">
        <v>2505</v>
      </c>
    </row>
    <row r="639" spans="1:9">
      <c r="D639" s="1961"/>
      <c r="E639" s="1961"/>
      <c r="F639" s="1961"/>
    </row>
    <row r="640" spans="1:9">
      <c r="D640" s="1961"/>
      <c r="E640" s="1961"/>
      <c r="F640" s="1961"/>
    </row>
    <row r="641" spans="1:9">
      <c r="D641" s="1961"/>
      <c r="E641" s="1961"/>
      <c r="F641" s="1961"/>
    </row>
    <row r="642" spans="1:9" ht="14.45" customHeight="1">
      <c r="A642" s="797"/>
      <c r="B642" s="797"/>
      <c r="C642" s="829"/>
      <c r="D642" s="900"/>
      <c r="E642" s="900"/>
      <c r="F642" s="900"/>
      <c r="G642" s="819"/>
    </row>
    <row r="643" spans="1:9" ht="12.75" customHeight="1">
      <c r="A643" s="795"/>
      <c r="B643" s="798" t="s">
        <v>2678</v>
      </c>
      <c r="C643" s="829"/>
      <c r="D643" s="1961" t="s">
        <v>1526</v>
      </c>
      <c r="E643" s="1961"/>
      <c r="F643" s="1961"/>
      <c r="G643" s="819"/>
      <c r="I643" s="1774" t="s">
        <v>2505</v>
      </c>
    </row>
    <row r="644" spans="1:9" ht="14.25">
      <c r="A644" s="795"/>
      <c r="B644" s="797"/>
      <c r="C644" s="829"/>
      <c r="D644" s="1961"/>
      <c r="E644" s="1961"/>
      <c r="F644" s="1961"/>
      <c r="G644" s="819"/>
    </row>
    <row r="645" spans="1:9" ht="14.25">
      <c r="A645" s="795"/>
      <c r="B645" s="797"/>
      <c r="C645" s="829"/>
      <c r="D645" s="1961"/>
      <c r="E645" s="1961"/>
      <c r="F645" s="1961"/>
      <c r="G645" s="819"/>
    </row>
    <row r="646" spans="1:9" ht="14.25">
      <c r="A646" s="795"/>
      <c r="B646" s="797"/>
      <c r="C646" s="829"/>
      <c r="D646" s="1961"/>
      <c r="E646" s="1961"/>
      <c r="F646" s="1961"/>
      <c r="G646" s="819"/>
    </row>
    <row r="647" spans="1:9" ht="14.25">
      <c r="A647" s="795"/>
      <c r="B647" s="797"/>
      <c r="C647" s="829"/>
      <c r="D647" s="1961"/>
      <c r="E647" s="1961"/>
      <c r="F647" s="1961"/>
      <c r="G647" s="819"/>
    </row>
    <row r="648" spans="1:9" ht="14.25" customHeight="1">
      <c r="A648" s="795"/>
      <c r="B648" s="797"/>
      <c r="C648" s="829"/>
      <c r="F648" s="901"/>
      <c r="G648" s="819"/>
    </row>
    <row r="649" spans="1:9" ht="12.75" customHeight="1">
      <c r="A649" s="795"/>
      <c r="B649" s="798" t="s">
        <v>2666</v>
      </c>
      <c r="C649" s="829"/>
      <c r="D649" s="1961" t="s">
        <v>1524</v>
      </c>
      <c r="E649" s="1961"/>
      <c r="F649" s="1961"/>
      <c r="G649" s="819"/>
      <c r="I649" s="1774" t="s">
        <v>2505</v>
      </c>
    </row>
    <row r="650" spans="1:9" ht="14.25">
      <c r="A650" s="795"/>
      <c r="B650" s="797"/>
      <c r="C650" s="829"/>
      <c r="D650" s="1961"/>
      <c r="E650" s="1961"/>
      <c r="F650" s="1961"/>
      <c r="G650" s="819"/>
    </row>
    <row r="651" spans="1:9" ht="14.25">
      <c r="A651" s="797"/>
      <c r="B651" s="797"/>
      <c r="C651" s="829"/>
      <c r="D651" s="1961"/>
      <c r="E651" s="1961"/>
      <c r="F651" s="1961"/>
      <c r="G651" s="819"/>
    </row>
    <row r="652" spans="1:9" ht="14.25">
      <c r="A652" s="797"/>
      <c r="B652" s="797"/>
      <c r="C652" s="829"/>
      <c r="D652" s="1961"/>
      <c r="E652" s="1961"/>
      <c r="F652" s="1961"/>
      <c r="G652" s="819"/>
    </row>
    <row r="653" spans="1:9" ht="14.25">
      <c r="A653" s="797"/>
      <c r="B653" s="797"/>
      <c r="C653" s="829"/>
      <c r="D653" s="892"/>
      <c r="E653" s="892"/>
      <c r="F653" s="892"/>
      <c r="G653" s="819"/>
    </row>
    <row r="654" spans="1:9" ht="12.75" customHeight="1">
      <c r="A654" s="795"/>
      <c r="B654" s="798" t="s">
        <v>2666</v>
      </c>
      <c r="C654" s="829"/>
      <c r="D654" s="1961" t="s">
        <v>1525</v>
      </c>
      <c r="E654" s="1961"/>
      <c r="F654" s="1961"/>
      <c r="G654" s="819"/>
      <c r="I654" s="1774" t="s">
        <v>2505</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ht="14.25">
      <c r="A670" s="797"/>
      <c r="B670" s="798" t="s">
        <v>2678</v>
      </c>
      <c r="C670" s="795"/>
      <c r="D670" s="1924" t="s">
        <v>950</v>
      </c>
      <c r="E670" s="1924"/>
      <c r="F670" s="1924"/>
      <c r="G670" s="819"/>
      <c r="H670" s="842"/>
      <c r="I670" s="1841" t="s">
        <v>2479</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2666</v>
      </c>
      <c r="C675" s="795"/>
      <c r="D675" s="1919" t="s">
        <v>1405</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ht="14.25">
      <c r="A679" s="797"/>
      <c r="B679" s="798" t="s">
        <v>2678</v>
      </c>
      <c r="C679" s="795"/>
      <c r="D679" s="1924" t="s">
        <v>990</v>
      </c>
      <c r="E679" s="1924"/>
      <c r="F679" s="1924"/>
      <c r="G679" s="819"/>
      <c r="H679" s="842"/>
      <c r="I679" s="1841"/>
      <c r="J679" s="842"/>
      <c r="K679" s="842"/>
    </row>
    <row r="680" spans="1:11" ht="14.25">
      <c r="A680" s="797"/>
      <c r="B680" s="797"/>
      <c r="C680" s="795"/>
      <c r="D680" s="1924" t="s">
        <v>961</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ht="14.25">
      <c r="A683" s="797"/>
      <c r="B683" s="798" t="s">
        <v>2666</v>
      </c>
      <c r="C683" s="795"/>
      <c r="D683" s="1964" t="s">
        <v>1225</v>
      </c>
      <c r="E683" s="1964"/>
      <c r="F683" s="1964"/>
      <c r="G683" s="819"/>
      <c r="H683" s="842"/>
      <c r="I683" s="1841" t="s">
        <v>2452</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2666</v>
      </c>
      <c r="C690" s="834"/>
      <c r="D690" s="1964" t="s">
        <v>1407</v>
      </c>
      <c r="E690" s="1964"/>
      <c r="F690" s="1964"/>
      <c r="G690" s="844"/>
      <c r="H690" s="845"/>
      <c r="I690" s="1842" t="s">
        <v>2452</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2666</v>
      </c>
      <c r="C693" s="795"/>
      <c r="D693" s="1964" t="s">
        <v>1216</v>
      </c>
      <c r="E693" s="1964"/>
      <c r="F693" s="1964"/>
      <c r="G693" s="819"/>
      <c r="H693" s="842"/>
      <c r="I693" s="1841" t="s">
        <v>2452</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2666</v>
      </c>
      <c r="C706" s="795"/>
      <c r="D706" s="1964" t="s">
        <v>1223</v>
      </c>
      <c r="E706" s="1964"/>
      <c r="F706" s="1964"/>
      <c r="G706" s="819"/>
      <c r="H706" s="842"/>
      <c r="I706" s="1841" t="s">
        <v>2504</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2666</v>
      </c>
      <c r="C709" s="795"/>
      <c r="D709" s="1964" t="s">
        <v>1217</v>
      </c>
      <c r="E709" s="1964"/>
      <c r="F709" s="1964"/>
      <c r="G709" s="819"/>
      <c r="H709" s="842"/>
      <c r="I709" s="1841" t="s">
        <v>2504</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2666</v>
      </c>
      <c r="C713" s="795"/>
      <c r="D713" s="1964" t="s">
        <v>1218</v>
      </c>
      <c r="E713" s="1964"/>
      <c r="F713" s="1964"/>
      <c r="G713" s="819"/>
      <c r="H713" s="842"/>
      <c r="I713" s="1841" t="s">
        <v>2504</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25">
      <c r="A717" s="797"/>
      <c r="B717" s="798" t="s">
        <v>2666</v>
      </c>
      <c r="C717" s="795"/>
      <c r="D717" s="1919" t="s">
        <v>1219</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25">
      <c r="A722" s="797"/>
      <c r="B722" s="798" t="s">
        <v>2666</v>
      </c>
      <c r="C722" s="795"/>
      <c r="D722" s="1964" t="s">
        <v>1352</v>
      </c>
      <c r="E722" s="1964"/>
      <c r="F722" s="1964"/>
      <c r="G722" s="819"/>
      <c r="H722" s="842"/>
      <c r="I722" s="1841" t="s">
        <v>2469</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ht="14.25">
      <c r="A736" s="797"/>
      <c r="B736" s="798" t="s">
        <v>2678</v>
      </c>
      <c r="C736" s="788"/>
      <c r="D736" s="1919" t="s">
        <v>1195</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2678</v>
      </c>
      <c r="C743" s="851"/>
      <c r="D743" s="1876" t="s">
        <v>1458</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25">
      <c r="A748" s="797"/>
      <c r="B748" s="798" t="s">
        <v>2666</v>
      </c>
      <c r="C748" s="851"/>
      <c r="D748" s="1971" t="s">
        <v>1459</v>
      </c>
      <c r="E748" s="1971"/>
      <c r="F748" s="1971"/>
      <c r="G748" s="852"/>
      <c r="I748" s="1843" t="s">
        <v>2455</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25">
      <c r="A752" s="797"/>
      <c r="B752" s="798" t="s">
        <v>2666</v>
      </c>
      <c r="C752" s="801"/>
      <c r="D752" s="1876" t="s">
        <v>1402</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2666</v>
      </c>
      <c r="C755" s="801"/>
      <c r="D755" s="1876" t="s">
        <v>1424</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2323</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2382</v>
      </c>
      <c r="E761" s="1969"/>
      <c r="F761" s="1969"/>
      <c r="G761" s="686"/>
    </row>
    <row r="762" spans="1:11">
      <c r="A762" s="93"/>
      <c r="B762" s="93"/>
      <c r="C762" s="1732"/>
      <c r="D762" s="1983" t="s">
        <v>2268</v>
      </c>
      <c r="E762" s="1983"/>
      <c r="F762" s="1983"/>
      <c r="G762" s="686"/>
    </row>
    <row r="763" spans="1:11">
      <c r="A763" s="93"/>
      <c r="B763" s="93"/>
      <c r="C763" s="1732"/>
      <c r="D763" s="733"/>
      <c r="E763" s="733"/>
      <c r="F763" s="733"/>
      <c r="G763" s="686"/>
    </row>
    <row r="764" spans="1:11">
      <c r="A764" s="93"/>
      <c r="B764" s="798" t="s">
        <v>2678</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2678</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25">
      <c r="A772" s="714"/>
      <c r="B772" s="798" t="s">
        <v>2666</v>
      </c>
      <c r="C772" s="1740"/>
      <c r="D772" s="1903" t="s">
        <v>2271</v>
      </c>
      <c r="E772" s="1903"/>
      <c r="F772" s="1903"/>
      <c r="G772" s="1739"/>
      <c r="I772" s="1841" t="s">
        <v>2506</v>
      </c>
    </row>
    <row r="773" spans="1:9" ht="14.25">
      <c r="A773" s="714"/>
      <c r="B773" s="714"/>
      <c r="C773" s="1740"/>
      <c r="D773" s="1903"/>
      <c r="E773" s="1903"/>
      <c r="F773" s="1903"/>
      <c r="G773" s="1739"/>
    </row>
    <row r="774" spans="1:9" ht="14.25">
      <c r="A774" s="714"/>
      <c r="B774" s="714"/>
      <c r="C774" s="1740"/>
      <c r="D774" s="1903"/>
      <c r="E774" s="1903"/>
      <c r="F774" s="1903"/>
      <c r="G774" s="1739"/>
    </row>
    <row r="775" spans="1:9" ht="14.25">
      <c r="A775" s="714"/>
      <c r="B775" s="714"/>
      <c r="C775" s="1740"/>
      <c r="D775" s="1708"/>
      <c r="E775" s="6"/>
      <c r="F775" s="6"/>
      <c r="G775" s="1739"/>
    </row>
    <row r="776" spans="1:9" ht="14.25">
      <c r="A776" s="714"/>
      <c r="B776" s="798" t="s">
        <v>2666</v>
      </c>
      <c r="C776" s="1740"/>
      <c r="D776" s="1903" t="s">
        <v>2272</v>
      </c>
      <c r="E776" s="1903"/>
      <c r="F776" s="1903"/>
      <c r="G776" s="1739"/>
      <c r="I776" s="1841" t="s">
        <v>2506</v>
      </c>
    </row>
    <row r="777" spans="1:9" ht="14.25">
      <c r="A777" s="714"/>
      <c r="B777" s="714"/>
      <c r="C777" s="1740"/>
      <c r="D777" s="1903"/>
      <c r="E777" s="1903"/>
      <c r="F777" s="1903"/>
      <c r="G777" s="1739"/>
    </row>
    <row r="778" spans="1:9" ht="14.25">
      <c r="A778" s="714"/>
      <c r="B778" s="714"/>
      <c r="C778" s="1740"/>
      <c r="D778" s="1903"/>
      <c r="E778" s="1903"/>
      <c r="F778" s="1903"/>
      <c r="G778" s="1739"/>
    </row>
    <row r="779" spans="1:9" ht="14.25">
      <c r="A779" s="714"/>
      <c r="B779" s="714"/>
      <c r="C779" s="1740"/>
      <c r="D779" s="1903"/>
      <c r="E779" s="1903"/>
      <c r="F779" s="1903"/>
      <c r="G779" s="1739"/>
    </row>
    <row r="780" spans="1:9" ht="14.25">
      <c r="A780" s="714"/>
      <c r="B780" s="714"/>
      <c r="C780" s="1740"/>
      <c r="D780" s="1903"/>
      <c r="E780" s="1903"/>
      <c r="F780" s="1903"/>
      <c r="G780" s="1739"/>
    </row>
    <row r="781" spans="1:9" ht="14.25">
      <c r="A781" s="714"/>
      <c r="B781" s="714"/>
      <c r="C781" s="1740"/>
      <c r="D781" s="1903"/>
      <c r="E781" s="1903"/>
      <c r="F781" s="1903"/>
      <c r="G781" s="1739"/>
    </row>
    <row r="782" spans="1:9" ht="14.25">
      <c r="A782" s="714"/>
      <c r="B782" s="714"/>
      <c r="C782" s="1740"/>
      <c r="D782" s="1903" t="s">
        <v>2324</v>
      </c>
      <c r="E782" s="1903"/>
      <c r="F782" s="1903"/>
      <c r="G782" s="1739"/>
    </row>
    <row r="783" spans="1:9" ht="14.25">
      <c r="A783" s="714"/>
      <c r="B783" s="714"/>
      <c r="C783" s="1740"/>
      <c r="D783" s="1903"/>
      <c r="E783" s="1903"/>
      <c r="F783" s="1903"/>
      <c r="G783" s="1739"/>
    </row>
    <row r="784" spans="1:9" ht="14.25">
      <c r="A784" s="714"/>
      <c r="B784" s="714"/>
      <c r="C784" s="1740"/>
      <c r="D784" s="1903"/>
      <c r="E784" s="1903"/>
      <c r="F784" s="1903"/>
      <c r="G784" s="1739"/>
    </row>
    <row r="785" spans="1:9" ht="14.25">
      <c r="A785" s="714"/>
      <c r="B785" s="556"/>
      <c r="C785" s="1740"/>
      <c r="D785" s="1741"/>
      <c r="E785" s="1741"/>
      <c r="F785" s="1741"/>
      <c r="G785" s="1739"/>
    </row>
    <row r="786" spans="1:9" ht="14.25">
      <c r="A786" s="714"/>
      <c r="B786" s="798" t="s">
        <v>2666</v>
      </c>
      <c r="C786" s="1740"/>
      <c r="D786" s="1903" t="s">
        <v>2273</v>
      </c>
      <c r="E786" s="1903"/>
      <c r="F786" s="1903"/>
      <c r="G786" s="1739"/>
      <c r="I786" s="1841" t="s">
        <v>2506</v>
      </c>
    </row>
    <row r="787" spans="1:9" ht="14.25">
      <c r="A787" s="714"/>
      <c r="B787" s="714"/>
      <c r="C787" s="1740"/>
      <c r="D787" s="1903"/>
      <c r="E787" s="1903"/>
      <c r="F787" s="1903"/>
      <c r="G787" s="1739"/>
    </row>
    <row r="788" spans="1:9" ht="14.25">
      <c r="A788" s="714"/>
      <c r="B788" s="714"/>
      <c r="C788" s="1740"/>
      <c r="D788" s="1903"/>
      <c r="E788" s="1903"/>
      <c r="F788" s="1903"/>
      <c r="G788" s="1739"/>
    </row>
    <row r="789" spans="1:9" ht="14.25">
      <c r="A789" s="714"/>
      <c r="B789" s="714"/>
      <c r="C789" s="1740"/>
      <c r="D789" s="1903"/>
      <c r="E789" s="1903"/>
      <c r="F789" s="1903"/>
      <c r="G789" s="1739"/>
    </row>
    <row r="790" spans="1:9" ht="14.25">
      <c r="A790" s="714"/>
      <c r="B790" s="714"/>
      <c r="C790" s="1740"/>
      <c r="D790" s="1903"/>
      <c r="E790" s="1903"/>
      <c r="F790" s="1903"/>
      <c r="G790" s="1739"/>
    </row>
    <row r="791" spans="1:9" ht="14.25">
      <c r="A791" s="714"/>
      <c r="B791" s="714"/>
      <c r="C791" s="1740"/>
      <c r="D791" s="1903"/>
      <c r="E791" s="1903"/>
      <c r="F791" s="1903"/>
      <c r="G791" s="1739"/>
    </row>
    <row r="792" spans="1:9" ht="14.25">
      <c r="A792" s="714"/>
      <c r="B792" s="714"/>
      <c r="C792" s="1740"/>
      <c r="D792" s="1717"/>
      <c r="E792" s="1717"/>
      <c r="F792" s="1717"/>
      <c r="G792" s="1739"/>
    </row>
    <row r="793" spans="1:9" ht="14.25">
      <c r="A793" s="714"/>
      <c r="B793" s="798" t="s">
        <v>2678</v>
      </c>
      <c r="C793" s="1740"/>
      <c r="D793" s="1903" t="s">
        <v>2274</v>
      </c>
      <c r="E793" s="1903"/>
      <c r="F793" s="1903"/>
      <c r="G793" s="1739"/>
      <c r="I793" s="1841" t="s">
        <v>2506</v>
      </c>
    </row>
    <row r="794" spans="1:9" ht="14.25">
      <c r="A794" s="714"/>
      <c r="B794" s="714"/>
      <c r="C794" s="1740"/>
      <c r="D794" s="1903"/>
      <c r="E794" s="1903"/>
      <c r="F794" s="1903"/>
      <c r="G794" s="1739"/>
    </row>
    <row r="795" spans="1:9" ht="14.25">
      <c r="A795" s="714"/>
      <c r="B795" s="714"/>
      <c r="C795" s="1740"/>
      <c r="D795" s="1903"/>
      <c r="E795" s="1903"/>
      <c r="F795" s="1903"/>
      <c r="G795" s="1739"/>
    </row>
    <row r="796" spans="1:9" ht="14.25">
      <c r="A796" s="714"/>
      <c r="B796" s="714"/>
      <c r="C796" s="1740"/>
      <c r="D796" s="1903"/>
      <c r="E796" s="1903"/>
      <c r="F796" s="1903"/>
      <c r="G796" s="1739"/>
    </row>
    <row r="797" spans="1:9" ht="14.25">
      <c r="A797" s="714"/>
      <c r="B797" s="714"/>
      <c r="C797" s="1740"/>
      <c r="D797" s="1903"/>
      <c r="E797" s="1903"/>
      <c r="F797" s="1903"/>
      <c r="G797" s="1739"/>
    </row>
    <row r="798" spans="1:9" ht="14.25">
      <c r="A798" s="714"/>
      <c r="B798" s="714"/>
      <c r="C798" s="1740"/>
      <c r="D798" s="1903"/>
      <c r="E798" s="1903"/>
      <c r="F798" s="1903"/>
      <c r="G798" s="1739"/>
    </row>
    <row r="799" spans="1:9" ht="14.25">
      <c r="A799" s="714"/>
      <c r="B799" s="714"/>
      <c r="C799" s="1740"/>
      <c r="D799" s="1717"/>
      <c r="E799" s="1717"/>
      <c r="F799" s="1717"/>
      <c r="G799" s="1739"/>
    </row>
    <row r="800" spans="1:9" ht="14.25">
      <c r="A800" s="714"/>
      <c r="B800" s="798" t="s">
        <v>2666</v>
      </c>
      <c r="C800" s="1740"/>
      <c r="D800" s="1916" t="s">
        <v>2275</v>
      </c>
      <c r="E800" s="1916"/>
      <c r="F800" s="1916"/>
      <c r="G800" s="1739"/>
      <c r="I800" s="1841" t="s">
        <v>2506</v>
      </c>
    </row>
    <row r="801" spans="1:9" ht="14.25">
      <c r="A801" s="714"/>
      <c r="B801" s="714"/>
      <c r="C801" s="1740"/>
      <c r="D801" s="1916"/>
      <c r="E801" s="1916"/>
      <c r="F801" s="1916"/>
      <c r="G801" s="1739"/>
    </row>
    <row r="802" spans="1:9">
      <c r="A802" s="1725"/>
      <c r="B802" s="1725"/>
      <c r="C802" s="1740"/>
      <c r="D802" s="1916"/>
      <c r="E802" s="1916"/>
      <c r="F802" s="1916"/>
      <c r="G802" s="1739"/>
    </row>
    <row r="803" spans="1:9" ht="14.25">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2276</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75" customHeight="1">
      <c r="A811" s="714"/>
      <c r="B811" s="714"/>
      <c r="C811" s="556"/>
      <c r="D811" s="1703"/>
      <c r="E811" s="1703"/>
      <c r="F811" s="1703"/>
      <c r="G811" s="678"/>
    </row>
    <row r="812" spans="1:9" ht="12.75" customHeight="1">
      <c r="A812" s="1742"/>
      <c r="B812" s="798" t="s">
        <v>2678</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75" customHeight="1">
      <c r="A814" s="1725"/>
      <c r="B814" s="1725"/>
      <c r="C814" s="1740"/>
      <c r="D814" s="1743"/>
      <c r="E814" s="6"/>
      <c r="F814" s="6"/>
      <c r="G814" s="678"/>
    </row>
    <row r="815" spans="1:9" ht="14.25" hidden="1" customHeight="1">
      <c r="A815" s="1725"/>
      <c r="B815" s="798" t="s">
        <v>315</v>
      </c>
      <c r="C815" s="1740"/>
      <c r="D815" s="1988" t="s">
        <v>2280</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2678</v>
      </c>
      <c r="C826" s="1740"/>
      <c r="D826" s="1858" t="s">
        <v>2281</v>
      </c>
      <c r="E826" s="1858"/>
      <c r="F826" s="1858"/>
      <c r="G826" s="678"/>
      <c r="I826" s="1774" t="s">
        <v>2492</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2666</v>
      </c>
      <c r="C830" s="1744"/>
      <c r="D830" s="1989" t="s">
        <v>2282</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2283</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2666</v>
      </c>
      <c r="C839" s="1744"/>
      <c r="D839" s="1860" t="s">
        <v>2284</v>
      </c>
      <c r="E839" s="1860"/>
      <c r="F839" s="1860"/>
      <c r="G839" s="678"/>
      <c r="I839" s="1774" t="s">
        <v>2473</v>
      </c>
    </row>
    <row r="840" spans="1:9" ht="12.75" customHeight="1">
      <c r="A840" s="403"/>
      <c r="B840" s="403"/>
      <c r="C840" s="1744"/>
      <c r="D840" s="1860" t="s">
        <v>2285</v>
      </c>
      <c r="E840" s="1860"/>
      <c r="F840" s="1860"/>
      <c r="G840" s="678"/>
    </row>
    <row r="841" spans="1:9" ht="12.75" customHeight="1">
      <c r="A841" s="403"/>
      <c r="B841" s="403"/>
      <c r="C841" s="1744"/>
      <c r="D841" s="183" t="s">
        <v>2251</v>
      </c>
      <c r="E841" s="1990" t="s">
        <v>2286</v>
      </c>
      <c r="F841" s="1990"/>
      <c r="G841" s="678"/>
    </row>
    <row r="842" spans="1:9" ht="12.75" customHeight="1">
      <c r="A842" s="403"/>
      <c r="B842" s="403"/>
      <c r="C842" s="1744"/>
      <c r="D842" s="1721"/>
      <c r="E842" s="678"/>
      <c r="F842" s="678"/>
      <c r="G842" s="678"/>
    </row>
    <row r="843" spans="1:9" ht="12.75" customHeight="1">
      <c r="A843" s="403"/>
      <c r="B843" s="798" t="s">
        <v>2666</v>
      </c>
      <c r="C843" s="1744"/>
      <c r="D843" s="1860" t="s">
        <v>2287</v>
      </c>
      <c r="E843" s="1860"/>
      <c r="F843" s="1860"/>
      <c r="G843" s="678"/>
      <c r="I843" s="1774" t="s">
        <v>2493</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2326</v>
      </c>
      <c r="E850" s="1882"/>
      <c r="F850" s="1882"/>
      <c r="G850" s="1739"/>
    </row>
    <row r="851" spans="1:9" ht="12.75" customHeight="1">
      <c r="A851" s="1742"/>
      <c r="B851" s="1742"/>
      <c r="C851" s="313"/>
      <c r="D851" s="1991" t="s">
        <v>2289</v>
      </c>
      <c r="E851" s="1991"/>
      <c r="F851" s="1991"/>
      <c r="G851" s="1739"/>
    </row>
    <row r="852" spans="1:9" ht="12.75" customHeight="1">
      <c r="A852" s="1742"/>
      <c r="B852" s="1742"/>
      <c r="C852" s="313"/>
      <c r="D852" s="1750"/>
      <c r="E852" s="1750"/>
      <c r="F852" s="1750"/>
      <c r="G852" s="1739"/>
    </row>
    <row r="853" spans="1:9" ht="12.75" customHeight="1">
      <c r="A853" s="714"/>
      <c r="B853" s="798" t="s">
        <v>2678</v>
      </c>
      <c r="C853" s="556"/>
      <c r="D853" s="1883" t="s">
        <v>2290</v>
      </c>
      <c r="E853" s="1883"/>
      <c r="F853" s="1883"/>
      <c r="G853" s="1739"/>
      <c r="I853" s="1774" t="s">
        <v>2473</v>
      </c>
    </row>
    <row r="854" spans="1:9" ht="12.75" customHeight="1">
      <c r="A854" s="1742"/>
      <c r="B854" s="1742"/>
      <c r="C854" s="556"/>
      <c r="D854" s="5" t="s">
        <v>2251</v>
      </c>
      <c r="E854" s="1993" t="s">
        <v>2286</v>
      </c>
      <c r="F854" s="1993"/>
      <c r="G854" s="1739"/>
    </row>
    <row r="855" spans="1:9" ht="12.75" customHeight="1">
      <c r="A855" s="1742"/>
      <c r="B855" s="1742"/>
      <c r="C855" s="556"/>
      <c r="D855" s="1708"/>
      <c r="E855" s="1738"/>
      <c r="F855" s="1738"/>
      <c r="G855" s="1739"/>
    </row>
    <row r="856" spans="1:9" ht="12.75" customHeight="1">
      <c r="A856" s="714"/>
      <c r="B856" s="798" t="s">
        <v>2678</v>
      </c>
      <c r="C856" s="556"/>
      <c r="D856" s="1858" t="s">
        <v>2291</v>
      </c>
      <c r="E856" s="1932"/>
      <c r="F856" s="1932"/>
      <c r="G856" s="678"/>
      <c r="I856" s="1774" t="s">
        <v>2493</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2666</v>
      </c>
      <c r="C859" s="557"/>
      <c r="D859" s="1994" t="s">
        <v>2292</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2283</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2666</v>
      </c>
      <c r="C868" s="556"/>
      <c r="D868" s="1887" t="s">
        <v>2284</v>
      </c>
      <c r="E868" s="1887"/>
      <c r="F868" s="1887"/>
      <c r="G868" s="1739"/>
      <c r="I868" s="1774" t="s">
        <v>2473</v>
      </c>
    </row>
    <row r="869" spans="1:9" ht="12.75" customHeight="1">
      <c r="A869" s="714"/>
      <c r="B869" s="714"/>
      <c r="C869" s="556"/>
      <c r="D869" s="1887" t="s">
        <v>2285</v>
      </c>
      <c r="E869" s="1887"/>
      <c r="F869" s="1887"/>
      <c r="G869" s="1739"/>
    </row>
    <row r="870" spans="1:9" ht="12.75" customHeight="1">
      <c r="A870" s="714"/>
      <c r="B870" s="714"/>
      <c r="C870" s="556"/>
      <c r="D870" s="5" t="s">
        <v>1503</v>
      </c>
      <c r="E870" s="1995" t="s">
        <v>2286</v>
      </c>
      <c r="F870" s="1995"/>
      <c r="G870" s="1739"/>
    </row>
    <row r="871" spans="1:9" ht="12.75" customHeight="1">
      <c r="A871" s="714"/>
      <c r="B871" s="714"/>
      <c r="C871" s="556"/>
      <c r="D871" s="1708"/>
      <c r="E871" s="1738"/>
      <c r="F871" s="1738"/>
      <c r="G871" s="1739"/>
    </row>
    <row r="872" spans="1:9" ht="12.75" customHeight="1">
      <c r="A872" s="714"/>
      <c r="B872" s="798" t="s">
        <v>2666</v>
      </c>
      <c r="C872" s="556"/>
      <c r="D872" s="1858" t="s">
        <v>2287</v>
      </c>
      <c r="E872" s="1858"/>
      <c r="F872" s="1858"/>
      <c r="G872" s="1739"/>
      <c r="I872" s="1774" t="s">
        <v>2493</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2327</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2333</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2678</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2" t="s">
        <v>2328</v>
      </c>
      <c r="E883" s="1902"/>
      <c r="F883" s="1902"/>
      <c r="G883" s="1739"/>
    </row>
    <row r="884" spans="1:9" ht="12.75" customHeight="1">
      <c r="A884" s="1714"/>
      <c r="B884" s="1714"/>
      <c r="C884" s="1746"/>
      <c r="D884" s="1883" t="s">
        <v>2293</v>
      </c>
      <c r="E884" s="1883"/>
      <c r="F884" s="1883"/>
      <c r="G884" s="1739"/>
    </row>
    <row r="885" spans="1:9" ht="12.75" customHeight="1">
      <c r="A885" s="1756"/>
      <c r="B885" s="1756"/>
      <c r="C885" s="1740"/>
      <c r="D885" s="5"/>
      <c r="E885" s="1738"/>
      <c r="F885" s="1738"/>
      <c r="G885" s="1739"/>
    </row>
    <row r="886" spans="1:9" ht="12.75" customHeight="1">
      <c r="A886" s="714"/>
      <c r="B886" s="798" t="s">
        <v>2678</v>
      </c>
      <c r="C886" s="556"/>
      <c r="D886" s="1858" t="s">
        <v>2297</v>
      </c>
      <c r="E886" s="1858"/>
      <c r="F886" s="1858"/>
      <c r="G886" s="678"/>
      <c r="I886" s="1774" t="s">
        <v>2457</v>
      </c>
    </row>
    <row r="887" spans="1:9" ht="12.75" customHeight="1">
      <c r="A887" s="1742"/>
      <c r="B887" s="1742"/>
      <c r="C887" s="556"/>
      <c r="D887" s="1858"/>
      <c r="E887" s="1858"/>
      <c r="F887" s="1858"/>
      <c r="G887" s="678"/>
    </row>
    <row r="888" spans="1:9" s="1772" customFormat="1" ht="12.75" customHeight="1">
      <c r="A888" s="1846"/>
      <c r="B888" s="1846"/>
      <c r="C888" s="1746"/>
      <c r="D888" s="1858" t="s">
        <v>2296</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2678</v>
      </c>
      <c r="C891" s="486"/>
      <c r="D891" s="1990" t="s">
        <v>2294</v>
      </c>
      <c r="E891" s="1990"/>
      <c r="F891" s="1990"/>
      <c r="G891" s="1739"/>
      <c r="I891" s="1774" t="s">
        <v>2456</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2666</v>
      </c>
      <c r="C900" s="1740"/>
      <c r="D900" s="1858" t="s">
        <v>2298</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2666</v>
      </c>
      <c r="C903" s="1740"/>
      <c r="D903" s="1916" t="s">
        <v>2299</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2666</v>
      </c>
      <c r="C908" s="1740"/>
      <c r="D908" s="1883" t="s">
        <v>2300</v>
      </c>
      <c r="E908" s="1883"/>
      <c r="F908" s="1883"/>
      <c r="G908" s="1739"/>
    </row>
    <row r="909" spans="1:9" ht="12.75" customHeight="1">
      <c r="A909" s="1756"/>
      <c r="B909" s="1756"/>
      <c r="C909" s="1740"/>
      <c r="D909" s="1708"/>
      <c r="E909" s="1738"/>
      <c r="F909" s="1738"/>
      <c r="G909" s="1739"/>
    </row>
    <row r="910" spans="1:9" ht="12.75" customHeight="1">
      <c r="A910" s="1756"/>
      <c r="B910" s="798" t="s">
        <v>2666</v>
      </c>
      <c r="C910" s="1740"/>
      <c r="D910" s="1883" t="s">
        <v>2301</v>
      </c>
      <c r="E910" s="1883"/>
      <c r="F910" s="1883"/>
      <c r="G910" s="1739"/>
    </row>
    <row r="911" spans="1:9" ht="12.75" customHeight="1">
      <c r="A911" s="487"/>
      <c r="B911" s="487"/>
      <c r="C911" s="486"/>
      <c r="D911" s="183"/>
      <c r="E911" s="678"/>
      <c r="F911" s="1739"/>
      <c r="G911" s="1739"/>
    </row>
    <row r="912" spans="1:9" ht="12.75" customHeight="1">
      <c r="A912" s="1752"/>
      <c r="B912" s="798" t="s">
        <v>2666</v>
      </c>
      <c r="C912" s="1753"/>
      <c r="D912" s="1990" t="s">
        <v>2295</v>
      </c>
      <c r="E912" s="1990"/>
      <c r="F912" s="1990"/>
      <c r="G912" s="1754"/>
      <c r="I912" s="1774" t="s">
        <v>2508</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2678</v>
      </c>
      <c r="C922" s="486"/>
      <c r="D922" s="1992" t="s">
        <v>2511</v>
      </c>
      <c r="E922" s="1992"/>
      <c r="F922" s="1992"/>
      <c r="G922" s="1739"/>
      <c r="I922" s="1774" t="s">
        <v>2508</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2678</v>
      </c>
      <c r="C930" s="486"/>
      <c r="D930" s="1918" t="s">
        <v>2509</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2666</v>
      </c>
      <c r="C937" s="1740"/>
      <c r="D937" s="1996" t="s">
        <v>2302</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2666</v>
      </c>
      <c r="C942" s="486"/>
      <c r="D942" s="1990" t="s">
        <v>2510</v>
      </c>
      <c r="E942" s="1990"/>
      <c r="F942" s="1990"/>
      <c r="G942" s="1739"/>
      <c r="I942" s="1774" t="s">
        <v>2508</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2303</v>
      </c>
      <c r="E947" s="1882"/>
      <c r="F947" s="1882"/>
      <c r="G947" s="678"/>
    </row>
    <row r="948" spans="1:9" ht="12.75" customHeight="1">
      <c r="A948" s="714"/>
      <c r="B948" s="798" t="s">
        <v>2666</v>
      </c>
      <c r="C948" s="556"/>
      <c r="D948" s="1883" t="s">
        <v>2329</v>
      </c>
      <c r="E948" s="1883"/>
      <c r="F948" s="1883"/>
      <c r="G948" s="678"/>
      <c r="I948" s="1774" t="s">
        <v>2508</v>
      </c>
    </row>
    <row r="949" spans="1:9" ht="12.75" customHeight="1">
      <c r="A949" s="1742"/>
      <c r="B949" s="1742"/>
      <c r="C949" s="556"/>
      <c r="D949" s="6"/>
      <c r="E949" s="6"/>
      <c r="F949" s="6"/>
      <c r="G949" s="678"/>
    </row>
    <row r="950" spans="1:9" ht="12.75" customHeight="1">
      <c r="A950" s="1742"/>
      <c r="B950" s="1742"/>
      <c r="C950" s="556"/>
      <c r="D950" s="1882" t="s">
        <v>2304</v>
      </c>
      <c r="E950" s="1882"/>
      <c r="F950" s="1882"/>
      <c r="G950" s="677"/>
    </row>
    <row r="951" spans="1:9" ht="12.75" customHeight="1">
      <c r="A951" s="714"/>
      <c r="B951" s="798" t="s">
        <v>2666</v>
      </c>
      <c r="C951" s="556"/>
      <c r="D951" s="1858" t="s">
        <v>2305</v>
      </c>
      <c r="E951" s="1858"/>
      <c r="F951" s="1858"/>
      <c r="G951" s="677"/>
      <c r="I951" s="1774" t="s">
        <v>2508</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2306</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2330</v>
      </c>
      <c r="E969" s="1882"/>
      <c r="F969" s="1882"/>
      <c r="G969" s="678"/>
    </row>
    <row r="970" spans="1:9" ht="12.75" customHeight="1">
      <c r="A970" s="1714"/>
      <c r="B970" s="1714"/>
      <c r="C970" s="1746"/>
      <c r="D970" s="1883" t="s">
        <v>2307</v>
      </c>
      <c r="E970" s="1883"/>
      <c r="F970" s="1883"/>
      <c r="G970" s="678"/>
    </row>
    <row r="971" spans="1:9" ht="12.75" customHeight="1">
      <c r="A971" s="1714"/>
      <c r="B971" s="1714"/>
      <c r="C971" s="1746"/>
      <c r="D971" s="6"/>
      <c r="E971" s="6"/>
      <c r="F971" s="1738"/>
      <c r="G971" s="677"/>
    </row>
    <row r="972" spans="1:9" ht="12.75" customHeight="1">
      <c r="A972" s="1742"/>
      <c r="B972" s="798" t="s">
        <v>2678</v>
      </c>
      <c r="C972" s="556"/>
      <c r="D972" s="1862" t="s">
        <v>2308</v>
      </c>
      <c r="E972" s="1862"/>
      <c r="F972" s="1862"/>
      <c r="G972" s="677"/>
      <c r="I972" s="1774" t="s">
        <v>2486</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2666</v>
      </c>
      <c r="C981" s="313"/>
      <c r="D981" s="1860" t="s">
        <v>2309</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2666</v>
      </c>
      <c r="C986" s="313"/>
      <c r="D986" s="1860" t="s">
        <v>2310</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2678</v>
      </c>
      <c r="C989" s="556"/>
      <c r="D989" s="1883" t="s">
        <v>2311</v>
      </c>
      <c r="E989" s="1883"/>
      <c r="F989" s="1883"/>
      <c r="G989" s="677"/>
    </row>
    <row r="990" spans="1:7" ht="12.75" customHeight="1">
      <c r="A990" s="1742"/>
      <c r="B990" s="1742"/>
      <c r="C990" s="556"/>
      <c r="D990" s="6"/>
      <c r="E990" s="6"/>
      <c r="F990" s="6"/>
      <c r="G990" s="677"/>
    </row>
    <row r="991" spans="1:7" ht="12.75" customHeight="1">
      <c r="A991" s="714"/>
      <c r="B991" s="798" t="s">
        <v>2666</v>
      </c>
      <c r="C991" s="556"/>
      <c r="D991" s="1883" t="s">
        <v>2312</v>
      </c>
      <c r="E991" s="1883"/>
      <c r="F991" s="1883"/>
      <c r="G991" s="677"/>
    </row>
    <row r="992" spans="1:7" ht="12.75" customHeight="1">
      <c r="A992" s="1742"/>
      <c r="B992" s="1742"/>
      <c r="C992" s="556"/>
      <c r="D992" s="1708"/>
      <c r="E992" s="6"/>
      <c r="F992" s="6"/>
      <c r="G992" s="677"/>
    </row>
    <row r="993" spans="1:9" ht="12.75" customHeight="1">
      <c r="A993" s="714"/>
      <c r="B993" s="798" t="s">
        <v>2678</v>
      </c>
      <c r="C993" s="556"/>
      <c r="D993" s="1883" t="s">
        <v>2313</v>
      </c>
      <c r="E993" s="1883"/>
      <c r="F993" s="1883"/>
      <c r="G993" s="677"/>
    </row>
    <row r="994" spans="1:9" ht="12.75" customHeight="1">
      <c r="A994" s="1742"/>
      <c r="B994" s="1742"/>
      <c r="C994" s="556"/>
      <c r="D994" s="1708"/>
      <c r="E994" s="6"/>
      <c r="F994" s="6"/>
      <c r="G994" s="677"/>
    </row>
    <row r="995" spans="1:9" ht="12.75" customHeight="1">
      <c r="A995" s="714"/>
      <c r="B995" s="798" t="s">
        <v>2666</v>
      </c>
      <c r="C995" s="556"/>
      <c r="D995" s="1858" t="s">
        <v>2314</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2666</v>
      </c>
      <c r="C998" s="1759"/>
      <c r="D998" s="1901" t="s">
        <v>2315</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2666</v>
      </c>
      <c r="C1001" s="1759"/>
      <c r="D1001" s="2002" t="s">
        <v>2316</v>
      </c>
      <c r="E1001" s="2002"/>
      <c r="F1001" s="2002"/>
      <c r="G1001" s="1760"/>
    </row>
    <row r="1002" spans="1:9" ht="12.75" customHeight="1">
      <c r="A1002" s="1759"/>
      <c r="B1002" s="1759"/>
      <c r="C1002" s="1759"/>
      <c r="D1002" s="1761"/>
      <c r="E1002" s="1762"/>
      <c r="F1002" s="1762"/>
      <c r="G1002" s="1760"/>
    </row>
    <row r="1003" spans="1:9" ht="12.75" customHeight="1">
      <c r="A1003" s="714"/>
      <c r="B1003" s="798" t="s">
        <v>2666</v>
      </c>
      <c r="C1003" s="556"/>
      <c r="D1003" s="1883" t="s">
        <v>2317</v>
      </c>
      <c r="E1003" s="1883"/>
      <c r="F1003" s="1883"/>
      <c r="G1003" s="678"/>
    </row>
    <row r="1004" spans="1:9" ht="12.75" customHeight="1">
      <c r="A1004" s="714"/>
      <c r="B1004" s="714"/>
      <c r="C1004" s="556"/>
      <c r="D1004" s="1708"/>
      <c r="E1004" s="6"/>
      <c r="F1004" s="6"/>
      <c r="G1004" s="678"/>
    </row>
    <row r="1005" spans="1:9" ht="12.75" customHeight="1">
      <c r="A1005" s="714"/>
      <c r="B1005" s="798" t="s">
        <v>2666</v>
      </c>
      <c r="C1005" s="556"/>
      <c r="D1005" s="1858" t="s">
        <v>2318</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2319</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2320</v>
      </c>
      <c r="E1010" s="1902"/>
      <c r="F1010" s="1902"/>
      <c r="G1010" s="678"/>
    </row>
    <row r="1011" spans="1:9" ht="12.75" customHeight="1">
      <c r="A1011" s="1726"/>
      <c r="B1011" s="1726"/>
      <c r="C1011" s="557"/>
      <c r="D1011" s="2001" t="s">
        <v>2321</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2335</v>
      </c>
      <c r="E1013" s="1902"/>
      <c r="F1013" s="1902"/>
      <c r="G1013" s="678"/>
      <c r="I1013" s="1774" t="s">
        <v>2458</v>
      </c>
    </row>
    <row r="1014" spans="1:9" ht="12.75" customHeight="1">
      <c r="A1014" s="1742"/>
      <c r="B1014" s="798" t="s">
        <v>2678</v>
      </c>
      <c r="C1014" s="556"/>
      <c r="D1014" s="2001" t="s">
        <v>1504</v>
      </c>
      <c r="E1014" s="2001"/>
      <c r="F1014" s="2001"/>
      <c r="G1014" s="678"/>
    </row>
    <row r="1015" spans="1:9" s="1772" customFormat="1" ht="12.75" customHeight="1">
      <c r="A1015" s="1742"/>
      <c r="B1015" s="714"/>
      <c r="C1015" s="556"/>
      <c r="D1015" s="1997" t="s">
        <v>2322</v>
      </c>
      <c r="E1015" s="1997"/>
      <c r="F1015" s="1997"/>
      <c r="G1015" s="678"/>
      <c r="I1015" s="1774"/>
    </row>
    <row r="1016" spans="1:9" ht="12.75" customHeight="1">
      <c r="A1016" s="1742"/>
      <c r="B1016" s="1742"/>
      <c r="C1016" s="556"/>
      <c r="D1016" s="2001"/>
      <c r="E1016" s="2001"/>
      <c r="F1016" s="2001"/>
      <c r="G1016" s="678"/>
    </row>
    <row r="1017" spans="1:9" ht="12.75" customHeight="1">
      <c r="A1017" s="1998" t="s">
        <v>2331</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1505</v>
      </c>
      <c r="E1019" s="1896"/>
      <c r="F1019" s="1896"/>
      <c r="G1019" s="686"/>
    </row>
    <row r="1020" spans="1:9" ht="12.75" customHeight="1">
      <c r="A1020" s="254"/>
      <c r="B1020" s="1775" t="s">
        <v>2678</v>
      </c>
      <c r="C1020" s="1776"/>
      <c r="D1020" s="1875" t="s">
        <v>1504</v>
      </c>
      <c r="E1020" s="1875"/>
      <c r="F1020" s="1875"/>
      <c r="G1020" s="686"/>
    </row>
    <row r="1021" spans="1:9" ht="12.75" customHeight="1">
      <c r="A1021" s="254"/>
      <c r="B1021" s="1772"/>
      <c r="C1021" s="1776"/>
      <c r="D1021" s="1875" t="s">
        <v>2332</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1184</v>
      </c>
      <c r="E1023" s="1999"/>
      <c r="F1023" s="1999"/>
      <c r="G1023" s="686"/>
      <c r="I1023" s="1774" t="s">
        <v>2487</v>
      </c>
    </row>
    <row r="1024" spans="1:9" ht="12.75" customHeight="1">
      <c r="A1024" s="503"/>
      <c r="B1024" s="503"/>
      <c r="C1024" s="502"/>
      <c r="D1024" s="2000" t="s">
        <v>1201</v>
      </c>
      <c r="E1024" s="2000"/>
      <c r="F1024" s="2000"/>
      <c r="G1024" s="1763"/>
    </row>
    <row r="1025" spans="1:9" ht="12.75" customHeight="1">
      <c r="A1025" s="714"/>
      <c r="B1025" s="1775" t="s">
        <v>2666</v>
      </c>
      <c r="C1025" s="557"/>
      <c r="D1025" s="1887" t="s">
        <v>1069</v>
      </c>
      <c r="E1025" s="1887"/>
      <c r="F1025" s="1887"/>
      <c r="G1025" s="678"/>
    </row>
    <row r="1026" spans="1:9" ht="12.75"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2666</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2678</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2678</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2678</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2666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2666</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2666</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2666</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2666</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2666</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2513</v>
      </c>
    </row>
    <row r="1090" spans="1:9">
      <c r="A1090" s="790"/>
      <c r="B1090" s="1775" t="s">
        <v>2666</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2666</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2666</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17" zoomScale="85" zoomScaleNormal="85" zoomScaleSheetLayoutView="80" workbookViewId="0">
      <selection activeCell="AA932" sqref="AA932:AF93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1"/>
      <c r="AN8" s="1571"/>
      <c r="AO8" s="1571"/>
      <c r="AP8" s="1571"/>
      <c r="AQ8" s="1571"/>
      <c r="AR8" s="1571"/>
      <c r="AS8" s="1571"/>
      <c r="AT8" s="1571"/>
      <c r="AU8" s="1571"/>
      <c r="AV8" s="1571"/>
      <c r="AW8" s="1571"/>
      <c r="AX8" s="1571"/>
      <c r="AY8" s="1571"/>
    </row>
    <row r="9" spans="1:96" s="719" customFormat="1" ht="12.75">
      <c r="A9" s="2088" t="s">
        <v>1990</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0"/>
      <c r="AN9" s="1510"/>
      <c r="AO9" s="1510"/>
      <c r="AP9" s="1510"/>
      <c r="AQ9" s="1510"/>
      <c r="AR9" s="1510"/>
      <c r="AS9" s="1510"/>
      <c r="AT9" s="1510"/>
      <c r="AU9" s="1510"/>
      <c r="AV9" s="1510"/>
      <c r="AW9" s="1510"/>
      <c r="AX9" s="1510"/>
      <c r="AY9" s="1510"/>
      <c r="CR9" s="25"/>
    </row>
    <row r="10" spans="1:96" ht="15" customHeight="1">
      <c r="A10" s="2223" t="s">
        <v>1991</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8" t="s">
        <v>2011</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0"/>
      <c r="AN11" s="1510"/>
      <c r="AO11" s="1510"/>
      <c r="AP11" s="1510"/>
      <c r="AQ11" s="1510"/>
      <c r="AR11" s="1510"/>
      <c r="AS11" s="1510"/>
      <c r="AT11" s="1510"/>
      <c r="AU11" s="1510"/>
      <c r="AV11" s="1510"/>
      <c r="AW11" s="1510"/>
      <c r="AX11" s="1510"/>
      <c r="AY11" s="1510"/>
    </row>
    <row r="12" spans="1:96" ht="12.75">
      <c r="A12" s="2230" t="s">
        <v>2519</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2.75">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1" t="s">
        <v>2520</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214" t="s">
        <v>2521</v>
      </c>
      <c r="I18" s="2200"/>
      <c r="J18" s="2200"/>
      <c r="K18" s="2200"/>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row>
    <row r="19" spans="1:96" ht="12.75" customHeight="1"/>
    <row r="20" spans="1:96" ht="14.25" customHeight="1">
      <c r="A20" s="2225" t="s">
        <v>935</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4" t="s">
        <v>1115</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3">
        <f>'Basis &amp; Credits'!AB56</f>
        <v>6815678</v>
      </c>
      <c r="N26" s="2233"/>
      <c r="O26" s="2233"/>
      <c r="P26" s="2233"/>
      <c r="Q26" s="223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18541842</v>
      </c>
      <c r="N27" s="2143"/>
      <c r="O27" s="2143"/>
      <c r="P27" s="2143"/>
      <c r="Q27" s="214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6" t="s">
        <v>577</v>
      </c>
      <c r="P33" s="2036"/>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26"/>
      <c r="H122" s="2226"/>
      <c r="I122" s="239" t="s">
        <v>186</v>
      </c>
      <c r="L122" s="2226"/>
      <c r="M122" s="2226"/>
      <c r="N122" s="222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1"/>
      <c r="D124" s="2201"/>
      <c r="E124" s="2201"/>
      <c r="F124" s="2201"/>
      <c r="G124" s="2201"/>
      <c r="H124" s="2201"/>
      <c r="I124" s="2201"/>
      <c r="J124" s="2201"/>
      <c r="K124" s="220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2"/>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4" t="s">
        <v>2522</v>
      </c>
      <c r="P153" s="2200"/>
      <c r="Q153" s="2200"/>
      <c r="R153" s="2200"/>
      <c r="S153" s="2200"/>
      <c r="T153" s="2200"/>
      <c r="U153" s="2200"/>
      <c r="V153" s="2200"/>
      <c r="W153" s="2200"/>
      <c r="X153" s="2200"/>
      <c r="Y153" s="2200"/>
      <c r="Z153" s="2200"/>
      <c r="AA153" s="2200"/>
      <c r="AB153" s="2200"/>
      <c r="AC153" s="2200"/>
      <c r="AD153" s="2200"/>
      <c r="AE153" s="2200"/>
      <c r="AF153" s="2200"/>
      <c r="AG153" s="2200"/>
      <c r="AH153" s="2200"/>
    </row>
    <row r="154" spans="1:96" ht="12.75" customHeight="1">
      <c r="D154" s="466" t="s">
        <v>461</v>
      </c>
      <c r="F154" s="32"/>
      <c r="G154" s="32"/>
      <c r="H154" s="32"/>
      <c r="I154" s="32"/>
      <c r="J154" s="32"/>
      <c r="K154" s="32"/>
      <c r="L154" s="32"/>
      <c r="M154" s="32"/>
      <c r="N154" s="32"/>
      <c r="O154" s="2163" t="s">
        <v>2523</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463</v>
      </c>
      <c r="F155" s="13"/>
      <c r="G155" s="13"/>
      <c r="H155" s="13"/>
      <c r="I155" s="13"/>
      <c r="J155" s="13"/>
      <c r="K155" s="13"/>
      <c r="L155" s="13"/>
      <c r="M155" s="13"/>
      <c r="N155" s="13"/>
      <c r="O155" s="2236" t="s">
        <v>462</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75">
      <c r="D156" s="32" t="s">
        <v>321</v>
      </c>
      <c r="F156" s="32"/>
      <c r="G156" s="32"/>
      <c r="H156" s="32"/>
      <c r="I156" s="32"/>
      <c r="J156" s="32"/>
      <c r="K156" s="32"/>
      <c r="L156" s="32"/>
      <c r="M156" s="32"/>
      <c r="N156" s="32"/>
      <c r="O156" s="2037" t="s">
        <v>2524</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2.75">
      <c r="D157" s="32" t="s">
        <v>322</v>
      </c>
      <c r="F157" s="32"/>
      <c r="G157" s="32"/>
      <c r="H157" s="32"/>
      <c r="I157" s="32"/>
      <c r="J157" s="32"/>
      <c r="K157" s="32"/>
      <c r="L157" s="32"/>
      <c r="M157" s="32"/>
      <c r="N157" s="32"/>
      <c r="O157" s="2214" t="s">
        <v>2525</v>
      </c>
      <c r="P157" s="2200"/>
      <c r="Q157" s="2200"/>
      <c r="R157" s="2200"/>
      <c r="S157" s="2200"/>
      <c r="T157" s="2200"/>
      <c r="U157" s="2200"/>
      <c r="V157" s="2200"/>
      <c r="W157" s="2200"/>
      <c r="X157" s="2200"/>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38">
        <v>91206</v>
      </c>
      <c r="P158" s="2238"/>
      <c r="Q158" s="2238"/>
      <c r="R158" s="2238"/>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02" t="s">
        <v>2526</v>
      </c>
      <c r="P159" s="2202"/>
      <c r="Q159" s="2202"/>
      <c r="R159" s="2202"/>
      <c r="S159" s="2202"/>
      <c r="T159" s="2202"/>
      <c r="V159" s="146" t="s">
        <v>276</v>
      </c>
      <c r="W159" s="2239"/>
      <c r="X159" s="2239"/>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02" t="s">
        <v>2527</v>
      </c>
      <c r="P160" s="2202"/>
      <c r="Q160" s="2202"/>
      <c r="R160" s="2202"/>
      <c r="S160" s="2202"/>
      <c r="T160" s="2202"/>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203" t="s">
        <v>2528</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4" t="s">
        <v>1455</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3" t="s">
        <v>571</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1408</v>
      </c>
      <c r="E174" s="25"/>
      <c r="F174" s="25"/>
      <c r="G174" s="25"/>
      <c r="H174" s="25"/>
      <c r="I174" s="25"/>
      <c r="J174" s="2037" t="s">
        <v>2529</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36" t="s">
        <v>705</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7"/>
      <c r="V176" s="2157"/>
      <c r="W176" s="4" t="s">
        <v>314</v>
      </c>
      <c r="X176" s="2220"/>
      <c r="Y176" s="222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4"/>
      <c r="AG178" s="2404"/>
      <c r="AH178" s="4" t="s">
        <v>314</v>
      </c>
      <c r="AI178" s="2240"/>
      <c r="AJ178" s="2240"/>
      <c r="AK178" s="22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038" t="str">
        <f>H18</f>
        <v>515 Pioneer Drive</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39" t="s">
        <v>2521</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086"/>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37" t="s">
        <v>2525</v>
      </c>
      <c r="J189" s="2037"/>
      <c r="K189" s="2037"/>
      <c r="L189" s="2037"/>
      <c r="M189" s="2037"/>
      <c r="N189" s="2037"/>
      <c r="O189" s="2037"/>
      <c r="P189" s="2037"/>
      <c r="Q189" s="25" t="s">
        <v>616</v>
      </c>
      <c r="T189" s="2037" t="s">
        <v>526</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39">
        <v>91203</v>
      </c>
      <c r="J190" s="2039"/>
      <c r="K190" s="2039"/>
      <c r="L190" s="2039"/>
      <c r="M190" s="2039"/>
      <c r="N190" s="2039"/>
      <c r="O190" s="25" t="s">
        <v>619</v>
      </c>
      <c r="P190" s="25"/>
      <c r="Q190" s="25"/>
      <c r="R190" s="25"/>
      <c r="S190" s="25"/>
      <c r="T190" s="2228">
        <v>3017.02</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86" t="s">
        <v>2530</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1" t="s">
        <v>2531</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28</v>
      </c>
      <c r="AI194" s="2036"/>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36">
        <v>43</v>
      </c>
      <c r="AI195" s="2036"/>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25</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38" t="s">
        <v>402</v>
      </c>
      <c r="E203" s="2038"/>
      <c r="F203" s="2038"/>
      <c r="G203" s="2038"/>
      <c r="H203" s="2038"/>
      <c r="I203" s="2038"/>
      <c r="J203" s="2038"/>
      <c r="K203" s="2038"/>
      <c r="L203" s="2038"/>
      <c r="M203" s="2038"/>
      <c r="P203" s="2224">
        <f>M26</f>
        <v>6815678</v>
      </c>
      <c r="Q203" s="2219"/>
      <c r="R203" s="2219"/>
      <c r="S203" s="2219"/>
      <c r="T203" s="2219"/>
      <c r="U203" s="2219"/>
      <c r="V203" s="25"/>
      <c r="W203" s="25"/>
      <c r="X203" s="25"/>
      <c r="Y203" s="25"/>
      <c r="Z203" s="2217" t="s">
        <v>2532</v>
      </c>
      <c r="AA203" s="2217"/>
      <c r="AB203" s="2217"/>
      <c r="AC203" s="2217"/>
      <c r="AD203" s="2217"/>
      <c r="AE203" s="2217"/>
      <c r="AF203" s="221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22" t="s">
        <v>1476</v>
      </c>
      <c r="E204" s="2038"/>
      <c r="F204" s="2038"/>
      <c r="G204" s="2038"/>
      <c r="H204" s="2038"/>
      <c r="I204" s="2038"/>
      <c r="J204" s="2038"/>
      <c r="K204" s="2038"/>
      <c r="L204" s="2038"/>
      <c r="M204" s="2038"/>
      <c r="P204" s="2219">
        <f>M27</f>
        <v>18541842</v>
      </c>
      <c r="Q204" s="2219"/>
      <c r="R204" s="2219"/>
      <c r="S204" s="2219"/>
      <c r="T204" s="2219"/>
      <c r="U204" s="2219"/>
      <c r="V204" s="47"/>
      <c r="W204" s="58" t="s">
        <v>2218</v>
      </c>
      <c r="Z204" s="2217"/>
      <c r="AA204" s="2217"/>
      <c r="AB204" s="2217"/>
      <c r="AC204" s="2217"/>
      <c r="AD204" s="2217"/>
      <c r="AE204" s="2217"/>
      <c r="AF204" s="2217"/>
      <c r="AG204" s="25" t="s">
        <v>1477</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2.75">
      <c r="A207" s="25"/>
      <c r="C207" s="45"/>
      <c r="D207" s="2200" t="s">
        <v>2533</v>
      </c>
      <c r="E207" s="2200"/>
      <c r="F207" s="2200"/>
      <c r="G207" s="2200"/>
      <c r="H207" s="2200"/>
      <c r="I207" s="2200"/>
      <c r="J207" s="2200"/>
      <c r="K207" s="2200"/>
      <c r="L207" s="2200"/>
      <c r="M207" s="22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200" t="s">
        <v>2384</v>
      </c>
      <c r="E210" s="2200"/>
      <c r="F210" s="2200"/>
      <c r="G210" s="2200"/>
      <c r="H210" s="2200"/>
      <c r="I210" s="2200"/>
      <c r="J210" s="2200"/>
      <c r="K210" s="2200"/>
      <c r="L210" s="2200"/>
      <c r="M210" s="220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090" t="s">
        <v>625</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0" t="s">
        <v>938</v>
      </c>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083" t="s">
        <v>572</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5"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577</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577</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29" t="str">
        <f>H16</f>
        <v>Linc Housing Corporation</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75">
      <c r="D232" s="57" t="s">
        <v>90</v>
      </c>
      <c r="E232" s="57"/>
      <c r="F232" s="57"/>
      <c r="G232" s="57"/>
      <c r="H232" s="57"/>
      <c r="I232" s="57"/>
      <c r="J232" s="57"/>
      <c r="K232" s="7"/>
      <c r="M232" s="2214" t="s">
        <v>2534</v>
      </c>
      <c r="N232" s="2200"/>
      <c r="O232" s="2200"/>
      <c r="P232" s="2200"/>
      <c r="Q232" s="2200"/>
      <c r="R232" s="2200"/>
      <c r="S232" s="2200"/>
      <c r="T232" s="2200"/>
      <c r="U232" s="2200"/>
      <c r="V232" s="2200"/>
      <c r="W232" s="2200"/>
      <c r="X232" s="2200"/>
      <c r="Y232" s="2200"/>
      <c r="Z232" s="2200"/>
      <c r="AA232" s="2200"/>
      <c r="AB232" s="2200"/>
      <c r="AC232" s="2200"/>
      <c r="AD232" s="2200"/>
      <c r="AE232" s="2200"/>
      <c r="AZ232" s="7"/>
      <c r="BA232" s="58"/>
      <c r="BB232" s="334" t="s">
        <v>570</v>
      </c>
      <c r="BG232" s="389">
        <f>IF(AND(AND($M$248="nonprofit",$M$256="nonprofit",$M$264="for profit")),2,0)</f>
        <v>0</v>
      </c>
      <c r="BQ232" s="61"/>
    </row>
    <row r="233" spans="1:69" ht="12.75">
      <c r="D233" s="57" t="s">
        <v>614</v>
      </c>
      <c r="E233" s="57"/>
      <c r="M233" s="2214" t="s">
        <v>2535</v>
      </c>
      <c r="N233" s="2200"/>
      <c r="O233" s="2200"/>
      <c r="P233" s="2200"/>
      <c r="Q233" s="2200"/>
      <c r="R233" s="2200"/>
      <c r="S233" s="2200"/>
      <c r="T233" s="2200"/>
      <c r="V233" s="59" t="s">
        <v>91</v>
      </c>
      <c r="W233" s="2163" t="s">
        <v>2536</v>
      </c>
      <c r="X233" s="2028"/>
      <c r="Y233" s="57" t="s">
        <v>617</v>
      </c>
      <c r="AC233" s="2200">
        <v>90807</v>
      </c>
      <c r="AD233" s="2200"/>
      <c r="AE233" s="2200"/>
      <c r="BB233" s="334" t="s">
        <v>570</v>
      </c>
      <c r="BG233" s="389">
        <f>IF(AND(AND($M$248="nonprofit",$M$256="for profit",$M$264="nonprofit")),2,0)</f>
        <v>0</v>
      </c>
    </row>
    <row r="234" spans="1:69" ht="12.75">
      <c r="D234" s="60" t="s">
        <v>92</v>
      </c>
      <c r="E234" s="7"/>
      <c r="F234" s="7"/>
      <c r="G234" s="7"/>
      <c r="H234" s="7"/>
      <c r="I234" s="7"/>
      <c r="J234" s="7"/>
      <c r="K234" s="29"/>
      <c r="M234" s="2214" t="s">
        <v>2537</v>
      </c>
      <c r="N234" s="2200"/>
      <c r="O234" s="2200"/>
      <c r="P234" s="2200"/>
      <c r="Q234" s="2200"/>
      <c r="R234" s="2200"/>
      <c r="S234" s="2200"/>
      <c r="T234" s="2200"/>
      <c r="U234" s="2200"/>
      <c r="V234" s="2200"/>
      <c r="W234" s="2200"/>
      <c r="X234" s="2200"/>
      <c r="Y234" s="2200"/>
      <c r="Z234" s="2200"/>
      <c r="AA234" s="2200"/>
      <c r="AB234" s="2200"/>
      <c r="AC234" s="2200"/>
      <c r="AD234" s="2200"/>
      <c r="AE234" s="220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62" t="s">
        <v>2538</v>
      </c>
      <c r="N235" s="2063"/>
      <c r="O235" s="2063"/>
      <c r="P235" s="2063"/>
      <c r="Q235" s="2063"/>
      <c r="R235" s="2063"/>
      <c r="S235" s="7" t="s">
        <v>211</v>
      </c>
      <c r="T235" s="7"/>
      <c r="U235" s="2028"/>
      <c r="V235" s="2028"/>
      <c r="W235" s="2028"/>
      <c r="X235" s="7" t="s">
        <v>94</v>
      </c>
      <c r="Z235" s="2162" t="s">
        <v>2539</v>
      </c>
      <c r="AA235" s="2063"/>
      <c r="AB235" s="2063"/>
      <c r="AC235" s="2063"/>
      <c r="AD235" s="2063"/>
      <c r="AE235" s="2063"/>
      <c r="BB235" s="385"/>
      <c r="BG235" s="386"/>
    </row>
    <row r="236" spans="1:69" ht="12.75">
      <c r="D236" s="60" t="s">
        <v>95</v>
      </c>
      <c r="E236" s="7"/>
      <c r="F236" s="7"/>
      <c r="M236" s="2203" t="s">
        <v>2540</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1</v>
      </c>
    </row>
    <row r="237" spans="1:69" ht="12.75">
      <c r="A237" s="50" t="s">
        <v>620</v>
      </c>
      <c r="C237" s="37" t="s">
        <v>557</v>
      </c>
      <c r="M237" s="2039" t="s">
        <v>394</v>
      </c>
      <c r="N237" s="2039"/>
      <c r="O237" s="2039"/>
      <c r="P237" s="2039"/>
      <c r="Q237" s="2039"/>
      <c r="R237" s="2039"/>
      <c r="S237" s="2039"/>
      <c r="T237" s="2039"/>
      <c r="U237" s="387" t="s">
        <v>974</v>
      </c>
      <c r="V237" s="325"/>
      <c r="W237" s="325"/>
      <c r="X237" s="325"/>
      <c r="Y237" s="325"/>
      <c r="Z237" s="325"/>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0" t="str">
        <f t="shared" ref="M242:M247" si="0">M231</f>
        <v>Linc Housing Corporation</v>
      </c>
      <c r="N242" s="2210"/>
      <c r="O242" s="2210"/>
      <c r="P242" s="2210"/>
      <c r="Q242" s="2210"/>
      <c r="R242" s="2210"/>
      <c r="S242" s="2210"/>
      <c r="T242" s="2210"/>
      <c r="U242" s="2210"/>
      <c r="V242" s="2210"/>
      <c r="W242" s="2210"/>
      <c r="X242" s="2210"/>
      <c r="Y242" s="2210"/>
      <c r="Z242" s="2210"/>
      <c r="AA242" s="2210"/>
      <c r="AB242" s="2210"/>
      <c r="AC242" s="2210"/>
      <c r="AD242" s="2210"/>
      <c r="AE242" s="2210"/>
      <c r="AF242" s="2210" t="s">
        <v>2541</v>
      </c>
      <c r="AG242" s="2210"/>
      <c r="AH242" s="2210"/>
      <c r="AI242" s="2210"/>
      <c r="AJ242" s="2210"/>
      <c r="AK242" s="221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00" t="str">
        <f t="shared" si="0"/>
        <v>3590 Elm Avenue</v>
      </c>
      <c r="N243" s="2200"/>
      <c r="O243" s="2200"/>
      <c r="P243" s="2200"/>
      <c r="Q243" s="2200"/>
      <c r="R243" s="2200"/>
      <c r="S243" s="2200"/>
      <c r="T243" s="2200"/>
      <c r="U243" s="2200"/>
      <c r="V243" s="2200"/>
      <c r="W243" s="2200"/>
      <c r="X243" s="2200"/>
      <c r="Y243" s="2200"/>
      <c r="Z243" s="2200"/>
      <c r="AA243" s="2200"/>
      <c r="AB243" s="2200"/>
      <c r="AC243" s="2200"/>
      <c r="AD243" s="2200"/>
      <c r="AE243" s="220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00" t="str">
        <f t="shared" si="0"/>
        <v>Long Beach</v>
      </c>
      <c r="N244" s="2200"/>
      <c r="O244" s="2200"/>
      <c r="P244" s="2200"/>
      <c r="Q244" s="2200"/>
      <c r="R244" s="2200"/>
      <c r="S244" s="2200"/>
      <c r="T244" s="2200"/>
      <c r="V244" s="59" t="s">
        <v>91</v>
      </c>
      <c r="W244" s="2028" t="str">
        <f>W233</f>
        <v>CA</v>
      </c>
      <c r="X244" s="2028"/>
      <c r="Y244" s="57" t="s">
        <v>617</v>
      </c>
      <c r="AC244" s="2200">
        <f>AC233</f>
        <v>90807</v>
      </c>
      <c r="AD244" s="2200"/>
      <c r="AE244" s="2200"/>
      <c r="AF244" s="58" t="s">
        <v>1379</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200" t="str">
        <f t="shared" si="0"/>
        <v>Luis Rodriguez</v>
      </c>
      <c r="N245" s="2200"/>
      <c r="O245" s="2200"/>
      <c r="P245" s="2200"/>
      <c r="Q245" s="2200"/>
      <c r="R245" s="2200"/>
      <c r="S245" s="2200"/>
      <c r="T245" s="2200"/>
      <c r="U245" s="2200"/>
      <c r="V245" s="2200"/>
      <c r="W245" s="2200"/>
      <c r="X245" s="2200"/>
      <c r="Y245" s="2200"/>
      <c r="Z245" s="2200"/>
      <c r="AA245" s="2200"/>
      <c r="AB245" s="2200"/>
      <c r="AC245" s="2200"/>
      <c r="AD245" s="2200"/>
      <c r="AE245" s="2200"/>
      <c r="AH245" s="2104">
        <v>0.05</v>
      </c>
      <c r="AI245" s="2104"/>
      <c r="AJ245" s="2104"/>
      <c r="AK245" s="2104"/>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063" t="str">
        <f t="shared" si="0"/>
        <v>562-684-1128</v>
      </c>
      <c r="N246" s="2063"/>
      <c r="O246" s="2063"/>
      <c r="P246" s="2063"/>
      <c r="Q246" s="2063"/>
      <c r="R246" s="2063"/>
      <c r="S246" s="7" t="s">
        <v>211</v>
      </c>
      <c r="T246" s="7"/>
      <c r="U246" s="2028"/>
      <c r="V246" s="2028"/>
      <c r="W246" s="2028"/>
      <c r="X246" s="7" t="s">
        <v>94</v>
      </c>
      <c r="Z246" s="2063" t="str">
        <f>Z235</f>
        <v>562-684-1112</v>
      </c>
      <c r="AA246" s="2063"/>
      <c r="AB246" s="2063"/>
      <c r="AC246" s="2063"/>
      <c r="AD246" s="2063"/>
      <c r="AE246" s="2063"/>
      <c r="BB246" s="7" t="s">
        <v>177</v>
      </c>
      <c r="BG246" s="12">
        <v>3</v>
      </c>
      <c r="BH246" s="12" t="s">
        <v>568</v>
      </c>
      <c r="BN246" s="390"/>
      <c r="BO246" s="39"/>
    </row>
    <row r="247" spans="1:72" ht="12.75">
      <c r="A247" s="29"/>
      <c r="B247" s="7"/>
      <c r="C247" s="7"/>
      <c r="D247" s="60" t="s">
        <v>95</v>
      </c>
      <c r="E247" s="7"/>
      <c r="F247" s="7"/>
      <c r="M247" s="2203" t="str">
        <f t="shared" si="0"/>
        <v>lrodriguez@linchousing.org</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9" t="s">
        <v>566</v>
      </c>
      <c r="N248" s="2039"/>
      <c r="O248" s="2039"/>
      <c r="P248" s="2039"/>
      <c r="Q248" s="2039"/>
      <c r="R248" s="2039"/>
      <c r="S248" s="2039"/>
      <c r="T248" s="2039"/>
      <c r="U248" s="387" t="s">
        <v>974</v>
      </c>
      <c r="V248" s="325"/>
      <c r="W248" s="325"/>
      <c r="X248" s="325"/>
      <c r="Y248" s="325"/>
      <c r="Z248" s="325"/>
      <c r="AA248" s="2212" t="s">
        <v>625</v>
      </c>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1" t="s">
        <v>2542</v>
      </c>
      <c r="N250" s="2210"/>
      <c r="O250" s="2210"/>
      <c r="P250" s="2210"/>
      <c r="Q250" s="2210"/>
      <c r="R250" s="2210"/>
      <c r="S250" s="2210"/>
      <c r="T250" s="2210"/>
      <c r="U250" s="2210"/>
      <c r="V250" s="2210"/>
      <c r="W250" s="2210"/>
      <c r="X250" s="2210"/>
      <c r="Y250" s="2210"/>
      <c r="Z250" s="2210"/>
      <c r="AA250" s="2210"/>
      <c r="AB250" s="2210"/>
      <c r="AC250" s="2210"/>
      <c r="AD250" s="2210"/>
      <c r="AE250" s="2210"/>
      <c r="AF250" s="2210" t="s">
        <v>2541</v>
      </c>
      <c r="AG250" s="2210"/>
      <c r="AH250" s="2210"/>
      <c r="AI250" s="2210"/>
      <c r="AJ250" s="2210"/>
      <c r="AK250" s="2210"/>
      <c r="BN250" s="61"/>
    </row>
    <row r="251" spans="1:72" ht="12.75">
      <c r="A251" s="29"/>
      <c r="B251" s="7"/>
      <c r="C251" s="7"/>
      <c r="D251" s="57" t="s">
        <v>90</v>
      </c>
      <c r="E251" s="57"/>
      <c r="F251" s="57"/>
      <c r="G251" s="57"/>
      <c r="H251" s="57"/>
      <c r="I251" s="57"/>
      <c r="J251" s="57"/>
      <c r="K251" s="57"/>
      <c r="L251" s="7"/>
      <c r="M251" s="2214" t="s">
        <v>2543</v>
      </c>
      <c r="N251" s="2200"/>
      <c r="O251" s="2200"/>
      <c r="P251" s="2200"/>
      <c r="Q251" s="2200"/>
      <c r="R251" s="2200"/>
      <c r="S251" s="2200"/>
      <c r="T251" s="2200"/>
      <c r="U251" s="2200"/>
      <c r="V251" s="2200"/>
      <c r="W251" s="2200"/>
      <c r="X251" s="2200"/>
      <c r="Y251" s="2200"/>
      <c r="Z251" s="2200"/>
      <c r="AA251" s="2200"/>
      <c r="AB251" s="2200"/>
      <c r="AC251" s="2200"/>
      <c r="AD251" s="2200"/>
      <c r="AE251" s="220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4" t="s">
        <v>2544</v>
      </c>
      <c r="N252" s="2200"/>
      <c r="O252" s="2200"/>
      <c r="P252" s="2200"/>
      <c r="Q252" s="2200"/>
      <c r="R252" s="2200"/>
      <c r="S252" s="2200"/>
      <c r="T252" s="2200"/>
      <c r="V252" s="59" t="s">
        <v>91</v>
      </c>
      <c r="W252" s="2163" t="s">
        <v>2536</v>
      </c>
      <c r="X252" s="2028"/>
      <c r="Y252" s="57" t="s">
        <v>617</v>
      </c>
      <c r="AC252" s="2200">
        <v>91730</v>
      </c>
      <c r="AD252" s="2200"/>
      <c r="AE252" s="2200"/>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14" t="s">
        <v>2545</v>
      </c>
      <c r="N253" s="2200"/>
      <c r="O253" s="2200"/>
      <c r="P253" s="2200"/>
      <c r="Q253" s="2200"/>
      <c r="R253" s="2200"/>
      <c r="S253" s="2200"/>
      <c r="T253" s="2200"/>
      <c r="U253" s="2200"/>
      <c r="V253" s="2200"/>
      <c r="W253" s="2200"/>
      <c r="X253" s="2200"/>
      <c r="Y253" s="2200"/>
      <c r="Z253" s="2200"/>
      <c r="AA253" s="2200"/>
      <c r="AB253" s="2200"/>
      <c r="AC253" s="2200"/>
      <c r="AD253" s="2200"/>
      <c r="AE253" s="2200"/>
      <c r="AF253" s="719"/>
      <c r="AG253" s="719"/>
      <c r="AH253" s="2104">
        <v>0.05</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2" t="s">
        <v>2546</v>
      </c>
      <c r="N254" s="2063"/>
      <c r="O254" s="2063"/>
      <c r="P254" s="2063"/>
      <c r="Q254" s="2063"/>
      <c r="R254" s="2063"/>
      <c r="S254" s="7" t="s">
        <v>211</v>
      </c>
      <c r="T254" s="7"/>
      <c r="U254" s="2028"/>
      <c r="V254" s="2028"/>
      <c r="W254" s="2028"/>
      <c r="X254" s="7" t="s">
        <v>94</v>
      </c>
      <c r="Z254" s="2162" t="s">
        <v>2547</v>
      </c>
      <c r="AA254" s="2063"/>
      <c r="AB254" s="2063"/>
      <c r="AC254" s="2063"/>
      <c r="AD254" s="2063"/>
      <c r="AE254" s="2063"/>
    </row>
    <row r="255" spans="1:72" ht="12.75">
      <c r="A255" s="29"/>
      <c r="B255" s="7"/>
      <c r="C255" s="7"/>
      <c r="D255" s="60" t="s">
        <v>95</v>
      </c>
      <c r="E255" s="7"/>
      <c r="F255" s="7"/>
      <c r="M255" s="2203" t="s">
        <v>2548</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9" t="s">
        <v>566</v>
      </c>
      <c r="N256" s="2039"/>
      <c r="O256" s="2039"/>
      <c r="P256" s="2039"/>
      <c r="Q256" s="2039"/>
      <c r="R256" s="2039"/>
      <c r="S256" s="2039"/>
      <c r="T256" s="2039"/>
      <c r="U256" s="387" t="s">
        <v>974</v>
      </c>
      <c r="V256" s="325"/>
      <c r="W256" s="325"/>
      <c r="X256" s="325"/>
      <c r="Y256" s="325"/>
      <c r="Z256" s="325"/>
      <c r="AA256" s="2212" t="s">
        <v>625</v>
      </c>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1" t="s">
        <v>625</v>
      </c>
      <c r="N258" s="2210"/>
      <c r="O258" s="2210"/>
      <c r="P258" s="2210"/>
      <c r="Q258" s="2210"/>
      <c r="R258" s="2210"/>
      <c r="S258" s="2210"/>
      <c r="T258" s="2210"/>
      <c r="U258" s="2210"/>
      <c r="V258" s="2210"/>
      <c r="W258" s="2210"/>
      <c r="X258" s="2210"/>
      <c r="Y258" s="2210"/>
      <c r="Z258" s="2210"/>
      <c r="AA258" s="2210"/>
      <c r="AB258" s="2210"/>
      <c r="AC258" s="2210"/>
      <c r="AD258" s="2210"/>
      <c r="AE258" s="2210"/>
      <c r="AF258" s="2210" t="s">
        <v>315</v>
      </c>
      <c r="AG258" s="2210"/>
      <c r="AH258" s="2210"/>
      <c r="AI258" s="2210"/>
      <c r="AJ258" s="2210"/>
      <c r="AK258" s="221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4" t="s">
        <v>625</v>
      </c>
      <c r="N259" s="2200"/>
      <c r="O259" s="2200"/>
      <c r="P259" s="2200"/>
      <c r="Q259" s="2200"/>
      <c r="R259" s="2200"/>
      <c r="S259" s="2200"/>
      <c r="T259" s="2200"/>
      <c r="U259" s="2200"/>
      <c r="V259" s="2200"/>
      <c r="W259" s="2200"/>
      <c r="X259" s="2200"/>
      <c r="Y259" s="2200"/>
      <c r="Z259" s="2200"/>
      <c r="AA259" s="2200"/>
      <c r="AB259" s="2200"/>
      <c r="AC259" s="2200"/>
      <c r="AD259" s="2200"/>
      <c r="AE259" s="220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4" t="s">
        <v>625</v>
      </c>
      <c r="N260" s="2200"/>
      <c r="O260" s="2200"/>
      <c r="P260" s="2200"/>
      <c r="Q260" s="2200"/>
      <c r="R260" s="2200"/>
      <c r="S260" s="2200"/>
      <c r="T260" s="2200"/>
      <c r="V260" s="59" t="s">
        <v>91</v>
      </c>
      <c r="W260" s="2163" t="s">
        <v>625</v>
      </c>
      <c r="X260" s="2028"/>
      <c r="Y260" s="57" t="s">
        <v>617</v>
      </c>
      <c r="AC260" s="2214" t="s">
        <v>625</v>
      </c>
      <c r="AD260" s="2200"/>
      <c r="AE260" s="220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4" t="s">
        <v>625</v>
      </c>
      <c r="N261" s="2200"/>
      <c r="O261" s="2200"/>
      <c r="P261" s="2200"/>
      <c r="Q261" s="2200"/>
      <c r="R261" s="2200"/>
      <c r="S261" s="2200"/>
      <c r="T261" s="2200"/>
      <c r="U261" s="2200"/>
      <c r="V261" s="2200"/>
      <c r="W261" s="2200"/>
      <c r="X261" s="2200"/>
      <c r="Y261" s="2200"/>
      <c r="Z261" s="2200"/>
      <c r="AA261" s="2200"/>
      <c r="AB261" s="2200"/>
      <c r="AC261" s="2200"/>
      <c r="AD261" s="2200"/>
      <c r="AE261" s="2200"/>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62" t="s">
        <v>625</v>
      </c>
      <c r="N262" s="2063"/>
      <c r="O262" s="2063"/>
      <c r="P262" s="2063"/>
      <c r="Q262" s="2063"/>
      <c r="R262" s="2063"/>
      <c r="S262" s="7" t="s">
        <v>211</v>
      </c>
      <c r="T262" s="7"/>
      <c r="U262" s="2163" t="s">
        <v>625</v>
      </c>
      <c r="V262" s="2028"/>
      <c r="W262" s="2028"/>
      <c r="X262" s="7" t="s">
        <v>94</v>
      </c>
      <c r="Z262" s="2162" t="s">
        <v>625</v>
      </c>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3" t="s">
        <v>625</v>
      </c>
      <c r="N263" s="2203"/>
      <c r="O263" s="2203"/>
      <c r="P263" s="2203"/>
      <c r="Q263" s="2203"/>
      <c r="R263" s="2203"/>
      <c r="S263" s="2203"/>
      <c r="T263" s="2203"/>
      <c r="U263" s="2203"/>
      <c r="V263" s="2203"/>
      <c r="W263" s="2203"/>
      <c r="X263" s="2203"/>
      <c r="Y263" s="2203"/>
      <c r="Z263" s="2203"/>
      <c r="AA263" s="2216"/>
      <c r="AB263" s="2216"/>
      <c r="AC263" s="2216"/>
      <c r="AD263" s="2216"/>
      <c r="AE263" s="22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9" t="s">
        <v>315</v>
      </c>
      <c r="N264" s="2039"/>
      <c r="O264" s="2039"/>
      <c r="P264" s="2039"/>
      <c r="Q264" s="2039"/>
      <c r="R264" s="2039"/>
      <c r="S264" s="2039"/>
      <c r="T264" s="2039"/>
      <c r="U264" s="387" t="s">
        <v>974</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41" t="str">
        <f>BO245</f>
        <v>Nonprofit</v>
      </c>
      <c r="U266" s="2241"/>
      <c r="V266" s="2241"/>
      <c r="W266" s="2241"/>
      <c r="X266" s="2241"/>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0" t="s">
        <v>177</v>
      </c>
      <c r="E269" s="2200"/>
      <c r="F269" s="2200"/>
      <c r="G269" s="2200"/>
      <c r="H269" s="2200"/>
      <c r="J269" s="12" t="s">
        <v>284</v>
      </c>
      <c r="X269" s="2215">
        <v>44520</v>
      </c>
      <c r="Y269" s="2215"/>
      <c r="Z269" s="2215"/>
      <c r="AA269" s="2215"/>
      <c r="AB269" s="2215"/>
      <c r="AC269" s="2215"/>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10" t="str">
        <f t="shared" ref="L273:L278" si="1">M242</f>
        <v>Linc Housing Corporation</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0" t="str">
        <f t="shared" si="1"/>
        <v>3590 Elm Avenue</v>
      </c>
      <c r="M274" s="2200"/>
      <c r="N274" s="2200"/>
      <c r="O274" s="2200"/>
      <c r="P274" s="2200"/>
      <c r="Q274" s="2200"/>
      <c r="R274" s="2200"/>
      <c r="S274" s="2200"/>
      <c r="T274" s="2200"/>
      <c r="U274" s="2200"/>
      <c r="V274" s="2200"/>
      <c r="W274" s="2200"/>
      <c r="X274" s="2200"/>
      <c r="Y274" s="2200"/>
      <c r="Z274" s="2200"/>
      <c r="AA274" s="2200"/>
      <c r="AB274" s="2200"/>
      <c r="AC274" s="2200"/>
      <c r="AD274" s="220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00" t="str">
        <f t="shared" si="1"/>
        <v>Long Beach</v>
      </c>
      <c r="M275" s="2200"/>
      <c r="N275" s="2200"/>
      <c r="O275" s="2200"/>
      <c r="P275" s="2200"/>
      <c r="Q275" s="2200"/>
      <c r="R275" s="2200"/>
      <c r="S275" s="2200"/>
      <c r="U275" s="59" t="s">
        <v>91</v>
      </c>
      <c r="V275" s="2163" t="s">
        <v>2536</v>
      </c>
      <c r="W275" s="2028"/>
      <c r="X275" s="57" t="s">
        <v>617</v>
      </c>
      <c r="AB275" s="2200">
        <v>90807</v>
      </c>
      <c r="AC275" s="2200"/>
      <c r="AD275" s="220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0" t="str">
        <f t="shared" si="1"/>
        <v>Luis Rodriguez</v>
      </c>
      <c r="M276" s="2200"/>
      <c r="N276" s="2200"/>
      <c r="O276" s="2200"/>
      <c r="P276" s="2200"/>
      <c r="Q276" s="2200"/>
      <c r="R276" s="2200"/>
      <c r="S276" s="2200"/>
      <c r="T276" s="2200"/>
      <c r="U276" s="2200"/>
      <c r="V276" s="2200"/>
      <c r="W276" s="2200"/>
      <c r="X276" s="2200"/>
      <c r="Y276" s="2200"/>
      <c r="Z276" s="2200"/>
      <c r="AA276" s="2200"/>
      <c r="AB276" s="2200"/>
      <c r="AC276" s="2200"/>
      <c r="AD276" s="220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3" t="str">
        <f t="shared" si="1"/>
        <v>562-684-1128</v>
      </c>
      <c r="M277" s="2063"/>
      <c r="N277" s="2063"/>
      <c r="O277" s="2063"/>
      <c r="P277" s="2063"/>
      <c r="Q277" s="2063"/>
      <c r="R277" s="7" t="s">
        <v>211</v>
      </c>
      <c r="S277" s="7"/>
      <c r="T277" s="2028"/>
      <c r="U277" s="2028"/>
      <c r="V277" s="2028"/>
      <c r="W277" s="7" t="s">
        <v>94</v>
      </c>
      <c r="Y277" s="2063" t="str">
        <f>Z246</f>
        <v>562-684-1112</v>
      </c>
      <c r="Z277" s="2063"/>
      <c r="AA277" s="2063"/>
      <c r="AB277" s="2063"/>
      <c r="AC277" s="2063"/>
      <c r="AD277" s="2063"/>
      <c r="BN277" s="61"/>
    </row>
    <row r="278" spans="1:66" ht="12.75">
      <c r="D278" s="60" t="s">
        <v>95</v>
      </c>
      <c r="E278" s="7"/>
      <c r="F278" s="7"/>
      <c r="L278" s="2203" t="str">
        <f t="shared" si="1"/>
        <v>lrodriguez@linchousing.org</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75">
      <c r="D279" s="58" t="s">
        <v>657</v>
      </c>
      <c r="E279" s="58"/>
      <c r="F279" s="58"/>
      <c r="G279" s="58"/>
      <c r="H279" s="58"/>
      <c r="I279" s="58"/>
      <c r="L279" s="2163" t="s">
        <v>2549</v>
      </c>
      <c r="M279" s="2163"/>
      <c r="N279" s="2163"/>
      <c r="O279" s="2163"/>
      <c r="P279" s="2163"/>
      <c r="Q279" s="2163"/>
      <c r="R279" s="2163"/>
      <c r="S279" s="2163"/>
      <c r="T279" s="2163"/>
      <c r="U279" s="2163"/>
      <c r="V279" s="2163"/>
      <c r="W279" s="2163"/>
      <c r="X279" s="2163"/>
      <c r="Y279" s="2163"/>
      <c r="Z279" s="2163"/>
      <c r="AA279" s="2163"/>
      <c r="AB279" s="2163"/>
      <c r="AC279" s="2163"/>
      <c r="AD279" s="216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3" t="s">
        <v>573</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5"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7" t="s">
        <v>2520</v>
      </c>
      <c r="I286" s="2037"/>
      <c r="J286" s="2037"/>
      <c r="K286" s="2037"/>
      <c r="L286" s="2037"/>
      <c r="M286" s="2037"/>
      <c r="N286" s="2037"/>
      <c r="O286" s="2037"/>
      <c r="P286" s="2037"/>
      <c r="Q286" s="2037"/>
      <c r="R286" s="2037"/>
      <c r="T286" s="58" t="s">
        <v>599</v>
      </c>
      <c r="V286" s="58"/>
      <c r="W286" s="58"/>
      <c r="X286" s="58"/>
      <c r="Y286" s="58"/>
      <c r="AA286" s="2037" t="s">
        <v>2565</v>
      </c>
      <c r="AB286" s="2037"/>
      <c r="AC286" s="2037"/>
      <c r="AD286" s="2037"/>
      <c r="AE286" s="2037"/>
      <c r="AF286" s="2037"/>
      <c r="AG286" s="2037"/>
      <c r="AH286" s="2037"/>
      <c r="AI286" s="2037"/>
      <c r="AJ286" s="2037"/>
      <c r="AK286" s="2037"/>
      <c r="BN286" s="61"/>
    </row>
    <row r="287" spans="1:66" ht="12.75">
      <c r="B287" s="58" t="s">
        <v>503</v>
      </c>
      <c r="C287" s="58"/>
      <c r="D287" s="58"/>
      <c r="E287" s="58"/>
      <c r="F287" s="58"/>
      <c r="H287" s="2039" t="s">
        <v>2552</v>
      </c>
      <c r="I287" s="2039"/>
      <c r="J287" s="2039"/>
      <c r="K287" s="2039"/>
      <c r="L287" s="2039"/>
      <c r="M287" s="2039"/>
      <c r="N287" s="2039"/>
      <c r="O287" s="2039"/>
      <c r="P287" s="2039"/>
      <c r="Q287" s="2039"/>
      <c r="R287" s="2039"/>
      <c r="T287" s="58" t="s">
        <v>503</v>
      </c>
      <c r="V287" s="58"/>
      <c r="W287" s="58"/>
      <c r="X287" s="58"/>
      <c r="Y287" s="58"/>
      <c r="AA287" s="2039" t="s">
        <v>2566</v>
      </c>
      <c r="AB287" s="2039"/>
      <c r="AC287" s="2039"/>
      <c r="AD287" s="2039"/>
      <c r="AE287" s="2039"/>
      <c r="AF287" s="2039"/>
      <c r="AG287" s="2039"/>
      <c r="AH287" s="2039"/>
      <c r="AI287" s="2039"/>
      <c r="AJ287" s="2039"/>
      <c r="AK287" s="2039"/>
      <c r="BN287" s="61"/>
    </row>
    <row r="288" spans="1:66" ht="12.75">
      <c r="B288" s="58" t="s">
        <v>504</v>
      </c>
      <c r="C288" s="58"/>
      <c r="D288" s="58"/>
      <c r="E288" s="58"/>
      <c r="F288" s="58"/>
      <c r="H288" s="2039" t="s">
        <v>2553</v>
      </c>
      <c r="I288" s="2039"/>
      <c r="J288" s="2039"/>
      <c r="K288" s="2039"/>
      <c r="L288" s="2039"/>
      <c r="M288" s="2039"/>
      <c r="N288" s="2039"/>
      <c r="O288" s="2039"/>
      <c r="P288" s="2039"/>
      <c r="Q288" s="2039"/>
      <c r="R288" s="2039"/>
      <c r="T288" s="58" t="s">
        <v>79</v>
      </c>
      <c r="V288" s="58"/>
      <c r="W288" s="58"/>
      <c r="X288" s="58"/>
      <c r="Y288" s="58"/>
      <c r="AA288" s="2039" t="s">
        <v>2567</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039" t="str">
        <f>L276</f>
        <v>Luis Rodriguez</v>
      </c>
      <c r="I289" s="2039"/>
      <c r="J289" s="2039"/>
      <c r="K289" s="2039"/>
      <c r="L289" s="2039"/>
      <c r="M289" s="2039"/>
      <c r="N289" s="2039"/>
      <c r="O289" s="2039"/>
      <c r="P289" s="2039"/>
      <c r="Q289" s="2039"/>
      <c r="R289" s="2039"/>
      <c r="T289" s="58" t="s">
        <v>92</v>
      </c>
      <c r="V289" s="58"/>
      <c r="W289" s="58"/>
      <c r="X289" s="58"/>
      <c r="Y289" s="58"/>
      <c r="AA289" s="2039" t="s">
        <v>2572</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89" t="str">
        <f>L277</f>
        <v>562-684-1128</v>
      </c>
      <c r="I290" s="2189"/>
      <c r="J290" s="2189"/>
      <c r="K290" s="2189"/>
      <c r="L290" s="2189"/>
      <c r="M290" s="2189"/>
      <c r="N290" s="7" t="s">
        <v>211</v>
      </c>
      <c r="O290" s="7"/>
      <c r="P290" s="2200"/>
      <c r="Q290" s="2200"/>
      <c r="R290" s="2200"/>
      <c r="S290" s="58"/>
      <c r="T290" s="58" t="s">
        <v>93</v>
      </c>
      <c r="V290" s="58"/>
      <c r="W290" s="58"/>
      <c r="X290" s="58"/>
      <c r="Y290" s="58"/>
      <c r="AA290" s="2188" t="s">
        <v>2573</v>
      </c>
      <c r="AB290" s="2189"/>
      <c r="AC290" s="2189"/>
      <c r="AD290" s="2189"/>
      <c r="AE290" s="2189"/>
      <c r="AF290" s="2189"/>
      <c r="AG290" s="7" t="s">
        <v>211</v>
      </c>
      <c r="AH290" s="7"/>
      <c r="AI290" s="2200">
        <v>208</v>
      </c>
      <c r="AJ290" s="2200"/>
      <c r="AK290" s="2200"/>
      <c r="BN290" s="61"/>
    </row>
    <row r="291" spans="2:66" ht="12.75" customHeight="1">
      <c r="B291" s="58" t="s">
        <v>94</v>
      </c>
      <c r="C291" s="58"/>
      <c r="D291" s="58"/>
      <c r="E291" s="58"/>
      <c r="F291" s="58"/>
      <c r="G291" s="58"/>
      <c r="H291" s="2063" t="str">
        <f>Y277</f>
        <v>562-684-1112</v>
      </c>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39" t="str">
        <f>L278</f>
        <v>lrodriguez@linchousing.org</v>
      </c>
      <c r="I292" s="2039"/>
      <c r="J292" s="2039"/>
      <c r="K292" s="2039"/>
      <c r="L292" s="2039"/>
      <c r="M292" s="2039"/>
      <c r="N292" s="2037"/>
      <c r="O292" s="2037"/>
      <c r="P292" s="2037"/>
      <c r="Q292" s="2037"/>
      <c r="R292" s="2037"/>
      <c r="S292" s="58"/>
      <c r="T292" s="58" t="s">
        <v>80</v>
      </c>
      <c r="V292" s="58"/>
      <c r="W292" s="58"/>
      <c r="X292" s="58"/>
      <c r="Y292" s="58"/>
      <c r="AA292" s="2039" t="s">
        <v>2668</v>
      </c>
      <c r="AB292" s="2039"/>
      <c r="AC292" s="2039"/>
      <c r="AD292" s="2039"/>
      <c r="AE292" s="2039"/>
      <c r="AF292" s="2039"/>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7" t="s">
        <v>2574</v>
      </c>
      <c r="I294" s="2037"/>
      <c r="J294" s="2037"/>
      <c r="K294" s="2037"/>
      <c r="L294" s="2037"/>
      <c r="M294" s="2037"/>
      <c r="N294" s="2037"/>
      <c r="O294" s="2037"/>
      <c r="P294" s="2037"/>
      <c r="Q294" s="2037"/>
      <c r="R294" s="2037"/>
      <c r="T294" s="58" t="s">
        <v>373</v>
      </c>
      <c r="V294" s="58"/>
      <c r="W294" s="58"/>
      <c r="X294" s="58"/>
      <c r="Y294" s="58"/>
      <c r="AA294" s="2037" t="s">
        <v>2554</v>
      </c>
      <c r="AB294" s="2037"/>
      <c r="AC294" s="2037"/>
      <c r="AD294" s="2037"/>
      <c r="AE294" s="2037"/>
      <c r="AF294" s="2037"/>
      <c r="AG294" s="2037"/>
      <c r="AH294" s="2037"/>
      <c r="AI294" s="2037"/>
      <c r="AJ294" s="2037"/>
      <c r="AK294" s="2037"/>
      <c r="BN294" s="61"/>
    </row>
    <row r="295" spans="2:66" ht="12.75">
      <c r="B295" s="58" t="s">
        <v>503</v>
      </c>
      <c r="C295" s="58"/>
      <c r="D295" s="58"/>
      <c r="E295" s="58"/>
      <c r="F295" s="58"/>
      <c r="H295" s="2039" t="s">
        <v>2575</v>
      </c>
      <c r="I295" s="2039"/>
      <c r="J295" s="2039"/>
      <c r="K295" s="2039"/>
      <c r="L295" s="2039"/>
      <c r="M295" s="2039"/>
      <c r="N295" s="2039"/>
      <c r="O295" s="2039"/>
      <c r="P295" s="2039"/>
      <c r="Q295" s="2039"/>
      <c r="R295" s="2039"/>
      <c r="T295" s="58" t="s">
        <v>503</v>
      </c>
      <c r="V295" s="58"/>
      <c r="W295" s="58"/>
      <c r="X295" s="58"/>
      <c r="Y295" s="58"/>
      <c r="AA295" s="2039" t="s">
        <v>2555</v>
      </c>
      <c r="AB295" s="2039"/>
      <c r="AC295" s="2039"/>
      <c r="AD295" s="2039"/>
      <c r="AE295" s="2039"/>
      <c r="AF295" s="2039"/>
      <c r="AG295" s="2039"/>
      <c r="AH295" s="2039"/>
      <c r="AI295" s="2039"/>
      <c r="AJ295" s="2039"/>
      <c r="AK295" s="2039"/>
      <c r="BN295" s="61"/>
    </row>
    <row r="296" spans="2:66" ht="12.75">
      <c r="B296" s="58" t="s">
        <v>504</v>
      </c>
      <c r="C296" s="58"/>
      <c r="D296" s="58"/>
      <c r="E296" s="58"/>
      <c r="F296" s="58"/>
      <c r="H296" s="2039" t="s">
        <v>2576</v>
      </c>
      <c r="I296" s="2039"/>
      <c r="J296" s="2039"/>
      <c r="K296" s="2039"/>
      <c r="L296" s="2039"/>
      <c r="M296" s="2039"/>
      <c r="N296" s="2039"/>
      <c r="O296" s="2039"/>
      <c r="P296" s="2039"/>
      <c r="Q296" s="2039"/>
      <c r="R296" s="2039"/>
      <c r="T296" s="58" t="s">
        <v>79</v>
      </c>
      <c r="V296" s="58"/>
      <c r="W296" s="58"/>
      <c r="X296" s="58"/>
      <c r="Y296" s="58"/>
      <c r="AA296" s="2039" t="s">
        <v>2556</v>
      </c>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2577</v>
      </c>
      <c r="I297" s="2039"/>
      <c r="J297" s="2039"/>
      <c r="K297" s="2039"/>
      <c r="L297" s="2039"/>
      <c r="M297" s="2039"/>
      <c r="N297" s="2039"/>
      <c r="O297" s="2039"/>
      <c r="P297" s="2039"/>
      <c r="Q297" s="2039"/>
      <c r="R297" s="2039"/>
      <c r="T297" s="58" t="s">
        <v>92</v>
      </c>
      <c r="V297" s="58"/>
      <c r="W297" s="58"/>
      <c r="X297" s="58"/>
      <c r="Y297" s="58"/>
      <c r="AA297" s="2039" t="s">
        <v>2557</v>
      </c>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188" t="s">
        <v>2578</v>
      </c>
      <c r="I298" s="2189"/>
      <c r="J298" s="2189"/>
      <c r="K298" s="2189"/>
      <c r="L298" s="2189"/>
      <c r="M298" s="2189"/>
      <c r="N298" s="7" t="s">
        <v>211</v>
      </c>
      <c r="O298" s="7"/>
      <c r="P298" s="2200"/>
      <c r="Q298" s="2200"/>
      <c r="R298" s="2200"/>
      <c r="S298" s="58"/>
      <c r="T298" s="58" t="s">
        <v>93</v>
      </c>
      <c r="V298" s="58"/>
      <c r="W298" s="58"/>
      <c r="X298" s="58"/>
      <c r="Y298" s="58"/>
      <c r="AA298" s="2188" t="s">
        <v>2558</v>
      </c>
      <c r="AB298" s="2188"/>
      <c r="AC298" s="2188"/>
      <c r="AD298" s="2188"/>
      <c r="AE298" s="2188"/>
      <c r="AF298" s="2188"/>
      <c r="AG298" s="7" t="s">
        <v>211</v>
      </c>
      <c r="AH298" s="7"/>
      <c r="AI298" s="2200"/>
      <c r="AJ298" s="2200"/>
      <c r="AK298" s="2200"/>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162" t="s">
        <v>2559</v>
      </c>
      <c r="AB299" s="2162"/>
      <c r="AC299" s="2162"/>
      <c r="AD299" s="2162"/>
      <c r="AE299" s="2162"/>
      <c r="AF299" s="2162"/>
      <c r="AG299" s="60"/>
      <c r="AH299" s="60"/>
      <c r="AI299" s="62"/>
      <c r="AJ299" s="62"/>
      <c r="AK299" s="62"/>
      <c r="BN299" s="61"/>
    </row>
    <row r="300" spans="2:66" ht="12.75" customHeight="1">
      <c r="B300" s="58" t="s">
        <v>80</v>
      </c>
      <c r="C300" s="58"/>
      <c r="D300" s="58"/>
      <c r="E300" s="58"/>
      <c r="F300" s="58"/>
      <c r="G300" s="58"/>
      <c r="H300" s="2039" t="s">
        <v>2579</v>
      </c>
      <c r="I300" s="2039"/>
      <c r="J300" s="2039"/>
      <c r="K300" s="2039"/>
      <c r="L300" s="2039"/>
      <c r="M300" s="2039"/>
      <c r="N300" s="2037"/>
      <c r="O300" s="2037"/>
      <c r="P300" s="2037"/>
      <c r="Q300" s="2037"/>
      <c r="R300" s="2037"/>
      <c r="S300" s="58"/>
      <c r="T300" s="58" t="s">
        <v>80</v>
      </c>
      <c r="V300" s="58"/>
      <c r="W300" s="58"/>
      <c r="X300" s="58"/>
      <c r="Y300" s="58"/>
      <c r="AA300" s="2039" t="s">
        <v>2560</v>
      </c>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t="s">
        <v>2664</v>
      </c>
      <c r="I302" s="2037"/>
      <c r="J302" s="2037"/>
      <c r="K302" s="2037"/>
      <c r="L302" s="2037"/>
      <c r="M302" s="2037"/>
      <c r="N302" s="2037"/>
      <c r="O302" s="2037"/>
      <c r="P302" s="2037"/>
      <c r="Q302" s="2037"/>
      <c r="R302" s="2037"/>
      <c r="T302" s="7" t="s">
        <v>942</v>
      </c>
      <c r="V302" s="58"/>
      <c r="W302" s="58"/>
      <c r="X302" s="58"/>
      <c r="Y302" s="58"/>
      <c r="AA302" s="2037" t="s">
        <v>2580</v>
      </c>
      <c r="AB302" s="2037"/>
      <c r="AC302" s="2037"/>
      <c r="AD302" s="2037"/>
      <c r="AE302" s="2037"/>
      <c r="AF302" s="2037"/>
      <c r="AG302" s="2037"/>
      <c r="AH302" s="2037"/>
      <c r="AI302" s="2037"/>
      <c r="AJ302" s="2037"/>
      <c r="AK302" s="2037"/>
      <c r="BN302" s="61"/>
    </row>
    <row r="303" spans="2:66" ht="12.75">
      <c r="B303" s="58" t="s">
        <v>503</v>
      </c>
      <c r="C303" s="58"/>
      <c r="D303" s="58"/>
      <c r="E303" s="58"/>
      <c r="F303" s="58"/>
      <c r="H303" s="2039" t="s">
        <v>2587</v>
      </c>
      <c r="I303" s="2039"/>
      <c r="J303" s="2039"/>
      <c r="K303" s="2039"/>
      <c r="L303" s="2039"/>
      <c r="M303" s="2039"/>
      <c r="N303" s="2039"/>
      <c r="O303" s="2039"/>
      <c r="P303" s="2039"/>
      <c r="Q303" s="2039"/>
      <c r="R303" s="2039"/>
      <c r="T303" s="58" t="s">
        <v>503</v>
      </c>
      <c r="V303" s="58"/>
      <c r="W303" s="58"/>
      <c r="X303" s="58"/>
      <c r="Y303" s="58"/>
      <c r="AA303" s="2039" t="s">
        <v>2581</v>
      </c>
      <c r="AB303" s="2039"/>
      <c r="AC303" s="2039"/>
      <c r="AD303" s="2039"/>
      <c r="AE303" s="2039"/>
      <c r="AF303" s="2039"/>
      <c r="AG303" s="2039"/>
      <c r="AH303" s="2039"/>
      <c r="AI303" s="2039"/>
      <c r="AJ303" s="2039"/>
      <c r="AK303" s="2039"/>
      <c r="BN303" s="61"/>
    </row>
    <row r="304" spans="2:66" ht="12.75">
      <c r="B304" s="58" t="s">
        <v>504</v>
      </c>
      <c r="C304" s="58"/>
      <c r="D304" s="58"/>
      <c r="E304" s="58"/>
      <c r="F304" s="58"/>
      <c r="H304" s="2039" t="s">
        <v>2665</v>
      </c>
      <c r="I304" s="2039"/>
      <c r="J304" s="2039"/>
      <c r="K304" s="2039"/>
      <c r="L304" s="2039"/>
      <c r="M304" s="2039"/>
      <c r="N304" s="2039"/>
      <c r="O304" s="2039"/>
      <c r="P304" s="2039"/>
      <c r="Q304" s="2039"/>
      <c r="R304" s="2039"/>
      <c r="T304" s="58" t="s">
        <v>79</v>
      </c>
      <c r="V304" s="58"/>
      <c r="W304" s="58"/>
      <c r="X304" s="58"/>
      <c r="Y304" s="58"/>
      <c r="AA304" s="2039" t="s">
        <v>2582</v>
      </c>
      <c r="AB304" s="2039"/>
      <c r="AC304" s="2039"/>
      <c r="AD304" s="2039"/>
      <c r="AE304" s="2039"/>
      <c r="AF304" s="2039"/>
      <c r="AG304" s="2039"/>
      <c r="AH304" s="2039"/>
      <c r="AI304" s="2039"/>
      <c r="AJ304" s="2039"/>
      <c r="AK304" s="2039"/>
      <c r="BN304" s="61"/>
    </row>
    <row r="305" spans="2:66" ht="12.75">
      <c r="B305" s="58" t="s">
        <v>92</v>
      </c>
      <c r="C305" s="58"/>
      <c r="D305" s="58"/>
      <c r="E305" s="58"/>
      <c r="F305" s="58"/>
      <c r="H305" s="2039" t="s">
        <v>2588</v>
      </c>
      <c r="I305" s="2039"/>
      <c r="J305" s="2039"/>
      <c r="K305" s="2039"/>
      <c r="L305" s="2039"/>
      <c r="M305" s="2039"/>
      <c r="N305" s="2039"/>
      <c r="O305" s="2039"/>
      <c r="P305" s="2039"/>
      <c r="Q305" s="2039"/>
      <c r="R305" s="2039"/>
      <c r="T305" s="58" t="s">
        <v>92</v>
      </c>
      <c r="V305" s="58"/>
      <c r="W305" s="58"/>
      <c r="X305" s="58"/>
      <c r="Y305" s="58"/>
      <c r="AA305" s="2039" t="s">
        <v>2583</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188" t="s">
        <v>2589</v>
      </c>
      <c r="I306" s="2189"/>
      <c r="J306" s="2189"/>
      <c r="K306" s="2189"/>
      <c r="L306" s="2189"/>
      <c r="M306" s="2189"/>
      <c r="N306" s="7" t="s">
        <v>211</v>
      </c>
      <c r="O306" s="7"/>
      <c r="P306" s="2200"/>
      <c r="Q306" s="2200"/>
      <c r="R306" s="2200"/>
      <c r="S306" s="58"/>
      <c r="T306" s="58" t="s">
        <v>93</v>
      </c>
      <c r="V306" s="58"/>
      <c r="W306" s="58"/>
      <c r="X306" s="58"/>
      <c r="Y306" s="58"/>
      <c r="AA306" s="2188" t="s">
        <v>2584</v>
      </c>
      <c r="AB306" s="2189"/>
      <c r="AC306" s="2189"/>
      <c r="AD306" s="2189"/>
      <c r="AE306" s="2189"/>
      <c r="AF306" s="2189"/>
      <c r="AG306" s="7" t="s">
        <v>211</v>
      </c>
      <c r="AH306" s="7"/>
      <c r="AI306" s="2200"/>
      <c r="AJ306" s="2200"/>
      <c r="AK306" s="2200"/>
      <c r="BN306" s="61"/>
    </row>
    <row r="307" spans="2:66" ht="12.75">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162" t="s">
        <v>2585</v>
      </c>
      <c r="AB307" s="2063"/>
      <c r="AC307" s="2063"/>
      <c r="AD307" s="2063"/>
      <c r="AE307" s="2063"/>
      <c r="AF307" s="2063"/>
      <c r="AG307" s="60"/>
      <c r="AH307" s="60"/>
      <c r="AI307" s="62"/>
      <c r="AJ307" s="62"/>
      <c r="AK307" s="62"/>
      <c r="BN307" s="61"/>
    </row>
    <row r="308" spans="2:66" ht="12.75">
      <c r="B308" s="58" t="s">
        <v>80</v>
      </c>
      <c r="C308" s="58"/>
      <c r="D308" s="58"/>
      <c r="E308" s="58"/>
      <c r="F308" s="58"/>
      <c r="G308" s="58"/>
      <c r="H308" s="2039" t="s">
        <v>2590</v>
      </c>
      <c r="I308" s="2039"/>
      <c r="J308" s="2039"/>
      <c r="K308" s="2039"/>
      <c r="L308" s="2039"/>
      <c r="M308" s="2039"/>
      <c r="N308" s="2037"/>
      <c r="O308" s="2037"/>
      <c r="P308" s="2037"/>
      <c r="Q308" s="2037"/>
      <c r="R308" s="2037"/>
      <c r="S308" s="58"/>
      <c r="T308" s="58" t="s">
        <v>80</v>
      </c>
      <c r="V308" s="58"/>
      <c r="W308" s="58"/>
      <c r="X308" s="58"/>
      <c r="Y308" s="58"/>
      <c r="AA308" s="2039" t="s">
        <v>2586</v>
      </c>
      <c r="AB308" s="2039"/>
      <c r="AC308" s="2039"/>
      <c r="AD308" s="2039"/>
      <c r="AE308" s="2039"/>
      <c r="AF308" s="2039"/>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7" t="s">
        <v>2591</v>
      </c>
      <c r="I310" s="2037"/>
      <c r="J310" s="2037"/>
      <c r="K310" s="2037"/>
      <c r="L310" s="2037"/>
      <c r="M310" s="2037"/>
      <c r="N310" s="2037"/>
      <c r="O310" s="2037"/>
      <c r="P310" s="2037"/>
      <c r="Q310" s="2037"/>
      <c r="R310" s="2037"/>
      <c r="S310" s="58"/>
      <c r="T310" s="58" t="s">
        <v>374</v>
      </c>
      <c r="V310" s="58"/>
      <c r="W310" s="58"/>
      <c r="X310" s="58"/>
      <c r="Y310" s="58"/>
      <c r="AA310" s="2037" t="s">
        <v>2662</v>
      </c>
      <c r="AB310" s="2037"/>
      <c r="AC310" s="2037"/>
      <c r="AD310" s="2037"/>
      <c r="AE310" s="2037"/>
      <c r="AF310" s="2037"/>
      <c r="AG310" s="2037"/>
      <c r="AH310" s="2037"/>
      <c r="AI310" s="2037"/>
      <c r="AJ310" s="2037"/>
      <c r="AK310" s="2037"/>
      <c r="BN310" s="61"/>
    </row>
    <row r="311" spans="2:66" ht="12.75">
      <c r="B311" s="58" t="s">
        <v>503</v>
      </c>
      <c r="C311" s="58"/>
      <c r="D311" s="58"/>
      <c r="E311" s="58"/>
      <c r="F311" s="58"/>
      <c r="H311" s="2039" t="s">
        <v>2592</v>
      </c>
      <c r="I311" s="2039"/>
      <c r="J311" s="2039"/>
      <c r="K311" s="2039"/>
      <c r="L311" s="2039"/>
      <c r="M311" s="2039"/>
      <c r="N311" s="2039"/>
      <c r="O311" s="2039"/>
      <c r="P311" s="2039"/>
      <c r="Q311" s="2039"/>
      <c r="R311" s="2039"/>
      <c r="S311" s="58"/>
      <c r="T311" s="58" t="s">
        <v>503</v>
      </c>
      <c r="V311" s="58"/>
      <c r="W311" s="58"/>
      <c r="X311" s="58"/>
      <c r="Y311" s="58"/>
      <c r="AA311" s="2039" t="s">
        <v>2642</v>
      </c>
      <c r="AB311" s="2039"/>
      <c r="AC311" s="2039"/>
      <c r="AD311" s="2039"/>
      <c r="AE311" s="2039"/>
      <c r="AF311" s="2039"/>
      <c r="AG311" s="2039"/>
      <c r="AH311" s="2039"/>
      <c r="AI311" s="2039"/>
      <c r="AJ311" s="2039"/>
      <c r="AK311" s="2039"/>
      <c r="BN311" s="61"/>
    </row>
    <row r="312" spans="2:66" ht="12.75" customHeight="1">
      <c r="B312" s="58" t="s">
        <v>504</v>
      </c>
      <c r="C312" s="58"/>
      <c r="D312" s="58"/>
      <c r="E312" s="58"/>
      <c r="F312" s="58"/>
      <c r="H312" s="2039" t="s">
        <v>2593</v>
      </c>
      <c r="I312" s="2039"/>
      <c r="J312" s="2039"/>
      <c r="K312" s="2039"/>
      <c r="L312" s="2039"/>
      <c r="M312" s="2039"/>
      <c r="N312" s="2039"/>
      <c r="O312" s="2039"/>
      <c r="P312" s="2039"/>
      <c r="Q312" s="2039"/>
      <c r="R312" s="2039"/>
      <c r="S312" s="58"/>
      <c r="T312" s="58" t="s">
        <v>79</v>
      </c>
      <c r="V312" s="58"/>
      <c r="W312" s="58"/>
      <c r="X312" s="58"/>
      <c r="Y312" s="58"/>
      <c r="AA312" s="2039" t="s">
        <v>2643</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2594</v>
      </c>
      <c r="I313" s="2039"/>
      <c r="J313" s="2039"/>
      <c r="K313" s="2039"/>
      <c r="L313" s="2039"/>
      <c r="M313" s="2039"/>
      <c r="N313" s="2039"/>
      <c r="O313" s="2039"/>
      <c r="P313" s="2039"/>
      <c r="Q313" s="2039"/>
      <c r="R313" s="2039"/>
      <c r="S313" s="58"/>
      <c r="T313" s="58" t="s">
        <v>92</v>
      </c>
      <c r="V313" s="58"/>
      <c r="W313" s="58"/>
      <c r="X313" s="58"/>
      <c r="Y313" s="58"/>
      <c r="AA313" s="2039" t="s">
        <v>2644</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188" t="s">
        <v>2595</v>
      </c>
      <c r="I314" s="2189"/>
      <c r="J314" s="2189"/>
      <c r="K314" s="2189"/>
      <c r="L314" s="2189"/>
      <c r="M314" s="2189"/>
      <c r="N314" s="7" t="s">
        <v>211</v>
      </c>
      <c r="O314" s="7"/>
      <c r="P314" s="2200"/>
      <c r="Q314" s="2200"/>
      <c r="R314" s="2200"/>
      <c r="S314" s="58"/>
      <c r="T314" s="58" t="s">
        <v>93</v>
      </c>
      <c r="V314" s="58"/>
      <c r="W314" s="58"/>
      <c r="X314" s="58"/>
      <c r="Y314" s="58"/>
      <c r="AA314" s="2188" t="s">
        <v>2645</v>
      </c>
      <c r="AB314" s="2189"/>
      <c r="AC314" s="2189"/>
      <c r="AD314" s="2189"/>
      <c r="AE314" s="2189"/>
      <c r="AF314" s="2189"/>
      <c r="AG314" s="7" t="s">
        <v>211</v>
      </c>
      <c r="AH314" s="7"/>
      <c r="AI314" s="2200"/>
      <c r="AJ314" s="2200"/>
      <c r="AK314" s="2200"/>
      <c r="BN314" s="61"/>
    </row>
    <row r="315" spans="2:66" ht="12.75">
      <c r="B315" s="58" t="s">
        <v>94</v>
      </c>
      <c r="C315" s="58"/>
      <c r="D315" s="58"/>
      <c r="E315" s="58"/>
      <c r="F315" s="58"/>
      <c r="G315" s="58"/>
      <c r="H315" s="2162" t="s">
        <v>2596</v>
      </c>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2.75">
      <c r="B316" s="58" t="s">
        <v>80</v>
      </c>
      <c r="C316" s="58"/>
      <c r="D316" s="58"/>
      <c r="E316" s="58"/>
      <c r="F316" s="58"/>
      <c r="G316" s="58"/>
      <c r="H316" s="2039" t="s">
        <v>2597</v>
      </c>
      <c r="I316" s="2039"/>
      <c r="J316" s="2039"/>
      <c r="K316" s="2039"/>
      <c r="L316" s="2039"/>
      <c r="M316" s="2039"/>
      <c r="N316" s="2037"/>
      <c r="O316" s="2037"/>
      <c r="P316" s="2037"/>
      <c r="Q316" s="2037"/>
      <c r="R316" s="2037"/>
      <c r="S316" s="58"/>
      <c r="T316" s="58" t="s">
        <v>80</v>
      </c>
      <c r="V316" s="58"/>
      <c r="W316" s="58"/>
      <c r="X316" s="58"/>
      <c r="Y316" s="58"/>
      <c r="AA316" s="2039" t="s">
        <v>2663</v>
      </c>
      <c r="AB316" s="2039"/>
      <c r="AC316" s="2039"/>
      <c r="AD316" s="2039"/>
      <c r="AE316" s="2039"/>
      <c r="AF316" s="2039"/>
      <c r="AG316" s="2037"/>
      <c r="AH316" s="2037"/>
      <c r="AI316" s="2037"/>
      <c r="AJ316" s="2037"/>
      <c r="AK316" s="2037"/>
      <c r="BN316" s="61"/>
    </row>
    <row r="317" spans="2:66" ht="12.75">
      <c r="BN317" s="61"/>
    </row>
    <row r="318" spans="2:66" ht="12.75">
      <c r="B318" s="7" t="s">
        <v>976</v>
      </c>
      <c r="C318" s="58"/>
      <c r="D318" s="58"/>
      <c r="E318" s="58"/>
      <c r="F318" s="58"/>
      <c r="H318" s="2037" t="s">
        <v>2666</v>
      </c>
      <c r="I318" s="2037"/>
      <c r="J318" s="2037"/>
      <c r="K318" s="2037"/>
      <c r="L318" s="2037"/>
      <c r="M318" s="2037"/>
      <c r="N318" s="2037"/>
      <c r="O318" s="2037"/>
      <c r="P318" s="2037"/>
      <c r="Q318" s="2037"/>
      <c r="R318" s="2037"/>
      <c r="T318" s="58" t="s">
        <v>375</v>
      </c>
      <c r="V318" s="58"/>
      <c r="W318" s="58"/>
      <c r="X318" s="58"/>
      <c r="Y318" s="58"/>
      <c r="AA318" s="2037" t="s">
        <v>2664</v>
      </c>
      <c r="AB318" s="2037"/>
      <c r="AC318" s="2037"/>
      <c r="AD318" s="2037"/>
      <c r="AE318" s="2037"/>
      <c r="AF318" s="2037"/>
      <c r="AG318" s="2037"/>
      <c r="AH318" s="2037"/>
      <c r="AI318" s="2037"/>
      <c r="AJ318" s="2037"/>
      <c r="AK318" s="2037"/>
      <c r="BN318" s="61"/>
    </row>
    <row r="319" spans="2:66" ht="12.75">
      <c r="B319" s="58" t="s">
        <v>503</v>
      </c>
      <c r="C319" s="58"/>
      <c r="D319" s="58"/>
      <c r="E319" s="58"/>
      <c r="F319" s="58"/>
      <c r="H319" s="2039"/>
      <c r="I319" s="2039"/>
      <c r="J319" s="2039"/>
      <c r="K319" s="2039"/>
      <c r="L319" s="2039"/>
      <c r="M319" s="2039"/>
      <c r="N319" s="2039"/>
      <c r="O319" s="2039"/>
      <c r="P319" s="2039"/>
      <c r="Q319" s="2039"/>
      <c r="R319" s="2039"/>
      <c r="T319" s="58" t="s">
        <v>503</v>
      </c>
      <c r="V319" s="58"/>
      <c r="W319" s="58"/>
      <c r="X319" s="58"/>
      <c r="Y319" s="58"/>
      <c r="AA319" s="2039" t="s">
        <v>2598</v>
      </c>
      <c r="AB319" s="2039"/>
      <c r="AC319" s="2039"/>
      <c r="AD319" s="2039"/>
      <c r="AE319" s="2039"/>
      <c r="AF319" s="2039"/>
      <c r="AG319" s="2039"/>
      <c r="AH319" s="2039"/>
      <c r="AI319" s="2039"/>
      <c r="AJ319" s="2039"/>
      <c r="AK319" s="2039"/>
      <c r="BN319" s="61"/>
    </row>
    <row r="320" spans="2:66" ht="12.75">
      <c r="B320" s="58" t="s">
        <v>504</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2599</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2600</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188"/>
      <c r="I322" s="2189"/>
      <c r="J322" s="2189"/>
      <c r="K322" s="2189"/>
      <c r="L322" s="2189"/>
      <c r="M322" s="2189"/>
      <c r="N322" s="7" t="s">
        <v>211</v>
      </c>
      <c r="O322" s="7"/>
      <c r="P322" s="2200"/>
      <c r="Q322" s="2200"/>
      <c r="R322" s="2200"/>
      <c r="S322" s="58"/>
      <c r="T322" s="58" t="s">
        <v>93</v>
      </c>
      <c r="V322" s="58"/>
      <c r="W322" s="58"/>
      <c r="X322" s="58"/>
      <c r="Y322" s="58"/>
      <c r="AA322" s="2188" t="s">
        <v>2601</v>
      </c>
      <c r="AB322" s="2189"/>
      <c r="AC322" s="2189"/>
      <c r="AD322" s="2189"/>
      <c r="AE322" s="2189"/>
      <c r="AF322" s="2189"/>
      <c r="AG322" s="7" t="s">
        <v>211</v>
      </c>
      <c r="AH322" s="7"/>
      <c r="AI322" s="2200"/>
      <c r="AJ322" s="2200"/>
      <c r="AK322" s="2200"/>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2.75">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2602</v>
      </c>
      <c r="AB324" s="2039"/>
      <c r="AC324" s="2039"/>
      <c r="AD324" s="2039"/>
      <c r="AE324" s="2039"/>
      <c r="AF324" s="2039"/>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7" t="s">
        <v>2603</v>
      </c>
      <c r="I326" s="2037"/>
      <c r="J326" s="2037"/>
      <c r="K326" s="2037"/>
      <c r="L326" s="2037"/>
      <c r="M326" s="2037"/>
      <c r="N326" s="2037"/>
      <c r="O326" s="2037"/>
      <c r="P326" s="2037"/>
      <c r="Q326" s="2037"/>
      <c r="R326" s="2037"/>
      <c r="T326" s="58" t="s">
        <v>377</v>
      </c>
      <c r="V326" s="58"/>
      <c r="W326" s="58"/>
      <c r="X326" s="58"/>
      <c r="Y326" s="58"/>
      <c r="AA326" s="2037" t="s">
        <v>2564</v>
      </c>
      <c r="AB326" s="2037"/>
      <c r="AC326" s="2037"/>
      <c r="AD326" s="2037"/>
      <c r="AE326" s="2037"/>
      <c r="AF326" s="2037"/>
      <c r="AG326" s="2037"/>
      <c r="AH326" s="2037"/>
      <c r="AI326" s="2037"/>
      <c r="AJ326" s="2037"/>
      <c r="AK326" s="2037"/>
      <c r="AL326" s="39"/>
    </row>
    <row r="327" spans="1:66" ht="12.75">
      <c r="A327" s="39"/>
      <c r="B327" s="58" t="s">
        <v>503</v>
      </c>
      <c r="C327" s="58"/>
      <c r="D327" s="58"/>
      <c r="E327" s="58"/>
      <c r="F327" s="58"/>
      <c r="H327" s="2039" t="s">
        <v>2604</v>
      </c>
      <c r="I327" s="2039"/>
      <c r="J327" s="2039"/>
      <c r="K327" s="2039"/>
      <c r="L327" s="2039"/>
      <c r="M327" s="2039"/>
      <c r="N327" s="2039"/>
      <c r="O327" s="2039"/>
      <c r="P327" s="2039"/>
      <c r="Q327" s="2039"/>
      <c r="R327" s="2039"/>
      <c r="T327" s="58" t="s">
        <v>503</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504</v>
      </c>
      <c r="C328" s="58"/>
      <c r="D328" s="58"/>
      <c r="E328" s="58"/>
      <c r="F328" s="58"/>
      <c r="H328" s="2039" t="s">
        <v>2605</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t="s">
        <v>2606</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88" t="s">
        <v>2607</v>
      </c>
      <c r="I330" s="2189"/>
      <c r="J330" s="2189"/>
      <c r="K330" s="2189"/>
      <c r="L330" s="2189"/>
      <c r="M330" s="2189"/>
      <c r="N330" s="7" t="s">
        <v>211</v>
      </c>
      <c r="O330" s="7"/>
      <c r="P330" s="2200"/>
      <c r="Q330" s="2200"/>
      <c r="R330" s="2200"/>
      <c r="S330" s="58"/>
      <c r="T330" s="58" t="s">
        <v>93</v>
      </c>
      <c r="V330" s="58"/>
      <c r="W330" s="58"/>
      <c r="X330" s="58"/>
      <c r="Y330" s="58"/>
      <c r="AA330" s="2189"/>
      <c r="AB330" s="2189"/>
      <c r="AC330" s="2189"/>
      <c r="AD330" s="2189"/>
      <c r="AE330" s="2189"/>
      <c r="AF330" s="2189"/>
      <c r="AG330" s="7" t="s">
        <v>211</v>
      </c>
      <c r="AH330" s="7"/>
      <c r="AI330" s="2200"/>
      <c r="AJ330" s="2200"/>
      <c r="AK330" s="2200"/>
      <c r="AL330" s="39"/>
    </row>
    <row r="331" spans="1:66" ht="12.75">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2.75">
      <c r="A332" s="39"/>
      <c r="B332" s="58" t="s">
        <v>80</v>
      </c>
      <c r="C332" s="58"/>
      <c r="D332" s="58"/>
      <c r="E332" s="58"/>
      <c r="F332" s="58"/>
      <c r="G332" s="58"/>
      <c r="H332" s="2039" t="s">
        <v>2608</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7" t="s">
        <v>2609</v>
      </c>
      <c r="I334" s="2037"/>
      <c r="J334" s="2037"/>
      <c r="K334" s="2037"/>
      <c r="L334" s="2037"/>
      <c r="M334" s="2037"/>
      <c r="N334" s="2037"/>
      <c r="O334" s="2037"/>
      <c r="P334" s="2037"/>
      <c r="Q334" s="2037"/>
      <c r="R334" s="2037"/>
      <c r="T334" s="405" t="s">
        <v>951</v>
      </c>
      <c r="V334" s="58"/>
      <c r="W334" s="58"/>
      <c r="X334" s="58"/>
      <c r="Y334" s="58"/>
      <c r="AA334" s="2214" t="s">
        <v>2554</v>
      </c>
      <c r="AB334" s="2037"/>
      <c r="AC334" s="2037"/>
      <c r="AD334" s="2037"/>
      <c r="AE334" s="2037"/>
      <c r="AF334" s="2037"/>
      <c r="AG334" s="2037"/>
      <c r="AH334" s="2037"/>
      <c r="AI334" s="2037"/>
      <c r="AJ334" s="2037"/>
      <c r="AK334" s="2037"/>
      <c r="AL334" s="39"/>
    </row>
    <row r="335" spans="1:66" ht="12.75" customHeight="1">
      <c r="B335" s="58" t="s">
        <v>503</v>
      </c>
      <c r="C335" s="240"/>
      <c r="D335" s="240"/>
      <c r="E335" s="240"/>
      <c r="F335" s="240"/>
      <c r="G335" s="3"/>
      <c r="H335" s="2039" t="s">
        <v>2610</v>
      </c>
      <c r="I335" s="2039"/>
      <c r="J335" s="2039"/>
      <c r="K335" s="2039"/>
      <c r="L335" s="2039"/>
      <c r="M335" s="2039"/>
      <c r="N335" s="2039"/>
      <c r="O335" s="2039"/>
      <c r="P335" s="2039"/>
      <c r="Q335" s="2039"/>
      <c r="R335" s="2039"/>
      <c r="T335" s="58" t="s">
        <v>503</v>
      </c>
      <c r="V335" s="58"/>
      <c r="W335" s="58"/>
      <c r="X335" s="58"/>
      <c r="Y335" s="58"/>
      <c r="AA335" s="2163" t="s">
        <v>2555</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2611</v>
      </c>
      <c r="I336" s="2039"/>
      <c r="J336" s="2039"/>
      <c r="K336" s="2039"/>
      <c r="L336" s="2039"/>
      <c r="M336" s="2039"/>
      <c r="N336" s="2039"/>
      <c r="O336" s="2039"/>
      <c r="P336" s="2039"/>
      <c r="Q336" s="2039"/>
      <c r="R336" s="2039"/>
      <c r="T336" s="58" t="s">
        <v>79</v>
      </c>
      <c r="V336" s="58"/>
      <c r="W336" s="58"/>
      <c r="X336" s="58"/>
      <c r="Y336" s="58"/>
      <c r="AA336" s="2163" t="s">
        <v>2556</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2612</v>
      </c>
      <c r="I337" s="2039"/>
      <c r="J337" s="2039"/>
      <c r="K337" s="2039"/>
      <c r="L337" s="2039"/>
      <c r="M337" s="2039"/>
      <c r="N337" s="2039"/>
      <c r="O337" s="2039"/>
      <c r="P337" s="2039"/>
      <c r="Q337" s="2039"/>
      <c r="R337" s="2039"/>
      <c r="T337" s="58" t="s">
        <v>92</v>
      </c>
      <c r="V337" s="58"/>
      <c r="W337" s="58"/>
      <c r="X337" s="58"/>
      <c r="Y337" s="58"/>
      <c r="AA337" s="2039" t="s">
        <v>2563</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88" t="s">
        <v>2613</v>
      </c>
      <c r="I338" s="2189"/>
      <c r="J338" s="2189"/>
      <c r="K338" s="2189"/>
      <c r="L338" s="2189"/>
      <c r="M338" s="2189"/>
      <c r="N338" s="7" t="s">
        <v>211</v>
      </c>
      <c r="O338" s="7"/>
      <c r="P338" s="2200"/>
      <c r="Q338" s="2200"/>
      <c r="R338" s="2200"/>
      <c r="S338" s="58"/>
      <c r="T338" s="58" t="s">
        <v>93</v>
      </c>
      <c r="V338" s="58"/>
      <c r="W338" s="58"/>
      <c r="X338" s="58"/>
      <c r="Y338" s="58"/>
      <c r="AA338" s="2188" t="s">
        <v>2561</v>
      </c>
      <c r="AB338" s="2188"/>
      <c r="AC338" s="2188"/>
      <c r="AD338" s="2188"/>
      <c r="AE338" s="2188"/>
      <c r="AF338" s="2188"/>
      <c r="AG338" s="7" t="s">
        <v>211</v>
      </c>
      <c r="AH338" s="7"/>
      <c r="AI338" s="2200"/>
      <c r="AJ338" s="2200"/>
      <c r="AK338" s="2200"/>
      <c r="AL338" s="39"/>
    </row>
    <row r="339" spans="1:66" ht="12.75">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162" t="s">
        <v>2547</v>
      </c>
      <c r="AB339" s="2162"/>
      <c r="AC339" s="2162"/>
      <c r="AD339" s="2162"/>
      <c r="AE339" s="2162"/>
      <c r="AF339" s="2162"/>
      <c r="AG339" s="60"/>
      <c r="AH339" s="60"/>
      <c r="AI339" s="62"/>
      <c r="AJ339" s="62"/>
      <c r="AK339" s="62"/>
      <c r="AL339" s="39"/>
    </row>
    <row r="340" spans="1:66" ht="12.75">
      <c r="A340" s="39"/>
      <c r="B340" s="58" t="s">
        <v>80</v>
      </c>
      <c r="C340" s="237"/>
      <c r="D340" s="237"/>
      <c r="E340" s="237"/>
      <c r="F340" s="237"/>
      <c r="G340" s="237"/>
      <c r="H340" s="2039" t="s">
        <v>2614</v>
      </c>
      <c r="I340" s="2039"/>
      <c r="J340" s="2039"/>
      <c r="K340" s="2039"/>
      <c r="L340" s="2039"/>
      <c r="M340" s="2039"/>
      <c r="N340" s="2037"/>
      <c r="O340" s="2037"/>
      <c r="P340" s="2037"/>
      <c r="Q340" s="2037"/>
      <c r="R340" s="2037"/>
      <c r="S340" s="58"/>
      <c r="T340" s="58" t="s">
        <v>80</v>
      </c>
      <c r="V340" s="58"/>
      <c r="W340" s="58"/>
      <c r="X340" s="58"/>
      <c r="Y340" s="58"/>
      <c r="AA340" s="2039" t="s">
        <v>2562</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625</v>
      </c>
    </row>
    <row r="343" spans="1:66" ht="12.75">
      <c r="A343" s="3"/>
      <c r="B343" s="60"/>
      <c r="C343" s="60"/>
      <c r="D343" s="60"/>
      <c r="E343" s="60"/>
      <c r="F343" s="60"/>
      <c r="G343" s="3"/>
      <c r="H343" s="88"/>
      <c r="I343" s="7" t="s">
        <v>503</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577</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211</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2.75">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3" t="s">
        <v>574</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5"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6" t="s">
        <v>577</v>
      </c>
      <c r="N354" s="2036"/>
      <c r="P354" s="12" t="s">
        <v>2003</v>
      </c>
      <c r="AJ354" s="2036" t="s">
        <v>577</v>
      </c>
      <c r="AK354" s="2036"/>
    </row>
    <row r="355" spans="1:37" ht="12.75" customHeight="1">
      <c r="D355" s="58" t="s">
        <v>1992</v>
      </c>
      <c r="M355" s="2036" t="s">
        <v>625</v>
      </c>
      <c r="N355" s="2036"/>
      <c r="P355" s="58" t="s">
        <v>2217</v>
      </c>
      <c r="AJ355" s="2132" t="s">
        <v>2619</v>
      </c>
      <c r="AK355" s="2132"/>
    </row>
    <row r="356" spans="1:37" ht="12.75" customHeight="1">
      <c r="D356" s="12" t="s">
        <v>744</v>
      </c>
      <c r="M356" s="2036" t="s">
        <v>625</v>
      </c>
      <c r="N356" s="2036"/>
      <c r="P356" s="719" t="s">
        <v>2002</v>
      </c>
      <c r="AJ356" s="2036" t="s">
        <v>705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380</v>
      </c>
      <c r="Y363" s="2036" t="s">
        <v>625</v>
      </c>
      <c r="Z363" s="2036"/>
    </row>
    <row r="364" spans="1:37" ht="12.75" customHeight="1">
      <c r="D364" s="7" t="s">
        <v>1058</v>
      </c>
      <c r="Q364" s="2037" t="s">
        <v>625</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5" t="s">
        <v>746</v>
      </c>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row>
    <row r="368" spans="1:37" ht="12.75" customHeight="1">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row>
    <row r="369" spans="1:36" ht="12.75" customHeight="1">
      <c r="E369" s="7" t="s">
        <v>478</v>
      </c>
      <c r="F369" s="7"/>
      <c r="G369" s="7"/>
      <c r="H369" s="7"/>
      <c r="I369" s="7"/>
      <c r="J369" s="7"/>
      <c r="K369" s="7"/>
      <c r="L369" s="7"/>
      <c r="N369" s="2062"/>
      <c r="O369" s="2062"/>
      <c r="P369" s="2062"/>
      <c r="Q369" s="2062"/>
      <c r="R369" s="7"/>
      <c r="U369" s="7" t="s">
        <v>479</v>
      </c>
      <c r="V369" s="7"/>
      <c r="W369" s="7"/>
      <c r="X369" s="7"/>
      <c r="Y369" s="7"/>
      <c r="Z369" s="7"/>
      <c r="AA369" s="7"/>
      <c r="AB369" s="7"/>
      <c r="AC369" s="2062"/>
      <c r="AD369" s="2062"/>
      <c r="AE369" s="2062"/>
      <c r="AF369" s="2062"/>
    </row>
    <row r="370" spans="1:36" ht="12.75" customHeight="1">
      <c r="E370" s="7" t="s">
        <v>480</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5"/>
      <c r="T376" s="2085"/>
      <c r="U376" s="4" t="s">
        <v>314</v>
      </c>
      <c r="V376" s="2085"/>
      <c r="W376" s="2085"/>
      <c r="Y376" s="25" t="s">
        <v>312</v>
      </c>
      <c r="AA376" s="25"/>
      <c r="AB376" s="25" t="s">
        <v>313</v>
      </c>
      <c r="AD376" s="2085"/>
      <c r="AE376" s="2085"/>
      <c r="AF376" s="4" t="s">
        <v>314</v>
      </c>
      <c r="AG376" s="2085"/>
      <c r="AH376" s="2085"/>
    </row>
    <row r="377" spans="1:36" ht="12.75" customHeight="1">
      <c r="E377" s="7" t="s">
        <v>1089</v>
      </c>
      <c r="F377" s="7"/>
      <c r="G377" s="7"/>
      <c r="H377" s="7"/>
      <c r="I377" s="7"/>
      <c r="J377" s="7"/>
      <c r="K377" s="7"/>
      <c r="L377" s="7"/>
      <c r="N377" s="2085"/>
      <c r="O377" s="2085"/>
      <c r="P377" s="2085"/>
    </row>
    <row r="378" spans="1:36" ht="12.75" customHeight="1">
      <c r="E378" s="382" t="s">
        <v>1090</v>
      </c>
      <c r="F378" s="7"/>
      <c r="G378" s="7"/>
      <c r="H378" s="7"/>
      <c r="I378" s="7"/>
      <c r="J378" s="7"/>
      <c r="K378" s="7"/>
      <c r="L378" s="7"/>
      <c r="AG378" s="2240" t="s">
        <v>625</v>
      </c>
      <c r="AH378" s="2240"/>
    </row>
    <row r="379" spans="1:36" ht="12.75" customHeight="1">
      <c r="E379" s="7"/>
      <c r="F379" s="7"/>
      <c r="G379" s="7" t="s">
        <v>1111</v>
      </c>
      <c r="H379" s="7"/>
      <c r="I379" s="7"/>
      <c r="J379" s="7"/>
      <c r="K379" s="7"/>
      <c r="L379" s="7"/>
      <c r="AG379" s="2240" t="s">
        <v>625</v>
      </c>
      <c r="AH379" s="2240"/>
    </row>
    <row r="380" spans="1:36" ht="12.75" customHeight="1">
      <c r="E380" s="7"/>
      <c r="F380" s="7"/>
      <c r="G380" s="509" t="s">
        <v>1091</v>
      </c>
      <c r="H380" s="7"/>
      <c r="I380" s="7"/>
      <c r="J380" s="7"/>
      <c r="K380" s="7"/>
      <c r="L380" s="7"/>
      <c r="V380" s="2036" t="s">
        <v>625</v>
      </c>
      <c r="W380" s="2036"/>
      <c r="Y380" s="35" t="s">
        <v>1060</v>
      </c>
    </row>
    <row r="381" spans="1:36" ht="12.75" customHeight="1">
      <c r="E381" s="7" t="s">
        <v>1061</v>
      </c>
      <c r="F381" s="7"/>
      <c r="G381" s="7"/>
      <c r="H381" s="7"/>
      <c r="I381" s="7"/>
      <c r="J381" s="7"/>
      <c r="K381" s="7"/>
      <c r="L381" s="7"/>
      <c r="V381" s="2036" t="s">
        <v>625</v>
      </c>
      <c r="W381" s="2036"/>
      <c r="Y381" s="7" t="s">
        <v>1062</v>
      </c>
    </row>
    <row r="382" spans="1:36" ht="12.75" customHeight="1"/>
    <row r="383" spans="1:36" ht="12.75" customHeight="1">
      <c r="A383" s="50" t="s">
        <v>82</v>
      </c>
      <c r="B383" s="50"/>
    </row>
    <row r="384" spans="1:36" ht="12.75" customHeight="1">
      <c r="D384" s="12" t="s">
        <v>448</v>
      </c>
      <c r="J384" s="2037" t="s">
        <v>2569</v>
      </c>
      <c r="K384" s="2037"/>
      <c r="L384" s="2037"/>
      <c r="M384" s="2037"/>
      <c r="N384" s="2037"/>
      <c r="O384" s="2037"/>
      <c r="P384" s="2037"/>
      <c r="Q384" s="2037"/>
      <c r="R384" s="2037"/>
      <c r="S384" s="2037"/>
      <c r="T384" s="2037"/>
      <c r="U384" s="2037"/>
      <c r="V384" s="14" t="s">
        <v>88</v>
      </c>
      <c r="W384" s="14"/>
      <c r="X384" s="14"/>
      <c r="Y384" s="14"/>
      <c r="Z384" s="14"/>
      <c r="AA384" s="14"/>
      <c r="AB384" s="14"/>
      <c r="AC384" s="2037" t="s">
        <v>2615</v>
      </c>
      <c r="AD384" s="2037"/>
      <c r="AE384" s="2037"/>
      <c r="AF384" s="2037"/>
      <c r="AG384" s="2037"/>
      <c r="AH384" s="2037"/>
      <c r="AI384" s="2037"/>
      <c r="AJ384" s="2037"/>
    </row>
    <row r="385" spans="1:96" ht="12.75" customHeight="1">
      <c r="A385" s="719"/>
      <c r="B385" s="719"/>
      <c r="C385" s="719"/>
      <c r="D385" s="58" t="s">
        <v>1381</v>
      </c>
      <c r="E385" s="719"/>
      <c r="F385" s="719"/>
      <c r="G385" s="719"/>
      <c r="H385" s="719"/>
      <c r="I385" s="719"/>
      <c r="J385" s="2039" t="s">
        <v>2615</v>
      </c>
      <c r="K385" s="2039"/>
      <c r="L385" s="2039"/>
      <c r="M385" s="2039"/>
      <c r="N385" s="2039"/>
      <c r="O385" s="2039"/>
      <c r="P385" s="2039"/>
      <c r="Q385" s="2039"/>
      <c r="R385" s="2039"/>
      <c r="S385" s="2039"/>
      <c r="T385" s="2039"/>
      <c r="U385" s="2039"/>
      <c r="V385" s="58" t="s">
        <v>1381</v>
      </c>
      <c r="W385" s="14"/>
      <c r="X385" s="14"/>
      <c r="Y385" s="14"/>
      <c r="Z385" s="14"/>
      <c r="AA385" s="14"/>
      <c r="AB385" s="14"/>
      <c r="AC385" s="2037"/>
      <c r="AD385" s="2037"/>
      <c r="AE385" s="2037"/>
      <c r="AF385" s="2037"/>
      <c r="AG385" s="2037"/>
      <c r="AH385" s="2037"/>
      <c r="AI385" s="2037"/>
      <c r="AJ385" s="2037"/>
      <c r="AK385" s="719"/>
      <c r="AL385" s="719"/>
    </row>
    <row r="386" spans="1:96" ht="12.75" customHeight="1">
      <c r="A386" s="719"/>
      <c r="B386" s="719"/>
      <c r="C386" s="719"/>
      <c r="D386" s="58" t="s">
        <v>463</v>
      </c>
      <c r="E386" s="719"/>
      <c r="F386" s="719"/>
      <c r="G386" s="719"/>
      <c r="H386" s="719"/>
      <c r="I386" s="719"/>
      <c r="J386" s="2039" t="s">
        <v>2616</v>
      </c>
      <c r="K386" s="2039"/>
      <c r="L386" s="2039"/>
      <c r="M386" s="2039"/>
      <c r="N386" s="2039"/>
      <c r="O386" s="2039"/>
      <c r="P386" s="2039"/>
      <c r="Q386" s="2039"/>
      <c r="R386" s="2039"/>
      <c r="S386" s="2039"/>
      <c r="T386" s="2039"/>
      <c r="U386" s="2039"/>
      <c r="V386" s="58" t="s">
        <v>463</v>
      </c>
      <c r="W386" s="14"/>
      <c r="X386" s="14"/>
      <c r="Y386" s="14"/>
      <c r="Z386" s="14"/>
      <c r="AA386" s="14"/>
      <c r="AB386" s="14"/>
      <c r="AC386" s="2037" t="s">
        <v>2616</v>
      </c>
      <c r="AD386" s="2037"/>
      <c r="AE386" s="2037"/>
      <c r="AF386" s="2037"/>
      <c r="AG386" s="2037"/>
      <c r="AH386" s="2037"/>
      <c r="AI386" s="2037"/>
      <c r="AJ386" s="2037"/>
      <c r="AK386" s="719"/>
      <c r="AL386" s="719"/>
    </row>
    <row r="387" spans="1:96" ht="12.75" customHeight="1">
      <c r="A387" s="719"/>
      <c r="B387" s="719"/>
      <c r="C387" s="719"/>
      <c r="D387" s="479" t="s">
        <v>1377</v>
      </c>
      <c r="E387" s="719"/>
      <c r="F387" s="719"/>
      <c r="G387" s="719"/>
      <c r="H387" s="719"/>
      <c r="I387" s="88"/>
      <c r="J387" s="2056" t="s">
        <v>2617</v>
      </c>
      <c r="K387" s="2056"/>
      <c r="L387" s="2056"/>
      <c r="M387" s="2056"/>
      <c r="N387" s="2056"/>
      <c r="O387" s="2056"/>
      <c r="P387" s="2056"/>
      <c r="Q387" s="2056"/>
      <c r="R387" s="2056"/>
      <c r="S387" s="2056"/>
      <c r="T387" s="2056"/>
      <c r="U387" s="2056"/>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255">
        <v>44418</v>
      </c>
      <c r="R388" s="2255"/>
      <c r="S388" s="2255"/>
      <c r="T388" s="2255"/>
      <c r="U388" s="2255"/>
      <c r="V388" s="12" t="s">
        <v>317</v>
      </c>
      <c r="AI388" s="2036" t="s">
        <v>705</v>
      </c>
      <c r="AJ388" s="2036"/>
    </row>
    <row r="389" spans="1:96" ht="12.75" customHeight="1">
      <c r="D389" s="12" t="s">
        <v>5</v>
      </c>
      <c r="Q389" s="2326">
        <v>44926</v>
      </c>
      <c r="R389" s="2374"/>
      <c r="S389" s="2374"/>
      <c r="T389" s="2374"/>
      <c r="U389" s="2374"/>
      <c r="W389" s="33" t="s">
        <v>78</v>
      </c>
      <c r="AG389" s="2058"/>
      <c r="AH389" s="2058"/>
      <c r="AI389" s="2058"/>
      <c r="AJ389" s="2058"/>
    </row>
    <row r="390" spans="1:96" ht="12.75" customHeight="1">
      <c r="D390" s="12" t="s">
        <v>447</v>
      </c>
      <c r="Q390" s="2256">
        <v>12400000</v>
      </c>
      <c r="R390" s="2256"/>
      <c r="S390" s="2256"/>
      <c r="T390" s="2256"/>
      <c r="U390" s="2256"/>
      <c r="V390" s="58" t="s">
        <v>1380</v>
      </c>
      <c r="AG390" s="2060" t="s">
        <v>2619</v>
      </c>
      <c r="AH390" s="2061"/>
      <c r="AI390" s="2061"/>
      <c r="AJ390" s="2061"/>
    </row>
    <row r="391" spans="1:96" ht="12.75" customHeight="1">
      <c r="D391" s="12" t="s">
        <v>93</v>
      </c>
      <c r="I391" s="2188" t="s">
        <v>2618</v>
      </c>
      <c r="J391" s="2189"/>
      <c r="K391" s="2189"/>
      <c r="L391" s="2189"/>
      <c r="M391" s="2189"/>
      <c r="N391" s="2189"/>
      <c r="Q391" s="57" t="s">
        <v>211</v>
      </c>
      <c r="S391" s="2254"/>
      <c r="T391" s="2254"/>
      <c r="U391" s="2254"/>
      <c r="V391" s="12" t="s">
        <v>77</v>
      </c>
      <c r="AI391" s="2036" t="s">
        <v>705</v>
      </c>
      <c r="AJ391" s="2036"/>
    </row>
    <row r="392" spans="1:96" ht="12.75" customHeight="1">
      <c r="D392" s="12" t="s">
        <v>318</v>
      </c>
      <c r="Q392" s="2040" t="s">
        <v>2619</v>
      </c>
      <c r="R392" s="2040"/>
      <c r="S392" s="2040"/>
      <c r="T392" s="2040"/>
      <c r="U392" s="2040"/>
      <c r="V392" s="12" t="s">
        <v>319</v>
      </c>
      <c r="AG392" s="2059" t="s">
        <v>2619</v>
      </c>
      <c r="AH392" s="2058"/>
      <c r="AI392" s="2058"/>
      <c r="AJ392" s="2058"/>
    </row>
    <row r="393" spans="1:96" ht="12.75" customHeight="1">
      <c r="D393" s="12" t="s">
        <v>320</v>
      </c>
      <c r="Q393" s="2192">
        <v>0</v>
      </c>
      <c r="R393" s="2192"/>
      <c r="S393" s="2192"/>
      <c r="T393" s="2192"/>
      <c r="U393" s="2192"/>
      <c r="V393" s="719" t="s">
        <v>1357</v>
      </c>
      <c r="AG393" s="2058">
        <v>0</v>
      </c>
      <c r="AH393" s="2058"/>
      <c r="AI393" s="2058"/>
      <c r="AJ393" s="2058"/>
    </row>
    <row r="394" spans="1:96" ht="12.75">
      <c r="D394" s="719" t="s">
        <v>1356</v>
      </c>
      <c r="V394" s="719"/>
      <c r="AG394" s="2058">
        <v>0</v>
      </c>
      <c r="AH394" s="2058"/>
      <c r="AI394" s="2058"/>
      <c r="AJ394" s="20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2.75">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2.75">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3" t="s">
        <v>577</v>
      </c>
      <c r="T400" s="2103"/>
      <c r="U400" s="2103"/>
      <c r="V400" s="479" t="s">
        <v>2016</v>
      </c>
      <c r="W400" s="719"/>
      <c r="X400" s="719"/>
      <c r="Y400" s="719"/>
      <c r="Z400" s="719"/>
      <c r="AA400" s="719"/>
      <c r="AB400" s="39"/>
      <c r="AC400" s="39"/>
      <c r="AD400" s="39"/>
      <c r="AE400" s="39"/>
      <c r="AF400" s="39"/>
      <c r="AG400" s="2146">
        <v>55</v>
      </c>
      <c r="AH400" s="2146"/>
      <c r="AI400" s="2146"/>
      <c r="AJ400" s="2146"/>
      <c r="AK400" s="39"/>
      <c r="AL400" s="719"/>
    </row>
    <row r="401" spans="1:96" s="719" customFormat="1" ht="12.75">
      <c r="D401" s="58" t="s">
        <v>2012</v>
      </c>
      <c r="S401" s="2103" t="s">
        <v>577</v>
      </c>
      <c r="T401" s="2103"/>
      <c r="U401" s="2103"/>
      <c r="V401" s="479" t="s">
        <v>2018</v>
      </c>
      <c r="AB401" s="39"/>
      <c r="AC401" s="39"/>
      <c r="AD401" s="39"/>
      <c r="AE401" s="2147">
        <v>1</v>
      </c>
      <c r="AF401" s="2147"/>
      <c r="AG401" s="2147"/>
      <c r="AH401" s="2147"/>
      <c r="AI401" s="2147"/>
      <c r="AJ401" s="2147"/>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9" t="s">
        <v>2620</v>
      </c>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49" t="s">
        <v>2621</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2.75">
      <c r="D405" s="2148" t="s">
        <v>2019</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4" t="s">
        <v>2550</v>
      </c>
      <c r="J409" s="2214"/>
      <c r="K409" s="2214"/>
      <c r="L409" s="2214"/>
      <c r="M409" s="2214"/>
      <c r="N409" s="2214"/>
      <c r="O409" s="2214"/>
      <c r="P409" s="2214"/>
      <c r="Q409" s="2214"/>
      <c r="R409" s="2214"/>
      <c r="S409" s="2214"/>
      <c r="T409" s="2214"/>
      <c r="U409" s="2214"/>
      <c r="V409" s="2214"/>
      <c r="W409" s="2214"/>
      <c r="X409" s="2214"/>
      <c r="Y409" s="2214"/>
      <c r="Z409" s="2214"/>
      <c r="AA409" s="2214"/>
      <c r="AB409" s="2214"/>
      <c r="AC409" s="2214"/>
      <c r="AD409" s="2214"/>
      <c r="AE409" s="2214"/>
    </row>
    <row r="410" spans="1:96" ht="12.75" customHeight="1">
      <c r="C410" s="25"/>
      <c r="D410" s="25"/>
      <c r="E410" s="12" t="s">
        <v>111</v>
      </c>
      <c r="F410" s="25"/>
      <c r="G410" s="25"/>
      <c r="H410" s="25"/>
      <c r="I410" s="25"/>
      <c r="J410" s="25"/>
      <c r="K410" s="25"/>
      <c r="L410" s="25"/>
      <c r="M410" s="25"/>
      <c r="N410" s="25"/>
      <c r="O410" s="25"/>
      <c r="P410" s="719"/>
      <c r="Q410" s="719"/>
      <c r="R410" s="2036" t="s">
        <v>577</v>
      </c>
      <c r="S410" s="2036"/>
      <c r="T410" s="12" t="s">
        <v>603</v>
      </c>
      <c r="U410" s="719"/>
      <c r="V410" s="719"/>
      <c r="W410" s="719"/>
      <c r="X410" s="719"/>
      <c r="Y410" s="719"/>
      <c r="Z410" s="719"/>
      <c r="AA410" s="719"/>
      <c r="AB410" s="719"/>
      <c r="AC410" s="719"/>
      <c r="AD410" s="2062">
        <v>5</v>
      </c>
      <c r="AE410" s="2062"/>
      <c r="AF410" s="719"/>
    </row>
    <row r="411" spans="1:96" ht="12.75">
      <c r="C411" s="25"/>
      <c r="E411" s="12" t="s">
        <v>112</v>
      </c>
      <c r="F411" s="719"/>
      <c r="G411" s="719"/>
      <c r="H411" s="719"/>
      <c r="I411" s="719"/>
      <c r="J411" s="719"/>
      <c r="K411" s="719"/>
      <c r="L411" s="719"/>
      <c r="M411" s="719"/>
      <c r="N411" s="25"/>
      <c r="O411" s="25"/>
      <c r="P411" s="719"/>
      <c r="Q411" s="719"/>
      <c r="R411" s="2036" t="s">
        <v>625</v>
      </c>
      <c r="S411" s="2036"/>
      <c r="T411" s="12" t="s">
        <v>603</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6" t="s">
        <v>577</v>
      </c>
      <c r="T412" s="2036"/>
      <c r="U412" s="719"/>
      <c r="V412" s="719"/>
      <c r="W412" s="719"/>
      <c r="X412" s="719"/>
      <c r="Y412" s="719"/>
      <c r="Z412" s="719"/>
      <c r="AA412" s="719"/>
      <c r="AB412" s="719"/>
      <c r="AC412" s="719"/>
      <c r="AD412" s="719"/>
      <c r="AE412" s="719"/>
      <c r="AF412" s="719"/>
    </row>
    <row r="413" spans="1:96" ht="12.75" customHeight="1">
      <c r="E413" s="12" t="s">
        <v>174</v>
      </c>
      <c r="F413" s="719"/>
      <c r="G413" s="719"/>
      <c r="H413" s="2190" t="s">
        <v>342</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75"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75" customHeight="1"/>
    <row r="416" spans="1:96" ht="12.75" customHeight="1">
      <c r="A416" s="50" t="s">
        <v>624</v>
      </c>
      <c r="B416" s="50"/>
      <c r="C416" s="50"/>
      <c r="D416" s="50" t="s">
        <v>119</v>
      </c>
      <c r="AF416" s="50" t="s">
        <v>1035</v>
      </c>
    </row>
    <row r="417" spans="1:96" ht="12.75" customHeight="1">
      <c r="E417" s="2085"/>
      <c r="F417" s="2085"/>
      <c r="G417" s="2085"/>
      <c r="H417" s="23" t="s">
        <v>120</v>
      </c>
      <c r="I417" s="2085"/>
      <c r="J417" s="2085"/>
      <c r="K417" s="2085"/>
      <c r="L417" s="12" t="s">
        <v>121</v>
      </c>
      <c r="N417" s="141" t="s">
        <v>609</v>
      </c>
      <c r="P417" s="2253">
        <f>121967/43560</f>
        <v>2.7999770431588615</v>
      </c>
      <c r="Q417" s="2253"/>
      <c r="R417" s="2253"/>
      <c r="S417" s="12" t="s">
        <v>122</v>
      </c>
      <c r="W417" s="2074">
        <f>IF(E417&gt;0,(E417*I417),(P417*43560))</f>
        <v>121967.00000000001</v>
      </c>
      <c r="X417" s="2074"/>
      <c r="Y417" s="2074"/>
      <c r="Z417" s="12" t="s">
        <v>123</v>
      </c>
      <c r="AF417" s="2259">
        <f>IF(P417&gt;0,(AG436/P417),(AG436/(W417/43560)))</f>
        <v>121.42956701402838</v>
      </c>
      <c r="AG417" s="2259"/>
      <c r="AH417" s="2259"/>
      <c r="AM417" s="239"/>
    </row>
    <row r="418" spans="1:96" ht="12.75">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2234</v>
      </c>
      <c r="F420" s="1807"/>
      <c r="G420" s="1807"/>
      <c r="H420" s="1807"/>
      <c r="I420" s="2379">
        <f>P417</f>
        <v>2.7999770431588615</v>
      </c>
      <c r="J420" s="2379"/>
      <c r="K420" s="2379"/>
      <c r="L420" s="1807"/>
      <c r="M420" s="254"/>
      <c r="N420" s="1807"/>
      <c r="O420" s="1807"/>
      <c r="P420" s="2414">
        <f>(CS637+CS645+CS661)/I420</f>
        <v>138.5725647101265</v>
      </c>
      <c r="Q420" s="2414"/>
      <c r="R420" s="241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6">
        <v>3</v>
      </c>
      <c r="Q423" s="2036"/>
      <c r="S423" s="12" t="s">
        <v>194</v>
      </c>
      <c r="AE423" s="2036">
        <v>3</v>
      </c>
      <c r="AF423" s="2036"/>
    </row>
    <row r="424" spans="1:96" ht="12.75">
      <c r="E424" s="12" t="s">
        <v>195</v>
      </c>
      <c r="P424" s="2036">
        <v>0</v>
      </c>
      <c r="Q424" s="2036"/>
      <c r="S424" s="12" t="s">
        <v>136</v>
      </c>
      <c r="AE424" s="2036" t="s">
        <v>625</v>
      </c>
      <c r="AF424" s="2036"/>
    </row>
    <row r="425" spans="1:96" ht="12.75">
      <c r="F425" s="67" t="s">
        <v>137</v>
      </c>
    </row>
    <row r="426" spans="1:96" ht="12.75">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105"/>
    </row>
    <row r="430" spans="1:96" ht="12.75" customHeight="1">
      <c r="S430" s="25"/>
      <c r="T430" s="25"/>
    </row>
    <row r="431" spans="1:96" ht="12.75" customHeight="1">
      <c r="A431" s="50"/>
      <c r="B431" s="50"/>
      <c r="C431" s="50"/>
      <c r="E431" s="7" t="s">
        <v>316</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52">
        <v>340</v>
      </c>
      <c r="AH436" s="2052"/>
      <c r="AI436" s="2052"/>
      <c r="AJ436" s="2052"/>
    </row>
    <row r="437" spans="1:110" ht="12.75"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1">
        <v>0</v>
      </c>
      <c r="AH437" s="2082"/>
      <c r="AI437" s="2082"/>
      <c r="AJ437" s="2082"/>
    </row>
    <row r="438" spans="1:110" ht="12.75"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337</v>
      </c>
      <c r="AH438" s="2052"/>
      <c r="AI438" s="2052"/>
      <c r="AJ438" s="2052"/>
    </row>
    <row r="439" spans="1:110" ht="12.75"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337</v>
      </c>
      <c r="AH439" s="2052"/>
      <c r="AI439" s="2052"/>
      <c r="AJ439" s="2052"/>
    </row>
    <row r="440" spans="1:110" ht="12.75"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3">
        <f>IF(ISERROR(AG439/AG438),"",AG439/AG438)</f>
        <v>1</v>
      </c>
      <c r="AH440" s="2073"/>
      <c r="AI440" s="2073"/>
      <c r="AJ440" s="2073"/>
    </row>
    <row r="441" spans="1:110" ht="12.75"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2">
        <v>183070</v>
      </c>
      <c r="AH441" s="2072"/>
      <c r="AI441" s="2072"/>
      <c r="AJ441" s="2072"/>
    </row>
    <row r="442" spans="1:110" ht="12.75"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2">
        <v>183070</v>
      </c>
      <c r="AH442" s="2072"/>
      <c r="AI442" s="2072"/>
      <c r="AJ442" s="2072"/>
    </row>
    <row r="443" spans="1:110" ht="12.75"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3">
        <f>IF(ISERROR(AG442/AG441),"",AG442/AG441)</f>
        <v>1</v>
      </c>
      <c r="AH443" s="2073"/>
      <c r="AI443" s="2073"/>
      <c r="AJ443" s="2073"/>
    </row>
    <row r="444" spans="1:110" ht="12.75"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3">
        <f>MIN(IF(AG440&gt;AG443,AG443,AG440),1)</f>
        <v>1</v>
      </c>
      <c r="AH444" s="2073"/>
      <c r="AI444" s="2073"/>
      <c r="AJ444" s="2073"/>
    </row>
    <row r="445" spans="1:110" ht="12.75" customHeight="1">
      <c r="D445" s="2019" t="s">
        <v>1411</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v>5824</v>
      </c>
      <c r="AH445" s="2072"/>
      <c r="AI445" s="2072"/>
      <c r="AJ445" s="2072"/>
    </row>
    <row r="446" spans="1:110" ht="12.75" customHeight="1">
      <c r="D446" s="2071" t="s">
        <v>601</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1412</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f>462754-AG448-AG445-AG441</f>
        <v>109126</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1151</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072">
        <v>164734</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5" t="s">
        <v>1152</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1">
        <f>AG441+AG445+AG447+AG448</f>
        <v>462754</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8" t="s">
        <v>1413</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439549.46176470589</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439549.46176470589</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385502.12647058826</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0" t="s">
        <v>730</v>
      </c>
      <c r="E464" s="2098"/>
      <c r="F464" s="2098"/>
      <c r="G464" s="2098"/>
      <c r="H464" s="2098"/>
      <c r="I464" s="2098"/>
      <c r="J464" s="2098"/>
      <c r="K464" s="2098"/>
      <c r="L464" s="2098"/>
      <c r="M464" s="2098"/>
      <c r="N464" s="2098"/>
      <c r="O464" s="2098"/>
      <c r="P464" s="2098"/>
      <c r="Q464" s="2098"/>
      <c r="R464" s="2098"/>
      <c r="S464" s="2098"/>
      <c r="T464" s="2098"/>
      <c r="U464" s="2098"/>
      <c r="V464" s="2099"/>
      <c r="W464" s="2094">
        <v>0</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0" t="s">
        <v>731</v>
      </c>
      <c r="E465" s="2098"/>
      <c r="F465" s="2098"/>
      <c r="G465" s="2098"/>
      <c r="H465" s="2098"/>
      <c r="I465" s="2098"/>
      <c r="J465" s="2098"/>
      <c r="K465" s="2098"/>
      <c r="L465" s="2098"/>
      <c r="M465" s="2098"/>
      <c r="N465" s="2098"/>
      <c r="O465" s="2098"/>
      <c r="P465" s="2098"/>
      <c r="Q465" s="2098"/>
      <c r="R465" s="2098"/>
      <c r="S465" s="2098"/>
      <c r="T465" s="2098"/>
      <c r="U465" s="2098"/>
      <c r="V465" s="2099"/>
      <c r="W465" s="2094">
        <v>0</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0" t="s">
        <v>732</v>
      </c>
      <c r="E466" s="2098"/>
      <c r="F466" s="2098"/>
      <c r="G466" s="2098"/>
      <c r="H466" s="2098"/>
      <c r="I466" s="2098"/>
      <c r="J466" s="2098"/>
      <c r="K466" s="2098"/>
      <c r="L466" s="2098"/>
      <c r="M466" s="2098"/>
      <c r="N466" s="2098"/>
      <c r="O466" s="2098"/>
      <c r="P466" s="2098"/>
      <c r="Q466" s="2098"/>
      <c r="R466" s="2098"/>
      <c r="S466" s="2098"/>
      <c r="T466" s="2098"/>
      <c r="U466" s="2098"/>
      <c r="V466" s="2099"/>
      <c r="W466" s="2094">
        <v>0</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733</v>
      </c>
      <c r="E467" s="2098"/>
      <c r="F467" s="2098"/>
      <c r="G467" s="2098"/>
      <c r="H467" s="2098"/>
      <c r="I467" s="2098"/>
      <c r="J467" s="2098"/>
      <c r="K467" s="2098"/>
      <c r="L467" s="2098"/>
      <c r="M467" s="2098"/>
      <c r="N467" s="2098"/>
      <c r="O467" s="2098"/>
      <c r="P467" s="2098"/>
      <c r="Q467" s="2098"/>
      <c r="R467" s="2098"/>
      <c r="S467" s="2098"/>
      <c r="T467" s="2098"/>
      <c r="U467" s="2098"/>
      <c r="V467" s="2099"/>
      <c r="W467" s="2094">
        <v>0</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945</v>
      </c>
      <c r="E468" s="2098"/>
      <c r="F468" s="2098"/>
      <c r="G468" s="2098"/>
      <c r="H468" s="2098"/>
      <c r="I468" s="2098"/>
      <c r="J468" s="2098"/>
      <c r="K468" s="2098"/>
      <c r="L468" s="2098"/>
      <c r="M468" s="2098"/>
      <c r="N468" s="2098"/>
      <c r="O468" s="2098"/>
      <c r="P468" s="2098"/>
      <c r="Q468" s="2098"/>
      <c r="R468" s="2098"/>
      <c r="S468" s="2098"/>
      <c r="T468" s="2098"/>
      <c r="U468" s="2098"/>
      <c r="V468" s="2099"/>
      <c r="W468" s="2094">
        <v>0</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0" t="s">
        <v>734</v>
      </c>
      <c r="E469" s="2098"/>
      <c r="F469" s="2098"/>
      <c r="G469" s="2098"/>
      <c r="H469" s="2098"/>
      <c r="I469" s="2098"/>
      <c r="J469" s="2098"/>
      <c r="K469" s="2098"/>
      <c r="L469" s="2098"/>
      <c r="M469" s="2098"/>
      <c r="N469" s="2098"/>
      <c r="O469" s="2098"/>
      <c r="P469" s="2098"/>
      <c r="Q469" s="2098"/>
      <c r="R469" s="2098"/>
      <c r="S469" s="2098"/>
      <c r="T469" s="2098"/>
      <c r="U469" s="2098"/>
      <c r="V469" s="2099"/>
      <c r="W469" s="2094">
        <v>0</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0" t="s">
        <v>1118</v>
      </c>
      <c r="E470" s="2098"/>
      <c r="F470" s="2098"/>
      <c r="G470" s="2098"/>
      <c r="H470" s="2098"/>
      <c r="I470" s="2098"/>
      <c r="J470" s="2098"/>
      <c r="K470" s="2098"/>
      <c r="L470" s="2098"/>
      <c r="M470" s="2098"/>
      <c r="N470" s="2098"/>
      <c r="O470" s="2098"/>
      <c r="P470" s="2098"/>
      <c r="Q470" s="2098"/>
      <c r="R470" s="2098"/>
      <c r="S470" s="2098"/>
      <c r="T470" s="2098"/>
      <c r="U470" s="2098"/>
      <c r="V470" s="2099"/>
      <c r="W470" s="2094">
        <v>0</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7" t="s">
        <v>2007</v>
      </c>
      <c r="E471" s="2098"/>
      <c r="F471" s="2098"/>
      <c r="G471" s="2098"/>
      <c r="H471" s="2098"/>
      <c r="I471" s="2098"/>
      <c r="J471" s="2098"/>
      <c r="K471" s="2098"/>
      <c r="L471" s="2098"/>
      <c r="M471" s="2098"/>
      <c r="N471" s="2098"/>
      <c r="O471" s="2098"/>
      <c r="P471" s="2098"/>
      <c r="Q471" s="2098"/>
      <c r="R471" s="2098"/>
      <c r="S471" s="2098"/>
      <c r="T471" s="2098"/>
      <c r="U471" s="2098"/>
      <c r="V471" s="2099"/>
      <c r="W471" s="2094">
        <v>120</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91" t="s">
        <v>2622</v>
      </c>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3" t="s">
        <v>868</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7" t="s">
        <v>869</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3" t="s">
        <v>36</v>
      </c>
      <c r="U484" s="2193"/>
      <c r="V484" s="2193"/>
      <c r="W484" s="2193"/>
      <c r="X484" s="2193"/>
      <c r="Y484" s="2193" t="s">
        <v>37</v>
      </c>
      <c r="Z484" s="2193"/>
      <c r="AA484" s="2193"/>
      <c r="AB484" s="2193"/>
      <c r="AC484" s="2193"/>
      <c r="AD484" s="2193" t="s">
        <v>347</v>
      </c>
      <c r="AE484" s="2193"/>
      <c r="AF484" s="2193"/>
      <c r="AG484" s="2193"/>
      <c r="AH484" s="21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3"/>
      <c r="U485" s="2193"/>
      <c r="V485" s="2193"/>
      <c r="W485" s="2193"/>
      <c r="X485" s="2193"/>
      <c r="Y485" s="2193"/>
      <c r="Z485" s="2193"/>
      <c r="AA485" s="2193"/>
      <c r="AB485" s="2193"/>
      <c r="AC485" s="2193"/>
      <c r="AD485" s="2193"/>
      <c r="AE485" s="2193"/>
      <c r="AF485" s="2193"/>
      <c r="AG485" s="2193"/>
      <c r="AH485" s="21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29">
        <v>44319</v>
      </c>
      <c r="U486" s="2029"/>
      <c r="V486" s="2029"/>
      <c r="W486" s="2029"/>
      <c r="X486" s="2029"/>
      <c r="Y486" s="2029" t="s">
        <v>2619</v>
      </c>
      <c r="Z486" s="2029"/>
      <c r="AA486" s="2029"/>
      <c r="AB486" s="2029"/>
      <c r="AC486" s="2029"/>
      <c r="AD486" s="2029">
        <v>44418</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29" t="s">
        <v>2619</v>
      </c>
      <c r="U487" s="2029"/>
      <c r="V487" s="2029"/>
      <c r="W487" s="2029"/>
      <c r="X487" s="2029"/>
      <c r="Y487" s="2029" t="s">
        <v>2619</v>
      </c>
      <c r="Z487" s="2029"/>
      <c r="AA487" s="2029"/>
      <c r="AB487" s="2029"/>
      <c r="AC487" s="2029"/>
      <c r="AD487" s="2029" t="s">
        <v>2619</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29" t="s">
        <v>2619</v>
      </c>
      <c r="U488" s="2029"/>
      <c r="V488" s="2029"/>
      <c r="W488" s="2029"/>
      <c r="X488" s="2029"/>
      <c r="Y488" s="2029" t="s">
        <v>2619</v>
      </c>
      <c r="Z488" s="2029"/>
      <c r="AA488" s="2029"/>
      <c r="AB488" s="2029"/>
      <c r="AC488" s="2029"/>
      <c r="AD488" s="2029" t="s">
        <v>2619</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29" t="s">
        <v>2619</v>
      </c>
      <c r="U489" s="2029"/>
      <c r="V489" s="2029"/>
      <c r="W489" s="2029"/>
      <c r="X489" s="2029"/>
      <c r="Y489" s="2029" t="s">
        <v>2619</v>
      </c>
      <c r="Z489" s="2029"/>
      <c r="AA489" s="2029"/>
      <c r="AB489" s="2029"/>
      <c r="AC489" s="2029"/>
      <c r="AD489" s="2029" t="s">
        <v>2619</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29" t="s">
        <v>2619</v>
      </c>
      <c r="U490" s="2029"/>
      <c r="V490" s="2029"/>
      <c r="W490" s="2029"/>
      <c r="X490" s="2029"/>
      <c r="Y490" s="2029" t="s">
        <v>2619</v>
      </c>
      <c r="Z490" s="2029"/>
      <c r="AA490" s="2029"/>
      <c r="AB490" s="2029"/>
      <c r="AC490" s="2029"/>
      <c r="AD490" s="2029" t="s">
        <v>2619</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29" t="s">
        <v>2619</v>
      </c>
      <c r="U491" s="2029"/>
      <c r="V491" s="2029"/>
      <c r="W491" s="2029"/>
      <c r="X491" s="2029"/>
      <c r="Y491" s="2029" t="s">
        <v>2619</v>
      </c>
      <c r="Z491" s="2029"/>
      <c r="AA491" s="2029"/>
      <c r="AB491" s="2029"/>
      <c r="AC491" s="2029"/>
      <c r="AD491" s="2029" t="s">
        <v>2619</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29" t="s">
        <v>2619</v>
      </c>
      <c r="U492" s="2029"/>
      <c r="V492" s="2029"/>
      <c r="W492" s="2029"/>
      <c r="X492" s="2029"/>
      <c r="Y492" s="2029" t="s">
        <v>2619</v>
      </c>
      <c r="Z492" s="2029"/>
      <c r="AA492" s="2029"/>
      <c r="AB492" s="2029"/>
      <c r="AC492" s="2029"/>
      <c r="AD492" s="2029" t="s">
        <v>2619</v>
      </c>
      <c r="AE492" s="2029"/>
      <c r="AF492" s="2029"/>
      <c r="AG492" s="2029"/>
      <c r="AH492" s="202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29" t="s">
        <v>2619</v>
      </c>
      <c r="U493" s="2029"/>
      <c r="V493" s="2029"/>
      <c r="W493" s="2029"/>
      <c r="X493" s="2029"/>
      <c r="Y493" s="2029" t="s">
        <v>2619</v>
      </c>
      <c r="Z493" s="2029"/>
      <c r="AA493" s="2029"/>
      <c r="AB493" s="2029"/>
      <c r="AC493" s="2029"/>
      <c r="AD493" s="2029" t="s">
        <v>2619</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29" t="s">
        <v>2619</v>
      </c>
      <c r="U494" s="2029"/>
      <c r="V494" s="2029"/>
      <c r="W494" s="2029"/>
      <c r="X494" s="2029"/>
      <c r="Y494" s="2029" t="s">
        <v>2619</v>
      </c>
      <c r="Z494" s="2029"/>
      <c r="AA494" s="2029"/>
      <c r="AB494" s="2029"/>
      <c r="AC494" s="2029"/>
      <c r="AD494" s="2029" t="s">
        <v>2619</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29">
        <v>44319</v>
      </c>
      <c r="U495" s="2029"/>
      <c r="V495" s="2029"/>
      <c r="W495" s="2029"/>
      <c r="X495" s="2029"/>
      <c r="Y495" s="2029" t="s">
        <v>2619</v>
      </c>
      <c r="Z495" s="2029"/>
      <c r="AA495" s="2029"/>
      <c r="AB495" s="2029"/>
      <c r="AC495" s="2029"/>
      <c r="AD495" s="2029">
        <v>44418</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413</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10" t="s">
        <v>2623</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10" t="s">
        <v>2625</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1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10" t="s">
        <v>2626</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1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4" t="s">
        <v>417</v>
      </c>
      <c r="C501" s="2195"/>
      <c r="D501" s="2195"/>
      <c r="E501" s="2195"/>
      <c r="F501" s="2195"/>
      <c r="G501" s="2195"/>
      <c r="H501" s="2195"/>
      <c r="I501" s="2195"/>
      <c r="J501" s="2195"/>
      <c r="K501" s="2195"/>
      <c r="L501" s="2195"/>
      <c r="M501" s="2195"/>
      <c r="N501" s="2195"/>
      <c r="O501" s="2195"/>
      <c r="P501" s="2196"/>
      <c r="Q501" s="2171" t="s">
        <v>577</v>
      </c>
      <c r="R501" s="2172"/>
      <c r="S501" s="2398" t="s">
        <v>2624</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7"/>
      <c r="C502" s="2198"/>
      <c r="D502" s="2198"/>
      <c r="E502" s="2198"/>
      <c r="F502" s="2198"/>
      <c r="G502" s="2198"/>
      <c r="H502" s="2198"/>
      <c r="I502" s="2198"/>
      <c r="J502" s="2198"/>
      <c r="K502" s="2198"/>
      <c r="L502" s="2198"/>
      <c r="M502" s="2198"/>
      <c r="N502" s="2198"/>
      <c r="O502" s="2198"/>
      <c r="P502" s="2199"/>
      <c r="Q502" s="2173"/>
      <c r="R502" s="2174"/>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078" t="s">
        <v>2619</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10" t="s">
        <v>2627</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10" t="s">
        <v>2628</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0">
        <v>342</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1">
        <v>342</v>
      </c>
      <c r="N507" s="2132"/>
      <c r="O507" s="2132"/>
      <c r="P507" s="2133"/>
      <c r="Q507" s="1521" t="s">
        <v>2026</v>
      </c>
      <c r="R507" s="1522"/>
      <c r="S507" s="1522"/>
      <c r="T507" s="1522"/>
      <c r="U507" s="1522"/>
      <c r="V507" s="1522"/>
      <c r="W507" s="1522"/>
      <c r="X507" s="1522"/>
      <c r="Y507" s="1522"/>
      <c r="Z507" s="1522"/>
      <c r="AA507" s="1522"/>
      <c r="AB507" s="1522"/>
      <c r="AC507" s="1522"/>
      <c r="AD507" s="1522"/>
      <c r="AE507" s="1522"/>
      <c r="AF507" s="1522"/>
      <c r="AG507" s="1522"/>
      <c r="AH507" s="2131"/>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421</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422</v>
      </c>
      <c r="AD512" s="2108"/>
      <c r="AE512" s="2108"/>
      <c r="AF512" s="2108"/>
      <c r="AG512" s="82" t="s">
        <v>423</v>
      </c>
      <c r="AH512" s="2108" t="s">
        <v>424</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61">
        <v>8</v>
      </c>
      <c r="AD513" s="2062"/>
      <c r="AE513" s="2062"/>
      <c r="AF513" s="2062"/>
      <c r="AG513" s="75" t="s">
        <v>423</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61">
        <v>5</v>
      </c>
      <c r="AD514" s="2062"/>
      <c r="AE514" s="2062"/>
      <c r="AF514" s="2062"/>
      <c r="AG514" s="65" t="s">
        <v>423</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61" t="s">
        <v>625</v>
      </c>
      <c r="AD515" s="2062"/>
      <c r="AE515" s="2062"/>
      <c r="AF515" s="2062"/>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61" t="s">
        <v>625</v>
      </c>
      <c r="AD516" s="2062"/>
      <c r="AE516" s="2062"/>
      <c r="AF516" s="2062"/>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61" t="s">
        <v>625</v>
      </c>
      <c r="AD517" s="2062"/>
      <c r="AE517" s="2062"/>
      <c r="AF517" s="2062"/>
      <c r="AG517" s="75" t="s">
        <v>423</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61">
        <v>5</v>
      </c>
      <c r="AD518" s="2062"/>
      <c r="AE518" s="2062"/>
      <c r="AF518" s="2062"/>
      <c r="AG518" s="75" t="s">
        <v>423</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5</v>
      </c>
      <c r="AD519" s="2044"/>
      <c r="AE519" s="2044"/>
      <c r="AF519" s="2044"/>
      <c r="AG519" s="75" t="s">
        <v>423</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4" t="s">
        <v>174</v>
      </c>
      <c r="J520" s="80"/>
      <c r="K520" s="80"/>
      <c r="L520" s="2159" t="s">
        <v>2629</v>
      </c>
      <c r="M520" s="2103"/>
      <c r="N520" s="2103"/>
      <c r="O520" s="2103"/>
      <c r="P520" s="2103"/>
      <c r="Q520" s="2103"/>
      <c r="R520" s="2103"/>
      <c r="S520" s="2103"/>
      <c r="T520" s="2103"/>
      <c r="U520" s="2103"/>
      <c r="V520" s="2103"/>
      <c r="W520" s="2103"/>
      <c r="X520" s="2103"/>
      <c r="Y520" s="2103"/>
      <c r="Z520" s="2103"/>
      <c r="AA520" s="2103"/>
      <c r="AB520" s="2160"/>
      <c r="AC520" s="2161">
        <v>8</v>
      </c>
      <c r="AD520" s="2062"/>
      <c r="AE520" s="2062"/>
      <c r="AF520" s="2062"/>
      <c r="AG520" s="1495" t="s">
        <v>423</v>
      </c>
      <c r="AH520" s="2056">
        <v>2021</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2" t="s">
        <v>705</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6">
        <v>0</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3" t="s">
        <v>422</v>
      </c>
      <c r="AD525" s="2154"/>
      <c r="AE525" s="2154"/>
      <c r="AF525" s="2154"/>
      <c r="AG525" s="1788" t="s">
        <v>423</v>
      </c>
      <c r="AH525" s="2154" t="s">
        <v>424</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61">
        <v>8</v>
      </c>
      <c r="AD526" s="2062"/>
      <c r="AE526" s="2062"/>
      <c r="AF526" s="2062"/>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61">
        <v>8</v>
      </c>
      <c r="AD527" s="2062"/>
      <c r="AE527" s="2062"/>
      <c r="AF527" s="2062"/>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61">
        <v>5</v>
      </c>
      <c r="AD528" s="2062"/>
      <c r="AE528" s="2062"/>
      <c r="AF528" s="2062"/>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61">
        <v>8</v>
      </c>
      <c r="AD530" s="2062"/>
      <c r="AE530" s="2062"/>
      <c r="AF530" s="2062"/>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437</v>
      </c>
      <c r="J531" s="80"/>
      <c r="K531" s="80"/>
      <c r="L531" s="80"/>
      <c r="M531" s="80"/>
      <c r="N531" s="80"/>
      <c r="O531" s="80"/>
      <c r="P531" s="80"/>
      <c r="Q531" s="80"/>
      <c r="R531" s="80"/>
      <c r="S531" s="80"/>
      <c r="T531" s="80"/>
      <c r="U531" s="80"/>
      <c r="V531" s="80"/>
      <c r="W531" s="80"/>
      <c r="X531" s="80"/>
      <c r="Y531" s="80"/>
      <c r="Z531" s="80"/>
      <c r="AA531" s="80"/>
      <c r="AB531" s="80"/>
      <c r="AC531" s="2161">
        <v>5</v>
      </c>
      <c r="AD531" s="2062"/>
      <c r="AE531" s="2062"/>
      <c r="AF531" s="2062"/>
      <c r="AG531" s="65" t="s">
        <v>423</v>
      </c>
      <c r="AH531" s="2056">
        <v>2022</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439</v>
      </c>
      <c r="C532" s="2023"/>
      <c r="D532" s="2023"/>
      <c r="E532" s="2023"/>
      <c r="F532" s="2023"/>
      <c r="G532" s="2023"/>
      <c r="H532" s="2024"/>
      <c r="I532" s="71" t="s">
        <v>440</v>
      </c>
      <c r="J532" s="72"/>
      <c r="K532" s="72"/>
      <c r="L532" s="72"/>
      <c r="M532" s="72"/>
      <c r="N532" s="72"/>
      <c r="O532" s="2039" t="s">
        <v>2669</v>
      </c>
      <c r="P532" s="2039"/>
      <c r="Q532" s="2039"/>
      <c r="R532" s="2039"/>
      <c r="S532" s="2039"/>
      <c r="T532" s="2039"/>
      <c r="U532" s="2039"/>
      <c r="V532" s="2039"/>
      <c r="W532" s="2039"/>
      <c r="X532" s="2039"/>
      <c r="Y532" s="2039"/>
      <c r="Z532" s="2039"/>
      <c r="AA532" s="2039"/>
      <c r="AB532" s="94"/>
      <c r="AC532" s="2043" t="s">
        <v>625</v>
      </c>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61">
        <v>11</v>
      </c>
      <c r="AD533" s="2062"/>
      <c r="AE533" s="2062"/>
      <c r="AF533" s="2062"/>
      <c r="AG533" s="75" t="s">
        <v>423</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61">
        <v>8</v>
      </c>
      <c r="AD534" s="2062"/>
      <c r="AE534" s="2062"/>
      <c r="AF534" s="2062"/>
      <c r="AG534" s="65" t="s">
        <v>423</v>
      </c>
      <c r="AH534" s="2056">
        <v>2021</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443</v>
      </c>
      <c r="J535" s="72"/>
      <c r="K535" s="72"/>
      <c r="L535" s="72"/>
      <c r="M535" s="72"/>
      <c r="N535" s="72"/>
      <c r="O535" s="2037" t="s">
        <v>2670</v>
      </c>
      <c r="P535" s="2037"/>
      <c r="Q535" s="2037"/>
      <c r="R535" s="2037"/>
      <c r="S535" s="2037"/>
      <c r="T535" s="2037"/>
      <c r="U535" s="2037"/>
      <c r="V535" s="2037"/>
      <c r="W535" s="2037"/>
      <c r="X535" s="2037"/>
      <c r="Y535" s="2037"/>
      <c r="Z535" s="2037"/>
      <c r="AA535" s="2037"/>
      <c r="AC535" s="2161" t="s">
        <v>625</v>
      </c>
      <c r="AD535" s="2062"/>
      <c r="AE535" s="2062"/>
      <c r="AF535" s="2062"/>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61">
        <v>11</v>
      </c>
      <c r="AD536" s="2062"/>
      <c r="AE536" s="2062"/>
      <c r="AF536" s="2062"/>
      <c r="AG536" s="75" t="s">
        <v>423</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61">
        <v>8</v>
      </c>
      <c r="AD537" s="2062"/>
      <c r="AE537" s="2062"/>
      <c r="AF537" s="2062"/>
      <c r="AG537" s="65" t="s">
        <v>423</v>
      </c>
      <c r="AH537" s="2056">
        <v>2021</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443</v>
      </c>
      <c r="J538" s="72"/>
      <c r="K538" s="72"/>
      <c r="L538" s="72"/>
      <c r="M538" s="72"/>
      <c r="N538" s="72"/>
      <c r="O538" s="2037" t="s">
        <v>342</v>
      </c>
      <c r="P538" s="2037"/>
      <c r="Q538" s="2037"/>
      <c r="R538" s="2037"/>
      <c r="S538" s="2037"/>
      <c r="T538" s="2037"/>
      <c r="U538" s="2037"/>
      <c r="V538" s="2037"/>
      <c r="W538" s="2037"/>
      <c r="X538" s="2037"/>
      <c r="Y538" s="2037"/>
      <c r="Z538" s="2037"/>
      <c r="AA538" s="2037"/>
      <c r="AC538" s="2161" t="s">
        <v>625</v>
      </c>
      <c r="AD538" s="2062"/>
      <c r="AE538" s="2062"/>
      <c r="AF538" s="2062"/>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61" t="s">
        <v>625</v>
      </c>
      <c r="AD539" s="2062"/>
      <c r="AE539" s="2062"/>
      <c r="AF539" s="2062"/>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61" t="s">
        <v>625</v>
      </c>
      <c r="AD540" s="2062"/>
      <c r="AE540" s="2062"/>
      <c r="AF540" s="2062"/>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61" t="s">
        <v>625</v>
      </c>
      <c r="AD541" s="2062"/>
      <c r="AE541" s="2062"/>
      <c r="AF541" s="2062"/>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61" t="s">
        <v>625</v>
      </c>
      <c r="AD542" s="2062"/>
      <c r="AE542" s="2062"/>
      <c r="AF542" s="2062"/>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61" t="s">
        <v>625</v>
      </c>
      <c r="AD543" s="2062"/>
      <c r="AE543" s="2062"/>
      <c r="AF543" s="2062"/>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61" t="s">
        <v>625</v>
      </c>
      <c r="AD544" s="2062"/>
      <c r="AE544" s="2062"/>
      <c r="AF544" s="2062"/>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61" t="s">
        <v>625</v>
      </c>
      <c r="AD545" s="2062"/>
      <c r="AE545" s="2062"/>
      <c r="AF545" s="2062"/>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61" t="s">
        <v>625</v>
      </c>
      <c r="AD546" s="2062"/>
      <c r="AE546" s="2062"/>
      <c r="AF546" s="2062"/>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61" t="s">
        <v>625</v>
      </c>
      <c r="AD547" s="2062"/>
      <c r="AE547" s="2062"/>
      <c r="AF547" s="2062"/>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61" t="s">
        <v>625</v>
      </c>
      <c r="AD548" s="2062"/>
      <c r="AE548" s="2062"/>
      <c r="AF548" s="2062"/>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61" t="s">
        <v>625</v>
      </c>
      <c r="AD549" s="2062"/>
      <c r="AE549" s="2062"/>
      <c r="AF549" s="2062"/>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594</v>
      </c>
      <c r="J550" s="72"/>
      <c r="K550" s="72"/>
      <c r="L550" s="72"/>
      <c r="M550" s="72"/>
      <c r="N550" s="72"/>
      <c r="O550" s="72"/>
      <c r="P550" s="72"/>
      <c r="Q550" s="72"/>
      <c r="R550" s="72"/>
      <c r="S550" s="72"/>
      <c r="T550" s="72"/>
      <c r="U550" s="72"/>
      <c r="V550" s="72"/>
      <c r="W550" s="72"/>
      <c r="X550" s="25"/>
      <c r="Y550" s="25"/>
      <c r="AC550" s="2161">
        <v>7</v>
      </c>
      <c r="AD550" s="2062"/>
      <c r="AE550" s="2062"/>
      <c r="AF550" s="2062"/>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595</v>
      </c>
      <c r="J551" s="25"/>
      <c r="K551" s="25"/>
      <c r="L551" s="25"/>
      <c r="M551" s="25"/>
      <c r="N551" s="25"/>
      <c r="O551" s="25"/>
      <c r="P551" s="25"/>
      <c r="Q551" s="25"/>
      <c r="R551" s="25"/>
      <c r="S551" s="25"/>
      <c r="T551" s="25"/>
      <c r="U551" s="25"/>
      <c r="V551" s="25"/>
      <c r="W551" s="25"/>
      <c r="X551" s="25"/>
      <c r="Y551" s="25"/>
      <c r="AC551" s="2161">
        <v>5</v>
      </c>
      <c r="AD551" s="2062"/>
      <c r="AE551" s="2062"/>
      <c r="AF551" s="2062"/>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596</v>
      </c>
      <c r="J552" s="25"/>
      <c r="K552" s="25"/>
      <c r="L552" s="25"/>
      <c r="M552" s="25"/>
      <c r="N552" s="25"/>
      <c r="O552" s="25"/>
      <c r="P552" s="25"/>
      <c r="Q552" s="25"/>
      <c r="R552" s="25"/>
      <c r="S552" s="25"/>
      <c r="T552" s="25"/>
      <c r="U552" s="25"/>
      <c r="V552" s="25"/>
      <c r="W552" s="25"/>
      <c r="X552" s="25"/>
      <c r="Y552" s="25"/>
      <c r="AC552" s="2161">
        <v>2</v>
      </c>
      <c r="AD552" s="2062"/>
      <c r="AE552" s="2062"/>
      <c r="AF552" s="2062"/>
      <c r="AG552" s="65" t="s">
        <v>423</v>
      </c>
      <c r="AH552" s="2056">
        <v>2025</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597</v>
      </c>
      <c r="J553" s="25"/>
      <c r="K553" s="25"/>
      <c r="L553" s="25"/>
      <c r="M553" s="25"/>
      <c r="N553" s="25"/>
      <c r="O553" s="25"/>
      <c r="P553" s="25"/>
      <c r="Q553" s="25"/>
      <c r="R553" s="25"/>
      <c r="S553" s="25"/>
      <c r="T553" s="25"/>
      <c r="U553" s="25"/>
      <c r="V553" s="25"/>
      <c r="W553" s="25"/>
      <c r="X553" s="25"/>
      <c r="Y553" s="25"/>
      <c r="AC553" s="2161">
        <v>2</v>
      </c>
      <c r="AD553" s="2062"/>
      <c r="AE553" s="2062"/>
      <c r="AF553" s="2062"/>
      <c r="AG553" s="65" t="s">
        <v>423</v>
      </c>
      <c r="AH553" s="2056">
        <v>2025</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481</v>
      </c>
      <c r="J554" s="80"/>
      <c r="K554" s="80"/>
      <c r="L554" s="80"/>
      <c r="M554" s="80"/>
      <c r="N554" s="80"/>
      <c r="O554" s="80"/>
      <c r="P554" s="80"/>
      <c r="Q554" s="80"/>
      <c r="R554" s="80"/>
      <c r="S554" s="80"/>
      <c r="T554" s="80"/>
      <c r="U554" s="80"/>
      <c r="V554" s="80"/>
      <c r="W554" s="80"/>
      <c r="X554" s="80"/>
      <c r="Y554" s="80"/>
      <c r="Z554" s="80"/>
      <c r="AA554" s="80"/>
      <c r="AB554" s="80"/>
      <c r="AC554" s="2161">
        <v>7</v>
      </c>
      <c r="AD554" s="2062"/>
      <c r="AE554" s="2062"/>
      <c r="AF554" s="2062"/>
      <c r="AG554" s="65" t="s">
        <v>423</v>
      </c>
      <c r="AH554" s="2056">
        <v>2025</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483</v>
      </c>
      <c r="C563" s="2166"/>
      <c r="D563" s="2166"/>
      <c r="E563" s="2166"/>
      <c r="F563" s="2166"/>
      <c r="G563" s="2166"/>
      <c r="H563" s="2166"/>
      <c r="I563" s="2166"/>
      <c r="J563" s="2166"/>
      <c r="K563" s="2166"/>
      <c r="L563" s="2166"/>
      <c r="M563" s="2166"/>
      <c r="N563" s="2166"/>
      <c r="O563" s="2166"/>
      <c r="P563" s="2167"/>
      <c r="Q563" s="2165" t="s">
        <v>2378</v>
      </c>
      <c r="R563" s="2175"/>
      <c r="S563" s="2176"/>
      <c r="T563" s="2165" t="s">
        <v>2376</v>
      </c>
      <c r="U563" s="2175"/>
      <c r="V563" s="2176"/>
      <c r="W563" s="2165" t="s">
        <v>484</v>
      </c>
      <c r="X563" s="2175"/>
      <c r="Y563" s="2176"/>
      <c r="Z563" s="2165" t="s">
        <v>2377</v>
      </c>
      <c r="AA563" s="2175"/>
      <c r="AB563" s="2175"/>
      <c r="AC563" s="2175"/>
      <c r="AD563" s="2175"/>
      <c r="AE563" s="2165" t="s">
        <v>2150</v>
      </c>
      <c r="AF563" s="2175"/>
      <c r="AG563" s="2175"/>
      <c r="AH563" s="2176"/>
      <c r="AI563" s="2165" t="s">
        <v>2151</v>
      </c>
      <c r="AJ563" s="2175"/>
      <c r="AK563" s="2175"/>
      <c r="AL563" s="2176"/>
      <c r="AM563" s="2165" t="s">
        <v>485</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3" t="s">
        <v>2630</v>
      </c>
      <c r="D564" s="2163"/>
      <c r="E564" s="2163"/>
      <c r="F564" s="2163"/>
      <c r="G564" s="2163"/>
      <c r="H564" s="2163"/>
      <c r="I564" s="2163"/>
      <c r="J564" s="2163"/>
      <c r="K564" s="2163"/>
      <c r="L564" s="2163"/>
      <c r="M564" s="2163"/>
      <c r="N564" s="2163"/>
      <c r="O564" s="2163"/>
      <c r="P564" s="2164"/>
      <c r="Q564" s="2157">
        <v>42</v>
      </c>
      <c r="R564" s="2157"/>
      <c r="S564" s="2158"/>
      <c r="T564" s="2156">
        <v>42</v>
      </c>
      <c r="U564" s="2157"/>
      <c r="V564" s="2158"/>
      <c r="W564" s="2168">
        <v>0.04</v>
      </c>
      <c r="X564" s="2169"/>
      <c r="Y564" s="2170"/>
      <c r="Z564" s="2051" t="s">
        <v>2672</v>
      </c>
      <c r="AA564" s="2051"/>
      <c r="AB564" s="2051"/>
      <c r="AC564" s="2051"/>
      <c r="AD564" s="2051"/>
      <c r="AE564" s="2033">
        <v>1</v>
      </c>
      <c r="AF564" s="2034"/>
      <c r="AG564" s="2034"/>
      <c r="AH564" s="2035"/>
      <c r="AI564" s="2053"/>
      <c r="AJ564" s="2054"/>
      <c r="AK564" s="2054"/>
      <c r="AL564" s="2055"/>
      <c r="AM564" s="2030">
        <v>74937576</v>
      </c>
      <c r="AN564" s="2031"/>
      <c r="AO564" s="2031"/>
      <c r="AP564" s="2031"/>
      <c r="AQ564" s="2031"/>
      <c r="AR564" s="2031"/>
      <c r="AS564" s="203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3" t="s">
        <v>2631</v>
      </c>
      <c r="D565" s="2163"/>
      <c r="E565" s="2163"/>
      <c r="F565" s="2163"/>
      <c r="G565" s="2163"/>
      <c r="H565" s="2163"/>
      <c r="I565" s="2163"/>
      <c r="J565" s="2163"/>
      <c r="K565" s="2163"/>
      <c r="L565" s="2163"/>
      <c r="M565" s="2163"/>
      <c r="N565" s="2163"/>
      <c r="O565" s="2163"/>
      <c r="P565" s="2164"/>
      <c r="Q565" s="2156">
        <v>42</v>
      </c>
      <c r="R565" s="2157"/>
      <c r="S565" s="2158"/>
      <c r="T565" s="2156">
        <v>42</v>
      </c>
      <c r="U565" s="2157"/>
      <c r="V565" s="2158"/>
      <c r="W565" s="2168">
        <v>0.05</v>
      </c>
      <c r="X565" s="2169"/>
      <c r="Y565" s="2170"/>
      <c r="Z565" s="2051" t="s">
        <v>2672</v>
      </c>
      <c r="AA565" s="2051"/>
      <c r="AB565" s="2051"/>
      <c r="AC565" s="2051"/>
      <c r="AD565" s="2051"/>
      <c r="AE565" s="2033">
        <v>2</v>
      </c>
      <c r="AF565" s="2034"/>
      <c r="AG565" s="2034"/>
      <c r="AH565" s="2035"/>
      <c r="AI565" s="2053"/>
      <c r="AJ565" s="2054"/>
      <c r="AK565" s="2054"/>
      <c r="AL565" s="2055"/>
      <c r="AM565" s="2030">
        <v>3782299</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3" t="s">
        <v>2669</v>
      </c>
      <c r="D566" s="2163"/>
      <c r="E566" s="2163"/>
      <c r="F566" s="2163"/>
      <c r="G566" s="2163"/>
      <c r="H566" s="2163"/>
      <c r="I566" s="2163"/>
      <c r="J566" s="2163"/>
      <c r="K566" s="2163"/>
      <c r="L566" s="2163"/>
      <c r="M566" s="2163"/>
      <c r="N566" s="2163"/>
      <c r="O566" s="2163"/>
      <c r="P566" s="2164"/>
      <c r="Q566" s="2156">
        <v>660</v>
      </c>
      <c r="R566" s="2157"/>
      <c r="S566" s="2158"/>
      <c r="T566" s="2156">
        <v>660</v>
      </c>
      <c r="U566" s="2157"/>
      <c r="V566" s="2158"/>
      <c r="W566" s="2168">
        <v>0.03</v>
      </c>
      <c r="X566" s="2169"/>
      <c r="Y566" s="2170"/>
      <c r="Z566" s="2051" t="s">
        <v>2636</v>
      </c>
      <c r="AA566" s="2051"/>
      <c r="AB566" s="2051"/>
      <c r="AC566" s="2051"/>
      <c r="AD566" s="2051"/>
      <c r="AE566" s="2033">
        <v>3</v>
      </c>
      <c r="AF566" s="2034"/>
      <c r="AG566" s="2034"/>
      <c r="AH566" s="2035"/>
      <c r="AI566" s="2053"/>
      <c r="AJ566" s="2054"/>
      <c r="AK566" s="2054"/>
      <c r="AL566" s="2055"/>
      <c r="AM566" s="2030">
        <v>12400000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63" t="s">
        <v>2670</v>
      </c>
      <c r="D567" s="2163"/>
      <c r="E567" s="2163"/>
      <c r="F567" s="2163"/>
      <c r="G567" s="2163"/>
      <c r="H567" s="2163"/>
      <c r="I567" s="2163"/>
      <c r="J567" s="2163"/>
      <c r="K567" s="2163"/>
      <c r="L567" s="2163"/>
      <c r="M567" s="2163"/>
      <c r="N567" s="2163"/>
      <c r="O567" s="2163"/>
      <c r="P567" s="2164"/>
      <c r="Q567" s="2156">
        <v>660</v>
      </c>
      <c r="R567" s="2157"/>
      <c r="S567" s="2158"/>
      <c r="T567" s="2156">
        <v>660</v>
      </c>
      <c r="U567" s="2157"/>
      <c r="V567" s="2158"/>
      <c r="W567" s="2168">
        <v>0.03</v>
      </c>
      <c r="X567" s="2169"/>
      <c r="Y567" s="2170"/>
      <c r="Z567" s="2051" t="s">
        <v>2636</v>
      </c>
      <c r="AA567" s="2051"/>
      <c r="AB567" s="2051"/>
      <c r="AC567" s="2051"/>
      <c r="AD567" s="2051"/>
      <c r="AE567" s="2033">
        <v>4</v>
      </c>
      <c r="AF567" s="2034"/>
      <c r="AG567" s="2034"/>
      <c r="AH567" s="2035"/>
      <c r="AI567" s="2053"/>
      <c r="AJ567" s="2054"/>
      <c r="AK567" s="2054"/>
      <c r="AL567" s="2055"/>
      <c r="AM567" s="2030">
        <v>10000000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63" t="s">
        <v>2632</v>
      </c>
      <c r="D568" s="2163"/>
      <c r="E568" s="2163"/>
      <c r="F568" s="2163"/>
      <c r="G568" s="2163"/>
      <c r="H568" s="2163"/>
      <c r="I568" s="2163"/>
      <c r="J568" s="2163"/>
      <c r="K568" s="2163"/>
      <c r="L568" s="2163"/>
      <c r="M568" s="2163"/>
      <c r="N568" s="2163"/>
      <c r="O568" s="2163"/>
      <c r="P568" s="2164"/>
      <c r="Q568" s="2156"/>
      <c r="R568" s="2157"/>
      <c r="S568" s="2158"/>
      <c r="T568" s="2156"/>
      <c r="U568" s="2157"/>
      <c r="V568" s="2158"/>
      <c r="W568" s="2168"/>
      <c r="X568" s="2169"/>
      <c r="Y568" s="2170"/>
      <c r="Z568" s="2051" t="s">
        <v>625</v>
      </c>
      <c r="AA568" s="2051"/>
      <c r="AB568" s="2051"/>
      <c r="AC568" s="2051"/>
      <c r="AD568" s="2051"/>
      <c r="AE568" s="2033"/>
      <c r="AF568" s="2034"/>
      <c r="AG568" s="2034"/>
      <c r="AH568" s="2035"/>
      <c r="AI568" s="2053"/>
      <c r="AJ568" s="2054"/>
      <c r="AK568" s="2054"/>
      <c r="AL568" s="2055"/>
      <c r="AM568" s="2030">
        <v>1904000</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63" t="s">
        <v>2633</v>
      </c>
      <c r="D569" s="2163"/>
      <c r="E569" s="2163"/>
      <c r="F569" s="2163"/>
      <c r="G569" s="2163"/>
      <c r="H569" s="2163"/>
      <c r="I569" s="2163"/>
      <c r="J569" s="2163"/>
      <c r="K569" s="2163"/>
      <c r="L569" s="2163"/>
      <c r="M569" s="2163"/>
      <c r="N569" s="2163"/>
      <c r="O569" s="2163"/>
      <c r="P569" s="2164"/>
      <c r="Q569" s="2156"/>
      <c r="R569" s="2157"/>
      <c r="S569" s="2158"/>
      <c r="T569" s="2156"/>
      <c r="U569" s="2157"/>
      <c r="V569" s="2158"/>
      <c r="W569" s="2168"/>
      <c r="X569" s="2169"/>
      <c r="Y569" s="2170"/>
      <c r="Z569" s="2051" t="s">
        <v>625</v>
      </c>
      <c r="AA569" s="2051"/>
      <c r="AB569" s="2051"/>
      <c r="AC569" s="2051"/>
      <c r="AD569" s="2051"/>
      <c r="AE569" s="2033"/>
      <c r="AF569" s="2034"/>
      <c r="AG569" s="2034"/>
      <c r="AH569" s="2035"/>
      <c r="AI569" s="2053"/>
      <c r="AJ569" s="2054"/>
      <c r="AK569" s="2054"/>
      <c r="AL569" s="2055"/>
      <c r="AM569" s="2030">
        <v>4422858</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63" t="s">
        <v>2126</v>
      </c>
      <c r="D570" s="2163"/>
      <c r="E570" s="2163"/>
      <c r="F570" s="2163"/>
      <c r="G570" s="2163"/>
      <c r="H570" s="2163"/>
      <c r="I570" s="2163"/>
      <c r="J570" s="2163"/>
      <c r="K570" s="2163"/>
      <c r="L570" s="2163"/>
      <c r="M570" s="2163"/>
      <c r="N570" s="2163"/>
      <c r="O570" s="2163"/>
      <c r="P570" s="2164"/>
      <c r="Q570" s="2156"/>
      <c r="R570" s="2157"/>
      <c r="S570" s="2158"/>
      <c r="T570" s="2156"/>
      <c r="U570" s="2157"/>
      <c r="V570" s="2158"/>
      <c r="W570" s="2168"/>
      <c r="X570" s="2169"/>
      <c r="Y570" s="2170"/>
      <c r="Z570" s="2051" t="s">
        <v>625</v>
      </c>
      <c r="AA570" s="2051"/>
      <c r="AB570" s="2051"/>
      <c r="AC570" s="2051"/>
      <c r="AD570" s="2051"/>
      <c r="AE570" s="2033"/>
      <c r="AF570" s="2034"/>
      <c r="AG570" s="2034"/>
      <c r="AH570" s="2035"/>
      <c r="AI570" s="2053"/>
      <c r="AJ570" s="2054"/>
      <c r="AK570" s="2054"/>
      <c r="AL570" s="2055"/>
      <c r="AM570" s="2030">
        <v>4608487</v>
      </c>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63" t="s">
        <v>2634</v>
      </c>
      <c r="D571" s="2163"/>
      <c r="E571" s="2163"/>
      <c r="F571" s="2163"/>
      <c r="G571" s="2163"/>
      <c r="H571" s="2163"/>
      <c r="I571" s="2163"/>
      <c r="J571" s="2163"/>
      <c r="K571" s="2163"/>
      <c r="L571" s="2163"/>
      <c r="M571" s="2163"/>
      <c r="N571" s="2163"/>
      <c r="O571" s="2163"/>
      <c r="P571" s="2164"/>
      <c r="Q571" s="2156"/>
      <c r="R571" s="2157"/>
      <c r="S571" s="2158"/>
      <c r="T571" s="2156"/>
      <c r="U571" s="2157"/>
      <c r="V571" s="2158"/>
      <c r="W571" s="2168"/>
      <c r="X571" s="2169"/>
      <c r="Y571" s="2170"/>
      <c r="Z571" s="2051" t="s">
        <v>625</v>
      </c>
      <c r="AA571" s="2051"/>
      <c r="AB571" s="2051"/>
      <c r="AC571" s="2051"/>
      <c r="AD571" s="2051"/>
      <c r="AE571" s="2033"/>
      <c r="AF571" s="2034"/>
      <c r="AG571" s="2034"/>
      <c r="AH571" s="2035"/>
      <c r="AI571" s="2053"/>
      <c r="AJ571" s="2054"/>
      <c r="AK571" s="2054"/>
      <c r="AL571" s="2055"/>
      <c r="AM571" s="2030">
        <f>5187694+100</f>
        <v>5187794</v>
      </c>
      <c r="AN571" s="2031"/>
      <c r="AO571" s="2031"/>
      <c r="AP571" s="2031"/>
      <c r="AQ571" s="2031"/>
      <c r="AR571" s="2031"/>
      <c r="AS571" s="203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63" t="s">
        <v>2650</v>
      </c>
      <c r="D572" s="2163"/>
      <c r="E572" s="2163"/>
      <c r="F572" s="2163"/>
      <c r="G572" s="2163"/>
      <c r="H572" s="2163"/>
      <c r="I572" s="2163"/>
      <c r="J572" s="2163"/>
      <c r="K572" s="2163"/>
      <c r="L572" s="2163"/>
      <c r="M572" s="2163"/>
      <c r="N572" s="2163"/>
      <c r="O572" s="2163"/>
      <c r="P572" s="2164"/>
      <c r="Q572" s="2156"/>
      <c r="R572" s="2157"/>
      <c r="S572" s="2158"/>
      <c r="T572" s="2156"/>
      <c r="U572" s="2157"/>
      <c r="V572" s="2158"/>
      <c r="W572" s="2168"/>
      <c r="X572" s="2169"/>
      <c r="Y572" s="2170"/>
      <c r="Z572" s="2051" t="s">
        <v>625</v>
      </c>
      <c r="AA572" s="2051"/>
      <c r="AB572" s="2051"/>
      <c r="AC572" s="2051"/>
      <c r="AD572" s="2051"/>
      <c r="AE572" s="2033"/>
      <c r="AF572" s="2034"/>
      <c r="AG572" s="2034"/>
      <c r="AH572" s="2035"/>
      <c r="AI572" s="2053"/>
      <c r="AJ572" s="2054"/>
      <c r="AK572" s="2054"/>
      <c r="AL572" s="2055"/>
      <c r="AM572" s="2030">
        <v>32203803</v>
      </c>
      <c r="AN572" s="2031"/>
      <c r="AO572" s="2031"/>
      <c r="AP572" s="2031"/>
      <c r="AQ572" s="2031"/>
      <c r="AR572" s="2031"/>
      <c r="AS572" s="2032"/>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3"/>
      <c r="D573" s="2163"/>
      <c r="E573" s="2163"/>
      <c r="F573" s="2163"/>
      <c r="G573" s="2163"/>
      <c r="H573" s="2163"/>
      <c r="I573" s="2163"/>
      <c r="J573" s="2163"/>
      <c r="K573" s="2163"/>
      <c r="L573" s="2163"/>
      <c r="M573" s="2163"/>
      <c r="N573" s="2163"/>
      <c r="O573" s="2163"/>
      <c r="P573" s="2164"/>
      <c r="Q573" s="2156"/>
      <c r="R573" s="2157"/>
      <c r="S573" s="2158"/>
      <c r="T573" s="2156"/>
      <c r="U573" s="2157"/>
      <c r="V573" s="2158"/>
      <c r="W573" s="2168"/>
      <c r="X573" s="2169"/>
      <c r="Y573" s="2170"/>
      <c r="Z573" s="2051" t="s">
        <v>1383</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63"/>
      <c r="D574" s="2163"/>
      <c r="E574" s="2163"/>
      <c r="F574" s="2163"/>
      <c r="G574" s="2163"/>
      <c r="H574" s="2163"/>
      <c r="I574" s="2163"/>
      <c r="J574" s="2163"/>
      <c r="K574" s="2163"/>
      <c r="L574" s="2163"/>
      <c r="M574" s="2163"/>
      <c r="N574" s="2163"/>
      <c r="O574" s="2163"/>
      <c r="P574" s="2164"/>
      <c r="Q574" s="2156"/>
      <c r="R574" s="2157"/>
      <c r="S574" s="2158"/>
      <c r="T574" s="2156"/>
      <c r="U574" s="2157"/>
      <c r="V574" s="2158"/>
      <c r="W574" s="2168"/>
      <c r="X574" s="2169"/>
      <c r="Y574" s="2170"/>
      <c r="Z574" s="2051" t="s">
        <v>1383</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63"/>
      <c r="D575" s="2163"/>
      <c r="E575" s="2163"/>
      <c r="F575" s="2163"/>
      <c r="G575" s="2163"/>
      <c r="H575" s="2163"/>
      <c r="I575" s="2163"/>
      <c r="J575" s="2163"/>
      <c r="K575" s="2163"/>
      <c r="L575" s="2163"/>
      <c r="M575" s="2163"/>
      <c r="N575" s="2163"/>
      <c r="O575" s="2163"/>
      <c r="P575" s="2164"/>
      <c r="Q575" s="2156"/>
      <c r="R575" s="2157"/>
      <c r="S575" s="2158"/>
      <c r="T575" s="2156"/>
      <c r="U575" s="2157"/>
      <c r="V575" s="2158"/>
      <c r="W575" s="2168"/>
      <c r="X575" s="2169"/>
      <c r="Y575" s="2170"/>
      <c r="Z575" s="2051" t="s">
        <v>1383</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6">
        <f>SUM(AM564:AS575)</f>
        <v>149446817</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38" t="str">
        <f>C564</f>
        <v>Tax Exempt Construction Loan (BofA)</v>
      </c>
      <c r="H578" s="2038"/>
      <c r="I578" s="2038"/>
      <c r="J578" s="2038"/>
      <c r="K578" s="2038"/>
      <c r="L578" s="2038"/>
      <c r="M578" s="2038"/>
      <c r="N578" s="2038"/>
      <c r="O578" s="2038"/>
      <c r="P578" s="2038"/>
      <c r="Q578" s="2038"/>
      <c r="R578" s="2038"/>
      <c r="S578" s="14"/>
      <c r="T578" s="87" t="s">
        <v>118</v>
      </c>
      <c r="U578" s="12" t="s">
        <v>495</v>
      </c>
      <c r="Z578" s="2038" t="str">
        <f>C565</f>
        <v>Taxable Construction Loan (BofA)</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2642</v>
      </c>
      <c r="H579" s="2037"/>
      <c r="I579" s="2037"/>
      <c r="J579" s="2037"/>
      <c r="K579" s="2037"/>
      <c r="L579" s="2037"/>
      <c r="M579" s="2037"/>
      <c r="N579" s="2037"/>
      <c r="O579" s="2037"/>
      <c r="P579" s="2037"/>
      <c r="Q579" s="2037"/>
      <c r="R579" s="2037"/>
      <c r="S579" s="14"/>
      <c r="T579" s="35"/>
      <c r="U579" s="12" t="s">
        <v>90</v>
      </c>
      <c r="Z579" s="2037" t="s">
        <v>2642</v>
      </c>
      <c r="AA579" s="2037"/>
      <c r="AB579" s="2037"/>
      <c r="AC579" s="2037"/>
      <c r="AD579" s="2037"/>
      <c r="AE579" s="2037"/>
      <c r="AF579" s="2037"/>
      <c r="AG579" s="2037"/>
      <c r="AH579" s="2037"/>
      <c r="AI579" s="2037"/>
      <c r="AJ579" s="2037"/>
      <c r="AK579" s="203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7" t="s">
        <v>2643</v>
      </c>
      <c r="H580" s="2037"/>
      <c r="I580" s="2037"/>
      <c r="J580" s="2037"/>
      <c r="K580" s="2037"/>
      <c r="L580" s="2037"/>
      <c r="M580" s="2037"/>
      <c r="N580" s="2037"/>
      <c r="O580" s="2037"/>
      <c r="P580" s="2037"/>
      <c r="Q580" s="2037"/>
      <c r="R580" s="2037"/>
      <c r="S580" s="88"/>
      <c r="T580" s="35"/>
      <c r="U580" s="12" t="s">
        <v>614</v>
      </c>
      <c r="Z580" s="2039" t="s">
        <v>2643</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2644</v>
      </c>
      <c r="H581" s="2037"/>
      <c r="I581" s="2037"/>
      <c r="J581" s="2037"/>
      <c r="K581" s="2037"/>
      <c r="L581" s="2037"/>
      <c r="M581" s="2037"/>
      <c r="N581" s="2037"/>
      <c r="O581" s="2037"/>
      <c r="P581" s="2037"/>
      <c r="Q581" s="2037"/>
      <c r="R581" s="2037"/>
      <c r="S581" s="14"/>
      <c r="T581" s="35"/>
      <c r="U581" s="12" t="s">
        <v>17</v>
      </c>
      <c r="Z581" s="2039" t="s">
        <v>2644</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62" t="s">
        <v>2645</v>
      </c>
      <c r="H582" s="2063"/>
      <c r="I582" s="2063"/>
      <c r="J582" s="2063"/>
      <c r="K582" s="2063"/>
      <c r="L582" s="2063"/>
      <c r="O582" s="137" t="s">
        <v>211</v>
      </c>
      <c r="P582" s="2028"/>
      <c r="Q582" s="2028"/>
      <c r="R582" s="2028"/>
      <c r="S582" s="16"/>
      <c r="T582" s="35"/>
      <c r="U582" s="12" t="s">
        <v>324</v>
      </c>
      <c r="Z582" s="2162" t="s">
        <v>2645</v>
      </c>
      <c r="AA582" s="2063"/>
      <c r="AB582" s="2063"/>
      <c r="AC582" s="2063"/>
      <c r="AD582" s="2063"/>
      <c r="AE582" s="2063"/>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2674</v>
      </c>
      <c r="I583" s="2037"/>
      <c r="J583" s="2037"/>
      <c r="K583" s="2037"/>
      <c r="L583" s="2037"/>
      <c r="M583" s="2037"/>
      <c r="N583" s="2037"/>
      <c r="O583" s="2037"/>
      <c r="P583" s="2037"/>
      <c r="Q583" s="2037"/>
      <c r="R583" s="2037"/>
      <c r="S583" s="14"/>
      <c r="T583" s="35"/>
      <c r="U583" s="12" t="s">
        <v>18</v>
      </c>
      <c r="AA583" s="2037" t="s">
        <v>2673</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7" t="s">
        <v>2619</v>
      </c>
      <c r="N584" s="2187"/>
      <c r="O584" s="2187"/>
      <c r="P584" s="2187"/>
      <c r="Q584" s="2187"/>
      <c r="R584" s="2187"/>
      <c r="S584" s="14"/>
      <c r="T584" s="35"/>
      <c r="U584" s="509" t="s">
        <v>1384</v>
      </c>
      <c r="V584" s="719"/>
      <c r="W584" s="719"/>
      <c r="X584" s="719"/>
      <c r="Y584" s="719"/>
      <c r="Z584" s="719"/>
      <c r="AA584" s="14"/>
      <c r="AB584" s="14"/>
      <c r="AC584" s="14"/>
      <c r="AD584" s="14"/>
      <c r="AE584" s="14"/>
      <c r="AF584" s="2187" t="s">
        <v>2619</v>
      </c>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8" t="str">
        <f>C566</f>
        <v>Glendale Housing Authority - Land</v>
      </c>
      <c r="H587" s="2038"/>
      <c r="I587" s="2038"/>
      <c r="J587" s="2038"/>
      <c r="K587" s="2038"/>
      <c r="L587" s="2038"/>
      <c r="M587" s="2038"/>
      <c r="N587" s="2038"/>
      <c r="O587" s="2038"/>
      <c r="P587" s="2038"/>
      <c r="Q587" s="2038"/>
      <c r="R587" s="2038"/>
      <c r="T587" s="87" t="s">
        <v>615</v>
      </c>
      <c r="U587" s="12" t="s">
        <v>495</v>
      </c>
      <c r="Z587" s="2038" t="str">
        <f>C567</f>
        <v>Glendale Housing Authority - Dev Funds</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2637</v>
      </c>
      <c r="H588" s="2037"/>
      <c r="I588" s="2037"/>
      <c r="J588" s="2037"/>
      <c r="K588" s="2037"/>
      <c r="L588" s="2037"/>
      <c r="M588" s="2037"/>
      <c r="N588" s="2037"/>
      <c r="O588" s="2037"/>
      <c r="P588" s="2037"/>
      <c r="Q588" s="2037"/>
      <c r="R588" s="2037"/>
      <c r="T588" s="35"/>
      <c r="U588" s="12" t="s">
        <v>90</v>
      </c>
      <c r="Z588" s="2037" t="s">
        <v>2637</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
        <v>2638</v>
      </c>
      <c r="H589" s="2039"/>
      <c r="I589" s="2039"/>
      <c r="J589" s="2039"/>
      <c r="K589" s="2039"/>
      <c r="L589" s="2039"/>
      <c r="M589" s="2039"/>
      <c r="N589" s="2039"/>
      <c r="O589" s="2039"/>
      <c r="P589" s="2039"/>
      <c r="Q589" s="2039"/>
      <c r="R589" s="2039"/>
      <c r="T589" s="35"/>
      <c r="U589" s="12" t="s">
        <v>614</v>
      </c>
      <c r="Z589" s="2039" t="s">
        <v>2525</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2639</v>
      </c>
      <c r="H590" s="2039"/>
      <c r="I590" s="2039"/>
      <c r="J590" s="2039"/>
      <c r="K590" s="2039"/>
      <c r="L590" s="2039"/>
      <c r="M590" s="2039"/>
      <c r="N590" s="2039"/>
      <c r="O590" s="2039"/>
      <c r="P590" s="2039"/>
      <c r="Q590" s="2039"/>
      <c r="R590" s="2039"/>
      <c r="T590" s="35"/>
      <c r="U590" s="12" t="s">
        <v>17</v>
      </c>
      <c r="Z590" s="2039" t="s">
        <v>2639</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2" t="s">
        <v>2618</v>
      </c>
      <c r="H591" s="2063"/>
      <c r="I591" s="2063"/>
      <c r="J591" s="2063"/>
      <c r="K591" s="2063"/>
      <c r="L591" s="2063"/>
      <c r="O591" s="137" t="s">
        <v>211</v>
      </c>
      <c r="P591" s="2028"/>
      <c r="Q591" s="2028"/>
      <c r="R591" s="2028"/>
      <c r="T591" s="35"/>
      <c r="U591" s="12" t="s">
        <v>324</v>
      </c>
      <c r="Z591" s="2162" t="s">
        <v>2618</v>
      </c>
      <c r="AA591" s="2063"/>
      <c r="AB591" s="2063"/>
      <c r="AC591" s="2063"/>
      <c r="AD591" s="2063"/>
      <c r="AE591" s="2063"/>
      <c r="AH591" s="137" t="s">
        <v>211</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2640</v>
      </c>
      <c r="I592" s="2037"/>
      <c r="J592" s="2037"/>
      <c r="K592" s="2037"/>
      <c r="L592" s="2037"/>
      <c r="M592" s="2037"/>
      <c r="N592" s="2037"/>
      <c r="O592" s="2037"/>
      <c r="P592" s="2037"/>
      <c r="Q592" s="2037"/>
      <c r="R592" s="2037"/>
      <c r="T592" s="35"/>
      <c r="U592" s="12" t="s">
        <v>18</v>
      </c>
      <c r="AA592" s="2037" t="s">
        <v>2671</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8" t="str">
        <f>C568</f>
        <v>Accrued and Deferred Soft Loan Interest</v>
      </c>
      <c r="H595" s="2038"/>
      <c r="I595" s="2038"/>
      <c r="J595" s="2038"/>
      <c r="K595" s="2038"/>
      <c r="L595" s="2038"/>
      <c r="M595" s="2038"/>
      <c r="N595" s="2038"/>
      <c r="O595" s="2038"/>
      <c r="P595" s="2038"/>
      <c r="Q595" s="2038"/>
      <c r="R595" s="2038"/>
      <c r="T595" s="87" t="s">
        <v>618</v>
      </c>
      <c r="U595" s="12" t="s">
        <v>495</v>
      </c>
      <c r="Z595" s="2038" t="str">
        <f>C569</f>
        <v>Costs Deferred Until Completion</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
        <v>2637</v>
      </c>
      <c r="H596" s="2037"/>
      <c r="I596" s="2037"/>
      <c r="J596" s="2037"/>
      <c r="K596" s="2037"/>
      <c r="L596" s="2037"/>
      <c r="M596" s="2037"/>
      <c r="N596" s="2037"/>
      <c r="O596" s="2037"/>
      <c r="P596" s="2037"/>
      <c r="Q596" s="2037"/>
      <c r="R596" s="2037"/>
      <c r="T596" s="35"/>
      <c r="U596" s="12" t="s">
        <v>90</v>
      </c>
      <c r="Z596" s="2037" t="s">
        <v>2534</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7" t="s">
        <v>2525</v>
      </c>
      <c r="H597" s="2037"/>
      <c r="I597" s="2037"/>
      <c r="J597" s="2037"/>
      <c r="K597" s="2037"/>
      <c r="L597" s="2037"/>
      <c r="M597" s="2037"/>
      <c r="N597" s="2037"/>
      <c r="O597" s="2037"/>
      <c r="P597" s="2037"/>
      <c r="Q597" s="2037"/>
      <c r="R597" s="2037"/>
      <c r="T597" s="35"/>
      <c r="U597" s="12" t="s">
        <v>614</v>
      </c>
      <c r="Z597" s="2039" t="s">
        <v>2553</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2639</v>
      </c>
      <c r="H598" s="2037"/>
      <c r="I598" s="2037"/>
      <c r="J598" s="2037"/>
      <c r="K598" s="2037"/>
      <c r="L598" s="2037"/>
      <c r="M598" s="2037"/>
      <c r="N598" s="2037"/>
      <c r="O598" s="2037"/>
      <c r="P598" s="2037"/>
      <c r="Q598" s="2037"/>
      <c r="R598" s="2037"/>
      <c r="T598" s="35"/>
      <c r="U598" s="12" t="s">
        <v>17</v>
      </c>
      <c r="Z598" s="2039" t="s">
        <v>2646</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2" t="s">
        <v>2618</v>
      </c>
      <c r="H599" s="2063"/>
      <c r="I599" s="2063"/>
      <c r="J599" s="2063"/>
      <c r="K599" s="2063"/>
      <c r="L599" s="2063"/>
      <c r="O599" s="137" t="s">
        <v>211</v>
      </c>
      <c r="P599" s="2028"/>
      <c r="Q599" s="2028"/>
      <c r="R599" s="2028"/>
      <c r="T599" s="35"/>
      <c r="U599" s="12" t="s">
        <v>324</v>
      </c>
      <c r="Z599" s="2162" t="s">
        <v>2647</v>
      </c>
      <c r="AA599" s="2063"/>
      <c r="AB599" s="2063"/>
      <c r="AC599" s="2063"/>
      <c r="AD599" s="2063"/>
      <c r="AE599" s="2063"/>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
        <v>2641</v>
      </c>
      <c r="I600" s="2037"/>
      <c r="J600" s="2037"/>
      <c r="K600" s="2037"/>
      <c r="L600" s="2037"/>
      <c r="M600" s="2037"/>
      <c r="N600" s="2037"/>
      <c r="O600" s="2037"/>
      <c r="P600" s="2037"/>
      <c r="Q600" s="2037"/>
      <c r="R600" s="2037"/>
      <c r="T600" s="35"/>
      <c r="U600" s="12" t="s">
        <v>18</v>
      </c>
      <c r="AA600" s="2037" t="s">
        <v>2648</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577</v>
      </c>
      <c r="O601" s="2036"/>
      <c r="T601" s="35"/>
      <c r="U601" s="12" t="s">
        <v>20</v>
      </c>
      <c r="AG601" s="2036" t="s">
        <v>577</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38" t="str">
        <f>C570</f>
        <v>Deferred Developer Fee</v>
      </c>
      <c r="H603" s="2038"/>
      <c r="I603" s="2038"/>
      <c r="J603" s="2038"/>
      <c r="K603" s="2038"/>
      <c r="L603" s="2038"/>
      <c r="M603" s="2038"/>
      <c r="N603" s="2038"/>
      <c r="O603" s="2038"/>
      <c r="P603" s="2038"/>
      <c r="Q603" s="2038"/>
      <c r="R603" s="2038"/>
      <c r="T603" s="87" t="s">
        <v>487</v>
      </c>
      <c r="U603" s="12" t="s">
        <v>495</v>
      </c>
      <c r="Z603" s="2038" t="str">
        <f>C571</f>
        <v>GP Equity</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t="s">
        <v>2534</v>
      </c>
      <c r="H604" s="2037"/>
      <c r="I604" s="2037"/>
      <c r="J604" s="2037"/>
      <c r="K604" s="2037"/>
      <c r="L604" s="2037"/>
      <c r="M604" s="2037"/>
      <c r="N604" s="2037"/>
      <c r="O604" s="2037"/>
      <c r="P604" s="2037"/>
      <c r="Q604" s="2037"/>
      <c r="R604" s="2037"/>
      <c r="T604" s="35"/>
      <c r="U604" s="12" t="s">
        <v>90</v>
      </c>
      <c r="Z604" s="2037" t="s">
        <v>2534</v>
      </c>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7" t="s">
        <v>2553</v>
      </c>
      <c r="H605" s="2037"/>
      <c r="I605" s="2037"/>
      <c r="J605" s="2037"/>
      <c r="K605" s="2037"/>
      <c r="L605" s="2037"/>
      <c r="M605" s="2037"/>
      <c r="N605" s="2037"/>
      <c r="O605" s="2037"/>
      <c r="P605" s="2037"/>
      <c r="Q605" s="2037"/>
      <c r="R605" s="2037"/>
      <c r="T605" s="35"/>
      <c r="U605" s="12" t="s">
        <v>614</v>
      </c>
      <c r="Z605" s="2039" t="s">
        <v>2553</v>
      </c>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t="s">
        <v>2646</v>
      </c>
      <c r="H606" s="2037"/>
      <c r="I606" s="2037"/>
      <c r="J606" s="2037"/>
      <c r="K606" s="2037"/>
      <c r="L606" s="2037"/>
      <c r="M606" s="2037"/>
      <c r="N606" s="2037"/>
      <c r="O606" s="2037"/>
      <c r="P606" s="2037"/>
      <c r="Q606" s="2037"/>
      <c r="R606" s="2037"/>
      <c r="T606" s="35"/>
      <c r="U606" s="12" t="s">
        <v>17</v>
      </c>
      <c r="Z606" s="2039" t="s">
        <v>2646</v>
      </c>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2" t="s">
        <v>2647</v>
      </c>
      <c r="H607" s="2063"/>
      <c r="I607" s="2063"/>
      <c r="J607" s="2063"/>
      <c r="K607" s="2063"/>
      <c r="L607" s="2063"/>
      <c r="M607" s="12"/>
      <c r="N607" s="12"/>
      <c r="O607" s="137" t="s">
        <v>211</v>
      </c>
      <c r="P607" s="2028"/>
      <c r="Q607" s="2028"/>
      <c r="R607" s="2028"/>
      <c r="S607" s="12"/>
      <c r="T607" s="35"/>
      <c r="U607" s="12" t="s">
        <v>324</v>
      </c>
      <c r="V607" s="12"/>
      <c r="W607" s="12"/>
      <c r="X607" s="12"/>
      <c r="Y607" s="12"/>
      <c r="Z607" s="2162" t="s">
        <v>2647</v>
      </c>
      <c r="AA607" s="2063"/>
      <c r="AB607" s="2063"/>
      <c r="AC607" s="2063"/>
      <c r="AD607" s="2063"/>
      <c r="AE607" s="2063"/>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t="s">
        <v>2126</v>
      </c>
      <c r="I608" s="2037"/>
      <c r="J608" s="2037"/>
      <c r="K608" s="2037"/>
      <c r="L608" s="2037"/>
      <c r="M608" s="2037"/>
      <c r="N608" s="2037"/>
      <c r="O608" s="2037"/>
      <c r="P608" s="2037"/>
      <c r="Q608" s="2037"/>
      <c r="R608" s="2037"/>
      <c r="S608" s="12"/>
      <c r="T608" s="35"/>
      <c r="U608" s="12" t="s">
        <v>18</v>
      </c>
      <c r="V608" s="12"/>
      <c r="W608" s="12"/>
      <c r="X608" s="12"/>
      <c r="Y608" s="12"/>
      <c r="Z608" s="12"/>
      <c r="AA608" s="2037" t="s">
        <v>2649</v>
      </c>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577</v>
      </c>
      <c r="O609" s="2036"/>
      <c r="P609" s="12"/>
      <c r="Q609" s="12"/>
      <c r="R609" s="12"/>
      <c r="S609" s="12"/>
      <c r="T609" s="35"/>
      <c r="U609" s="12" t="s">
        <v>20</v>
      </c>
      <c r="V609" s="12"/>
      <c r="W609" s="12"/>
      <c r="X609" s="12"/>
      <c r="Y609" s="12"/>
      <c r="Z609" s="12"/>
      <c r="AA609" s="12"/>
      <c r="AB609" s="12"/>
      <c r="AC609" s="12"/>
      <c r="AD609" s="12"/>
      <c r="AE609" s="12"/>
      <c r="AF609" s="12"/>
      <c r="AG609" s="2036" t="s">
        <v>577</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4"/>
      <c r="BH609" s="2016"/>
      <c r="BI609" s="185" t="s">
        <v>507</v>
      </c>
      <c r="BJ609" s="186"/>
      <c r="BK609" s="2014"/>
      <c r="BL609" s="2016"/>
      <c r="BM609" s="58"/>
      <c r="BN609" s="2376" t="s">
        <v>667</v>
      </c>
      <c r="BO609" s="2377"/>
      <c r="BP609" s="2377"/>
      <c r="BQ609" s="2377"/>
      <c r="BR609" s="2378"/>
      <c r="BS609" s="2182" t="s">
        <v>333</v>
      </c>
      <c r="BT609" s="2182"/>
      <c r="BU609" s="2182"/>
      <c r="BV609" s="2182"/>
      <c r="BW609" s="2182"/>
      <c r="BX609" s="2182" t="s">
        <v>168</v>
      </c>
      <c r="BY609" s="2182"/>
      <c r="BZ609" s="2182"/>
      <c r="CA609" s="2182"/>
      <c r="CB609" s="2182"/>
      <c r="CC609" s="2182" t="s">
        <v>169</v>
      </c>
      <c r="CD609" s="2182"/>
      <c r="CE609" s="2182"/>
      <c r="CF609" s="2182"/>
      <c r="CG609" s="2182"/>
      <c r="CH609" s="2182" t="s">
        <v>492</v>
      </c>
      <c r="CI609" s="2182"/>
      <c r="CJ609" s="2182"/>
      <c r="CK609" s="2182"/>
      <c r="CL609" s="2182"/>
      <c r="CM609" s="2182" t="s">
        <v>31</v>
      </c>
      <c r="CN609" s="2182"/>
      <c r="CO609" s="2182"/>
      <c r="CP609" s="2182"/>
      <c r="CQ609" s="2182"/>
      <c r="CR609" s="1804"/>
      <c r="CS609" s="2182" t="s">
        <v>667</v>
      </c>
      <c r="CT609" s="2182"/>
      <c r="CU609" s="2182"/>
      <c r="CV609" s="2182"/>
      <c r="CW609" s="2182"/>
      <c r="CX609" s="2182" t="s">
        <v>333</v>
      </c>
      <c r="CY609" s="2182"/>
      <c r="CZ609" s="2182"/>
      <c r="DA609" s="2182"/>
      <c r="DB609" s="2182"/>
      <c r="DC609" s="2182" t="s">
        <v>168</v>
      </c>
      <c r="DD609" s="2182"/>
      <c r="DE609" s="2182"/>
      <c r="DF609" s="2182"/>
      <c r="DG609" s="2182"/>
      <c r="DH609" s="2182" t="s">
        <v>169</v>
      </c>
      <c r="DI609" s="2182"/>
      <c r="DJ609" s="2182"/>
      <c r="DK609" s="2182"/>
      <c r="DL609" s="2182"/>
      <c r="DM609" s="2182" t="s">
        <v>492</v>
      </c>
      <c r="DN609" s="2182"/>
      <c r="DO609" s="2182"/>
      <c r="DP609" s="2182"/>
      <c r="DQ609" s="2182"/>
      <c r="DR609" s="2182" t="s">
        <v>31</v>
      </c>
      <c r="DS609" s="2182"/>
      <c r="DT609" s="2182"/>
      <c r="DU609" s="2182"/>
      <c r="DV609" s="2182"/>
      <c r="DX609" s="2182" t="s">
        <v>667</v>
      </c>
      <c r="DY609" s="2182"/>
      <c r="DZ609" s="2182"/>
      <c r="EA609" s="2182"/>
      <c r="EB609" s="2182"/>
      <c r="EC609" s="2182" t="s">
        <v>333</v>
      </c>
      <c r="ED609" s="2182"/>
      <c r="EE609" s="2182"/>
      <c r="EF609" s="2182"/>
      <c r="EG609" s="2182"/>
      <c r="EH609" s="2182" t="s">
        <v>168</v>
      </c>
      <c r="EI609" s="2182"/>
      <c r="EJ609" s="2182"/>
      <c r="EK609" s="2182"/>
      <c r="EL609" s="2182"/>
      <c r="EM609" s="2182" t="s">
        <v>169</v>
      </c>
      <c r="EN609" s="2182"/>
      <c r="EO609" s="2182"/>
      <c r="EP609" s="2182"/>
      <c r="EQ609" s="2182"/>
      <c r="ER609" s="2182" t="s">
        <v>492</v>
      </c>
      <c r="ES609" s="2182"/>
      <c r="ET609" s="2182"/>
      <c r="EU609" s="2182"/>
      <c r="EV609" s="2182"/>
      <c r="EW609" s="2182" t="s">
        <v>31</v>
      </c>
      <c r="EX609" s="2182"/>
      <c r="EY609" s="2182"/>
      <c r="EZ609" s="2182"/>
      <c r="FA609" s="21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2">IF(AND(AH728&lt;=0.5,AH728&gt;=0.36),1,0)</f>
        <v>0</v>
      </c>
      <c r="BF610" s="2018"/>
      <c r="BG610" s="2014">
        <f t="shared" ref="BG610:BG634" si="3">IF(BE610=1,G728,0)</f>
        <v>0</v>
      </c>
      <c r="BH610" s="2016"/>
      <c r="BI610" s="2017">
        <f t="shared" ref="BI610:BI634" si="4">IF(AND(AH728&lt;=0.35,AH728&gt;0),1,0)</f>
        <v>1</v>
      </c>
      <c r="BJ610" s="2018"/>
      <c r="BK610" s="2014">
        <f t="shared" ref="BK610:BK634" si="5">IF(BI610=1,G728,0)</f>
        <v>14</v>
      </c>
      <c r="BL610" s="2016"/>
      <c r="BM610" s="58"/>
      <c r="BN610" s="2011">
        <f t="shared" ref="BN610:BN634" si="6">IF(B728="SRO/Studio",G728,0)</f>
        <v>14</v>
      </c>
      <c r="BO610" s="2012"/>
      <c r="BP610" s="2012"/>
      <c r="BQ610" s="2012"/>
      <c r="BR610" s="2013"/>
      <c r="BS610" s="2010">
        <f t="shared" ref="BS610:BS634" si="7">IF(B728="1 Bedroom",G728,0)</f>
        <v>0</v>
      </c>
      <c r="BT610" s="2010"/>
      <c r="BU610" s="2010"/>
      <c r="BV610" s="2010"/>
      <c r="BW610" s="2010"/>
      <c r="BX610" s="2010">
        <f t="shared" ref="BX610:BX634" si="8">IF(B728="2 Bedrooms",G728,0)</f>
        <v>0</v>
      </c>
      <c r="BY610" s="2010"/>
      <c r="BZ610" s="2010"/>
      <c r="CA610" s="2010"/>
      <c r="CB610" s="2010"/>
      <c r="CC610" s="2010">
        <f t="shared" ref="CC610:CC634" si="9">IF(B728="3 Bedrooms",G728,0)</f>
        <v>0</v>
      </c>
      <c r="CD610" s="2010"/>
      <c r="CE610" s="2010"/>
      <c r="CF610" s="2010"/>
      <c r="CG610" s="2010"/>
      <c r="CH610" s="2010">
        <f t="shared" ref="CH610:CH634" si="10">IF(B728="4 Bedrooms",G728,0)</f>
        <v>0</v>
      </c>
      <c r="CI610" s="2010"/>
      <c r="CJ610" s="2010"/>
      <c r="CK610" s="2010"/>
      <c r="CL610" s="2010"/>
      <c r="CM610" s="2010">
        <f t="shared" ref="CM610:CM634" si="11">IF(B728="5 Bedrooms",G728,0)</f>
        <v>0</v>
      </c>
      <c r="CN610" s="2010"/>
      <c r="CO610" s="2010"/>
      <c r="CP610" s="2010"/>
      <c r="CQ610" s="2010"/>
      <c r="CR610" s="265"/>
      <c r="CS610" s="2367">
        <f t="shared" ref="CS610:CS634" si="12">IF(AND(B728="SRO/Studio",AH728&lt;=0.3),G728,0)</f>
        <v>14</v>
      </c>
      <c r="CT610" s="2367"/>
      <c r="CU610" s="2367"/>
      <c r="CV610" s="2367"/>
      <c r="CW610" s="2367"/>
      <c r="CX610" s="2367">
        <f t="shared" ref="CX610:CX634" si="13">IF(AND(B728="1 Bedroom",AH728&lt;=0.3),G728,0)</f>
        <v>0</v>
      </c>
      <c r="CY610" s="2367"/>
      <c r="CZ610" s="2367"/>
      <c r="DA610" s="2367"/>
      <c r="DB610" s="2367"/>
      <c r="DC610" s="2367">
        <f t="shared" ref="DC610:DC634" si="14">IF(AND(B728="2 Bedrooms",AH728&lt;=0.3),G728,0)</f>
        <v>0</v>
      </c>
      <c r="DD610" s="2367"/>
      <c r="DE610" s="2367"/>
      <c r="DF610" s="2367"/>
      <c r="DG610" s="2367"/>
      <c r="DH610" s="2367">
        <f t="shared" ref="DH610:DH634" si="15">IF(AND(B728="3 Bedrooms",AH728&lt;=0.3),G728,0)</f>
        <v>0</v>
      </c>
      <c r="DI610" s="2367"/>
      <c r="DJ610" s="2367"/>
      <c r="DK610" s="2367"/>
      <c r="DL610" s="2367"/>
      <c r="DM610" s="2367">
        <f t="shared" ref="DM610:DM634" si="16">IF(AND(B728="4 Bedrooms",AH728&lt;=0.3),G728,0)</f>
        <v>0</v>
      </c>
      <c r="DN610" s="2367"/>
      <c r="DO610" s="2367"/>
      <c r="DP610" s="2367"/>
      <c r="DQ610" s="2367"/>
      <c r="DR610" s="2367">
        <f t="shared" ref="DR610:DR634" si="17">IF(AND(B728="5 Bedrooms",AH728&lt;=0.3),G728,0)</f>
        <v>0</v>
      </c>
      <c r="DS610" s="2367"/>
      <c r="DT610" s="2367"/>
      <c r="DU610" s="2367"/>
      <c r="DV610" s="2367"/>
      <c r="DX610" s="2017">
        <f t="shared" ref="DX610:DX634" si="18">IF(BN610&gt;0,O728," ")</f>
        <v>363</v>
      </c>
      <c r="DY610" s="2180"/>
      <c r="DZ610" s="2180"/>
      <c r="EA610" s="2180"/>
      <c r="EB610" s="2018"/>
      <c r="EC610" s="2017" t="str">
        <f t="shared" ref="EC610:EC634" si="19">IF(BS610&gt;0,O728," ")</f>
        <v xml:space="preserve"> </v>
      </c>
      <c r="ED610" s="2180"/>
      <c r="EE610" s="2180"/>
      <c r="EF610" s="2180"/>
      <c r="EG610" s="2018"/>
      <c r="EH610" s="2017" t="str">
        <f t="shared" ref="EH610:EH634" si="20">IF(BX610&gt;0,O728," ")</f>
        <v xml:space="preserve"> </v>
      </c>
      <c r="EI610" s="2180"/>
      <c r="EJ610" s="2180"/>
      <c r="EK610" s="2180"/>
      <c r="EL610" s="2018"/>
      <c r="EM610" s="2017" t="str">
        <f t="shared" ref="EM610:EM634" si="21">IF(CC610&gt;0,O728," ")</f>
        <v xml:space="preserve"> </v>
      </c>
      <c r="EN610" s="2180"/>
      <c r="EO610" s="2180"/>
      <c r="EP610" s="2180"/>
      <c r="EQ610" s="2018"/>
      <c r="ER610" s="2017" t="str">
        <f t="shared" ref="ER610:ER634" si="22">IF(CH610&gt;0,O728," ")</f>
        <v xml:space="preserve"> </v>
      </c>
      <c r="ES610" s="2180"/>
      <c r="ET610" s="2180"/>
      <c r="EU610" s="2180"/>
      <c r="EV610" s="2018"/>
      <c r="EW610" s="2017" t="str">
        <f t="shared" ref="EW610:EW634" si="23">IF(CM610&gt;0,O728," ")</f>
        <v xml:space="preserve"> </v>
      </c>
      <c r="EX610" s="2180"/>
      <c r="EY610" s="2180"/>
      <c r="EZ610" s="2180"/>
      <c r="FA610" s="2018"/>
    </row>
    <row r="611" spans="1:157" s="7" customFormat="1" ht="12.75">
      <c r="A611" s="87" t="s">
        <v>493</v>
      </c>
      <c r="B611" s="12" t="s">
        <v>495</v>
      </c>
      <c r="C611" s="12"/>
      <c r="D611" s="12"/>
      <c r="E611" s="12"/>
      <c r="F611" s="12"/>
      <c r="G611" s="2038" t="str">
        <f>C572</f>
        <v>Tax Credit Equity (BofA)</v>
      </c>
      <c r="H611" s="2038"/>
      <c r="I611" s="2038"/>
      <c r="J611" s="2038"/>
      <c r="K611" s="2038"/>
      <c r="L611" s="2038"/>
      <c r="M611" s="2038"/>
      <c r="N611" s="2038"/>
      <c r="O611" s="2038"/>
      <c r="P611" s="2038"/>
      <c r="Q611" s="2038"/>
      <c r="R611" s="2038"/>
      <c r="S611" s="12"/>
      <c r="T611" s="87" t="s">
        <v>680</v>
      </c>
      <c r="U611" s="12" t="s">
        <v>495</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2"/>
        <v>0</v>
      </c>
      <c r="BF611" s="2018"/>
      <c r="BG611" s="2014">
        <f t="shared" si="3"/>
        <v>0</v>
      </c>
      <c r="BH611" s="2016"/>
      <c r="BI611" s="2017">
        <f t="shared" si="4"/>
        <v>1</v>
      </c>
      <c r="BJ611" s="2018"/>
      <c r="BK611" s="2014">
        <f t="shared" si="5"/>
        <v>18</v>
      </c>
      <c r="BL611" s="2016"/>
      <c r="BM611" s="58"/>
      <c r="BN611" s="2011">
        <f t="shared" si="6"/>
        <v>18</v>
      </c>
      <c r="BO611" s="2012"/>
      <c r="BP611" s="2012"/>
      <c r="BQ611" s="2012"/>
      <c r="BR611" s="2013"/>
      <c r="BS611" s="2010">
        <f t="shared" si="7"/>
        <v>0</v>
      </c>
      <c r="BT611" s="2010"/>
      <c r="BU611" s="2010"/>
      <c r="BV611" s="2010"/>
      <c r="BW611" s="2010"/>
      <c r="BX611" s="2010">
        <f t="shared" si="8"/>
        <v>0</v>
      </c>
      <c r="BY611" s="2010"/>
      <c r="BZ611" s="2010"/>
      <c r="CA611" s="2010"/>
      <c r="CB611" s="2010"/>
      <c r="CC611" s="2010">
        <f t="shared" si="9"/>
        <v>0</v>
      </c>
      <c r="CD611" s="2010"/>
      <c r="CE611" s="2010"/>
      <c r="CF611" s="2010"/>
      <c r="CG611" s="2010"/>
      <c r="CH611" s="2010">
        <f t="shared" si="10"/>
        <v>0</v>
      </c>
      <c r="CI611" s="2010"/>
      <c r="CJ611" s="2010"/>
      <c r="CK611" s="2010"/>
      <c r="CL611" s="2010"/>
      <c r="CM611" s="2010">
        <f t="shared" si="11"/>
        <v>0</v>
      </c>
      <c r="CN611" s="2010"/>
      <c r="CO611" s="2010"/>
      <c r="CP611" s="2010"/>
      <c r="CQ611" s="2010"/>
      <c r="CR611" s="265"/>
      <c r="CS611" s="2367">
        <f t="shared" si="12"/>
        <v>18</v>
      </c>
      <c r="CT611" s="2367"/>
      <c r="CU611" s="2367"/>
      <c r="CV611" s="2367"/>
      <c r="CW611" s="2367"/>
      <c r="CX611" s="2367">
        <f t="shared" si="13"/>
        <v>0</v>
      </c>
      <c r="CY611" s="2367"/>
      <c r="CZ611" s="2367"/>
      <c r="DA611" s="2367"/>
      <c r="DB611" s="2367"/>
      <c r="DC611" s="2367">
        <f t="shared" si="14"/>
        <v>0</v>
      </c>
      <c r="DD611" s="2367"/>
      <c r="DE611" s="2367"/>
      <c r="DF611" s="2367"/>
      <c r="DG611" s="2367"/>
      <c r="DH611" s="2367">
        <f t="shared" si="15"/>
        <v>0</v>
      </c>
      <c r="DI611" s="2367"/>
      <c r="DJ611" s="2367"/>
      <c r="DK611" s="2367"/>
      <c r="DL611" s="2367"/>
      <c r="DM611" s="2367">
        <f t="shared" si="16"/>
        <v>0</v>
      </c>
      <c r="DN611" s="2367"/>
      <c r="DO611" s="2367"/>
      <c r="DP611" s="2367"/>
      <c r="DQ611" s="2367"/>
      <c r="DR611" s="2367">
        <f t="shared" si="17"/>
        <v>0</v>
      </c>
      <c r="DS611" s="2367"/>
      <c r="DT611" s="2367"/>
      <c r="DU611" s="2367"/>
      <c r="DV611" s="2367"/>
      <c r="DX611" s="2017">
        <f t="shared" si="18"/>
        <v>564</v>
      </c>
      <c r="DY611" s="2180"/>
      <c r="DZ611" s="2180"/>
      <c r="EA611" s="2180"/>
      <c r="EB611" s="2018"/>
      <c r="EC611" s="2017" t="str">
        <f t="shared" si="19"/>
        <v xml:space="preserve"> </v>
      </c>
      <c r="ED611" s="2180"/>
      <c r="EE611" s="2180"/>
      <c r="EF611" s="2180"/>
      <c r="EG611" s="2018"/>
      <c r="EH611" s="2017" t="str">
        <f t="shared" si="20"/>
        <v xml:space="preserve"> </v>
      </c>
      <c r="EI611" s="2180"/>
      <c r="EJ611" s="2180"/>
      <c r="EK611" s="2180"/>
      <c r="EL611" s="2018"/>
      <c r="EM611" s="2017" t="str">
        <f t="shared" si="21"/>
        <v xml:space="preserve"> </v>
      </c>
      <c r="EN611" s="2180"/>
      <c r="EO611" s="2180"/>
      <c r="EP611" s="2180"/>
      <c r="EQ611" s="2018"/>
      <c r="ER611" s="2017" t="str">
        <f t="shared" si="22"/>
        <v xml:space="preserve"> </v>
      </c>
      <c r="ES611" s="2180"/>
      <c r="ET611" s="2180"/>
      <c r="EU611" s="2180"/>
      <c r="EV611" s="2018"/>
      <c r="EW611" s="2017" t="str">
        <f t="shared" si="23"/>
        <v xml:space="preserve"> </v>
      </c>
      <c r="EX611" s="2180"/>
      <c r="EY611" s="2180"/>
      <c r="EZ611" s="2180"/>
      <c r="FA611" s="2018"/>
    </row>
    <row r="612" spans="1:157" ht="12.75">
      <c r="A612" s="35"/>
      <c r="B612" s="12" t="s">
        <v>90</v>
      </c>
      <c r="G612" s="2037" t="s">
        <v>2642</v>
      </c>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2"/>
        <v>0</v>
      </c>
      <c r="BF612" s="2018"/>
      <c r="BG612" s="2014">
        <f t="shared" si="3"/>
        <v>0</v>
      </c>
      <c r="BH612" s="2016"/>
      <c r="BI612" s="2017">
        <f t="shared" si="4"/>
        <v>1</v>
      </c>
      <c r="BJ612" s="2018"/>
      <c r="BK612" s="2014">
        <f t="shared" si="5"/>
        <v>2</v>
      </c>
      <c r="BL612" s="2016"/>
      <c r="BM612" s="58"/>
      <c r="BN612" s="2011">
        <f t="shared" si="6"/>
        <v>0</v>
      </c>
      <c r="BO612" s="2012"/>
      <c r="BP612" s="2012"/>
      <c r="BQ612" s="2012"/>
      <c r="BR612" s="2013"/>
      <c r="BS612" s="2010">
        <f t="shared" si="7"/>
        <v>2</v>
      </c>
      <c r="BT612" s="2010"/>
      <c r="BU612" s="2010"/>
      <c r="BV612" s="2010"/>
      <c r="BW612" s="2010"/>
      <c r="BX612" s="2010">
        <f t="shared" si="8"/>
        <v>0</v>
      </c>
      <c r="BY612" s="2010"/>
      <c r="BZ612" s="2010"/>
      <c r="CA612" s="2010"/>
      <c r="CB612" s="2010"/>
      <c r="CC612" s="2010">
        <f t="shared" si="9"/>
        <v>0</v>
      </c>
      <c r="CD612" s="2010"/>
      <c r="CE612" s="2010"/>
      <c r="CF612" s="2010"/>
      <c r="CG612" s="2010"/>
      <c r="CH612" s="2010">
        <f t="shared" si="10"/>
        <v>0</v>
      </c>
      <c r="CI612" s="2010"/>
      <c r="CJ612" s="2010"/>
      <c r="CK612" s="2010"/>
      <c r="CL612" s="2010"/>
      <c r="CM612" s="2010">
        <f t="shared" si="11"/>
        <v>0</v>
      </c>
      <c r="CN612" s="2010"/>
      <c r="CO612" s="2010"/>
      <c r="CP612" s="2010"/>
      <c r="CQ612" s="2010"/>
      <c r="CR612" s="265"/>
      <c r="CS612" s="2367">
        <f t="shared" si="12"/>
        <v>0</v>
      </c>
      <c r="CT612" s="2367"/>
      <c r="CU612" s="2367"/>
      <c r="CV612" s="2367"/>
      <c r="CW612" s="2367"/>
      <c r="CX612" s="2367">
        <f t="shared" si="13"/>
        <v>2</v>
      </c>
      <c r="CY612" s="2367"/>
      <c r="CZ612" s="2367"/>
      <c r="DA612" s="2367"/>
      <c r="DB612" s="2367"/>
      <c r="DC612" s="2367">
        <f t="shared" si="14"/>
        <v>0</v>
      </c>
      <c r="DD612" s="2367"/>
      <c r="DE612" s="2367"/>
      <c r="DF612" s="2367"/>
      <c r="DG612" s="2367"/>
      <c r="DH612" s="2367">
        <f t="shared" si="15"/>
        <v>0</v>
      </c>
      <c r="DI612" s="2367"/>
      <c r="DJ612" s="2367"/>
      <c r="DK612" s="2367"/>
      <c r="DL612" s="2367"/>
      <c r="DM612" s="2367">
        <f t="shared" si="16"/>
        <v>0</v>
      </c>
      <c r="DN612" s="2367"/>
      <c r="DO612" s="2367"/>
      <c r="DP612" s="2367"/>
      <c r="DQ612" s="2367"/>
      <c r="DR612" s="2367">
        <f t="shared" si="17"/>
        <v>0</v>
      </c>
      <c r="DS612" s="2367"/>
      <c r="DT612" s="2367"/>
      <c r="DU612" s="2367"/>
      <c r="DV612" s="2367"/>
      <c r="DX612" s="2017" t="str">
        <f t="shared" si="18"/>
        <v xml:space="preserve"> </v>
      </c>
      <c r="DY612" s="2180"/>
      <c r="DZ612" s="2180"/>
      <c r="EA612" s="2180"/>
      <c r="EB612" s="2018"/>
      <c r="EC612" s="2017">
        <f t="shared" si="19"/>
        <v>597</v>
      </c>
      <c r="ED612" s="2180"/>
      <c r="EE612" s="2180"/>
      <c r="EF612" s="2180"/>
      <c r="EG612" s="2018"/>
      <c r="EH612" s="2017" t="str">
        <f t="shared" si="20"/>
        <v xml:space="preserve"> </v>
      </c>
      <c r="EI612" s="2180"/>
      <c r="EJ612" s="2180"/>
      <c r="EK612" s="2180"/>
      <c r="EL612" s="2018"/>
      <c r="EM612" s="2017" t="str">
        <f t="shared" si="21"/>
        <v xml:space="preserve"> </v>
      </c>
      <c r="EN612" s="2180"/>
      <c r="EO612" s="2180"/>
      <c r="EP612" s="2180"/>
      <c r="EQ612" s="2018"/>
      <c r="ER612" s="2017" t="str">
        <f t="shared" si="22"/>
        <v xml:space="preserve"> </v>
      </c>
      <c r="ES612" s="2180"/>
      <c r="ET612" s="2180"/>
      <c r="EU612" s="2180"/>
      <c r="EV612" s="2018"/>
      <c r="EW612" s="2017" t="str">
        <f t="shared" si="23"/>
        <v xml:space="preserve"> </v>
      </c>
      <c r="EX612" s="2180"/>
      <c r="EY612" s="2180"/>
      <c r="EZ612" s="2180"/>
      <c r="FA612" s="2018"/>
    </row>
    <row r="613" spans="1:157" ht="12.75">
      <c r="A613" s="35"/>
      <c r="B613" s="12" t="s">
        <v>614</v>
      </c>
      <c r="G613" s="2037" t="s">
        <v>2643</v>
      </c>
      <c r="H613" s="2037"/>
      <c r="I613" s="2037"/>
      <c r="J613" s="2037"/>
      <c r="K613" s="2037"/>
      <c r="L613" s="2037"/>
      <c r="M613" s="2037"/>
      <c r="N613" s="2037"/>
      <c r="O613" s="2037"/>
      <c r="P613" s="2037"/>
      <c r="Q613" s="2037"/>
      <c r="R613" s="2037"/>
      <c r="T613" s="35"/>
      <c r="U613" s="12" t="s">
        <v>614</v>
      </c>
      <c r="Z613" s="2039"/>
      <c r="AA613" s="2039"/>
      <c r="AB613" s="2039"/>
      <c r="AC613" s="2039"/>
      <c r="AD613" s="2039"/>
      <c r="AE613" s="2039"/>
      <c r="AF613" s="2039"/>
      <c r="AG613" s="2039"/>
      <c r="AH613" s="2039"/>
      <c r="AI613" s="2039"/>
      <c r="AJ613" s="2039"/>
      <c r="AK613" s="2039"/>
      <c r="BA613" s="7" t="s">
        <v>170</v>
      </c>
      <c r="BB613" s="58"/>
      <c r="BC613" s="58"/>
      <c r="BD613" s="58"/>
      <c r="BE613" s="2017">
        <f t="shared" si="2"/>
        <v>1</v>
      </c>
      <c r="BF613" s="2018"/>
      <c r="BG613" s="2014">
        <f t="shared" si="3"/>
        <v>48</v>
      </c>
      <c r="BH613" s="2016"/>
      <c r="BI613" s="2017">
        <f t="shared" si="4"/>
        <v>0</v>
      </c>
      <c r="BJ613" s="2018"/>
      <c r="BK613" s="2014">
        <f t="shared" si="5"/>
        <v>0</v>
      </c>
      <c r="BL613" s="2016"/>
      <c r="BM613" s="58"/>
      <c r="BN613" s="2011">
        <f t="shared" si="6"/>
        <v>0</v>
      </c>
      <c r="BO613" s="2012"/>
      <c r="BP613" s="2012"/>
      <c r="BQ613" s="2012"/>
      <c r="BR613" s="2013"/>
      <c r="BS613" s="2010">
        <f t="shared" si="7"/>
        <v>48</v>
      </c>
      <c r="BT613" s="2010"/>
      <c r="BU613" s="2010"/>
      <c r="BV613" s="2010"/>
      <c r="BW613" s="2010"/>
      <c r="BX613" s="2010">
        <f t="shared" si="8"/>
        <v>0</v>
      </c>
      <c r="BY613" s="2010"/>
      <c r="BZ613" s="2010"/>
      <c r="CA613" s="2010"/>
      <c r="CB613" s="2010"/>
      <c r="CC613" s="2010">
        <f t="shared" si="9"/>
        <v>0</v>
      </c>
      <c r="CD613" s="2010"/>
      <c r="CE613" s="2010"/>
      <c r="CF613" s="2010"/>
      <c r="CG613" s="2010"/>
      <c r="CH613" s="2010">
        <f t="shared" si="10"/>
        <v>0</v>
      </c>
      <c r="CI613" s="2010"/>
      <c r="CJ613" s="2010"/>
      <c r="CK613" s="2010"/>
      <c r="CL613" s="2010"/>
      <c r="CM613" s="2010">
        <f t="shared" si="11"/>
        <v>0</v>
      </c>
      <c r="CN613" s="2010"/>
      <c r="CO613" s="2010"/>
      <c r="CP613" s="2010"/>
      <c r="CQ613" s="2010"/>
      <c r="CR613" s="265"/>
      <c r="CS613" s="2367">
        <f t="shared" si="12"/>
        <v>0</v>
      </c>
      <c r="CT613" s="2367"/>
      <c r="CU613" s="2367"/>
      <c r="CV613" s="2367"/>
      <c r="CW613" s="2367"/>
      <c r="CX613" s="2367">
        <f t="shared" si="13"/>
        <v>0</v>
      </c>
      <c r="CY613" s="2367"/>
      <c r="CZ613" s="2367"/>
      <c r="DA613" s="2367"/>
      <c r="DB613" s="2367"/>
      <c r="DC613" s="2367">
        <f t="shared" si="14"/>
        <v>0</v>
      </c>
      <c r="DD613" s="2367"/>
      <c r="DE613" s="2367"/>
      <c r="DF613" s="2367"/>
      <c r="DG613" s="2367"/>
      <c r="DH613" s="2367">
        <f t="shared" si="15"/>
        <v>0</v>
      </c>
      <c r="DI613" s="2367"/>
      <c r="DJ613" s="2367"/>
      <c r="DK613" s="2367"/>
      <c r="DL613" s="2367"/>
      <c r="DM613" s="2367">
        <f t="shared" si="16"/>
        <v>0</v>
      </c>
      <c r="DN613" s="2367"/>
      <c r="DO613" s="2367"/>
      <c r="DP613" s="2367"/>
      <c r="DQ613" s="2367"/>
      <c r="DR613" s="2367">
        <f t="shared" si="17"/>
        <v>0</v>
      </c>
      <c r="DS613" s="2367"/>
      <c r="DT613" s="2367"/>
      <c r="DU613" s="2367"/>
      <c r="DV613" s="2367"/>
      <c r="DX613" s="2017" t="str">
        <f t="shared" si="18"/>
        <v xml:space="preserve"> </v>
      </c>
      <c r="DY613" s="2180"/>
      <c r="DZ613" s="2180"/>
      <c r="EA613" s="2180"/>
      <c r="EB613" s="2018"/>
      <c r="EC613" s="2017">
        <f t="shared" si="19"/>
        <v>819</v>
      </c>
      <c r="ED613" s="2180"/>
      <c r="EE613" s="2180"/>
      <c r="EF613" s="2180"/>
      <c r="EG613" s="2018"/>
      <c r="EH613" s="2017" t="str">
        <f t="shared" si="20"/>
        <v xml:space="preserve"> </v>
      </c>
      <c r="EI613" s="2180"/>
      <c r="EJ613" s="2180"/>
      <c r="EK613" s="2180"/>
      <c r="EL613" s="2018"/>
      <c r="EM613" s="2017" t="str">
        <f t="shared" si="21"/>
        <v xml:space="preserve"> </v>
      </c>
      <c r="EN613" s="2180"/>
      <c r="EO613" s="2180"/>
      <c r="EP613" s="2180"/>
      <c r="EQ613" s="2018"/>
      <c r="ER613" s="2017" t="str">
        <f t="shared" si="22"/>
        <v xml:space="preserve"> </v>
      </c>
      <c r="ES613" s="2180"/>
      <c r="ET613" s="2180"/>
      <c r="EU613" s="2180"/>
      <c r="EV613" s="2018"/>
      <c r="EW613" s="2017" t="str">
        <f t="shared" si="23"/>
        <v xml:space="preserve"> </v>
      </c>
      <c r="EX613" s="2180"/>
      <c r="EY613" s="2180"/>
      <c r="EZ613" s="2180"/>
      <c r="FA613" s="2018"/>
    </row>
    <row r="614" spans="1:157" ht="12.75">
      <c r="A614" s="35"/>
      <c r="B614" s="12" t="s">
        <v>17</v>
      </c>
      <c r="G614" s="2037" t="s">
        <v>2644</v>
      </c>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2"/>
        <v>1</v>
      </c>
      <c r="BF614" s="2018"/>
      <c r="BG614" s="2014">
        <f t="shared" si="3"/>
        <v>29</v>
      </c>
      <c r="BH614" s="2016"/>
      <c r="BI614" s="2017">
        <f t="shared" si="4"/>
        <v>0</v>
      </c>
      <c r="BJ614" s="2018"/>
      <c r="BK614" s="2014">
        <f t="shared" si="5"/>
        <v>0</v>
      </c>
      <c r="BL614" s="2016"/>
      <c r="BM614" s="58"/>
      <c r="BN614" s="2011">
        <f t="shared" si="6"/>
        <v>0</v>
      </c>
      <c r="BO614" s="2012"/>
      <c r="BP614" s="2012"/>
      <c r="BQ614" s="2012"/>
      <c r="BR614" s="2013"/>
      <c r="BS614" s="2010">
        <f t="shared" si="7"/>
        <v>29</v>
      </c>
      <c r="BT614" s="2010"/>
      <c r="BU614" s="2010"/>
      <c r="BV614" s="2010"/>
      <c r="BW614" s="2010"/>
      <c r="BX614" s="2010">
        <f t="shared" si="8"/>
        <v>0</v>
      </c>
      <c r="BY614" s="2010"/>
      <c r="BZ614" s="2010"/>
      <c r="CA614" s="2010"/>
      <c r="CB614" s="2010"/>
      <c r="CC614" s="2010">
        <f t="shared" si="9"/>
        <v>0</v>
      </c>
      <c r="CD614" s="2010"/>
      <c r="CE614" s="2010"/>
      <c r="CF614" s="2010"/>
      <c r="CG614" s="2010"/>
      <c r="CH614" s="2010">
        <f t="shared" si="10"/>
        <v>0</v>
      </c>
      <c r="CI614" s="2010"/>
      <c r="CJ614" s="2010"/>
      <c r="CK614" s="2010"/>
      <c r="CL614" s="2010"/>
      <c r="CM614" s="2010">
        <f t="shared" si="11"/>
        <v>0</v>
      </c>
      <c r="CN614" s="2010"/>
      <c r="CO614" s="2010"/>
      <c r="CP614" s="2010"/>
      <c r="CQ614" s="2010"/>
      <c r="CR614" s="265"/>
      <c r="CS614" s="2367">
        <f t="shared" si="12"/>
        <v>0</v>
      </c>
      <c r="CT614" s="2367"/>
      <c r="CU614" s="2367"/>
      <c r="CV614" s="2367"/>
      <c r="CW614" s="2367"/>
      <c r="CX614" s="2367">
        <f t="shared" si="13"/>
        <v>0</v>
      </c>
      <c r="CY614" s="2367"/>
      <c r="CZ614" s="2367"/>
      <c r="DA614" s="2367"/>
      <c r="DB614" s="2367"/>
      <c r="DC614" s="2367">
        <f t="shared" si="14"/>
        <v>0</v>
      </c>
      <c r="DD614" s="2367"/>
      <c r="DE614" s="2367"/>
      <c r="DF614" s="2367"/>
      <c r="DG614" s="2367"/>
      <c r="DH614" s="2367">
        <f t="shared" si="15"/>
        <v>0</v>
      </c>
      <c r="DI614" s="2367"/>
      <c r="DJ614" s="2367"/>
      <c r="DK614" s="2367"/>
      <c r="DL614" s="2367"/>
      <c r="DM614" s="2367">
        <f t="shared" si="16"/>
        <v>0</v>
      </c>
      <c r="DN614" s="2367"/>
      <c r="DO614" s="2367"/>
      <c r="DP614" s="2367"/>
      <c r="DQ614" s="2367"/>
      <c r="DR614" s="2367">
        <f t="shared" si="17"/>
        <v>0</v>
      </c>
      <c r="DS614" s="2367"/>
      <c r="DT614" s="2367"/>
      <c r="DU614" s="2367"/>
      <c r="DV614" s="2367"/>
      <c r="DX614" s="2017" t="str">
        <f t="shared" si="18"/>
        <v xml:space="preserve"> </v>
      </c>
      <c r="DY614" s="2180"/>
      <c r="DZ614" s="2180"/>
      <c r="EA614" s="2180"/>
      <c r="EB614" s="2018"/>
      <c r="EC614" s="2017">
        <f t="shared" si="19"/>
        <v>1040</v>
      </c>
      <c r="ED614" s="2180"/>
      <c r="EE614" s="2180"/>
      <c r="EF614" s="2180"/>
      <c r="EG614" s="2018"/>
      <c r="EH614" s="2017" t="str">
        <f t="shared" si="20"/>
        <v xml:space="preserve"> </v>
      </c>
      <c r="EI614" s="2180"/>
      <c r="EJ614" s="2180"/>
      <c r="EK614" s="2180"/>
      <c r="EL614" s="2018"/>
      <c r="EM614" s="2017" t="str">
        <f t="shared" si="21"/>
        <v xml:space="preserve"> </v>
      </c>
      <c r="EN614" s="2180"/>
      <c r="EO614" s="2180"/>
      <c r="EP614" s="2180"/>
      <c r="EQ614" s="2018"/>
      <c r="ER614" s="2017" t="str">
        <f t="shared" si="22"/>
        <v xml:space="preserve"> </v>
      </c>
      <c r="ES614" s="2180"/>
      <c r="ET614" s="2180"/>
      <c r="EU614" s="2180"/>
      <c r="EV614" s="2018"/>
      <c r="EW614" s="2017" t="str">
        <f t="shared" si="23"/>
        <v xml:space="preserve"> </v>
      </c>
      <c r="EX614" s="2180"/>
      <c r="EY614" s="2180"/>
      <c r="EZ614" s="2180"/>
      <c r="FA614" s="2018"/>
    </row>
    <row r="615" spans="1:157" ht="12.75">
      <c r="A615" s="35"/>
      <c r="B615" s="12" t="s">
        <v>324</v>
      </c>
      <c r="G615" s="2063" t="s">
        <v>2645</v>
      </c>
      <c r="H615" s="2063"/>
      <c r="I615" s="2063"/>
      <c r="J615" s="2063"/>
      <c r="K615" s="2063"/>
      <c r="L615" s="2063"/>
      <c r="O615" s="137" t="s">
        <v>211</v>
      </c>
      <c r="P615" s="2028"/>
      <c r="Q615" s="2028"/>
      <c r="R615" s="2028"/>
      <c r="T615" s="35"/>
      <c r="U615" s="12" t="s">
        <v>324</v>
      </c>
      <c r="Z615" s="2063"/>
      <c r="AA615" s="2063"/>
      <c r="AB615" s="2063"/>
      <c r="AC615" s="2063"/>
      <c r="AD615" s="2063"/>
      <c r="AE615" s="2063"/>
      <c r="AH615" s="137" t="s">
        <v>211</v>
      </c>
      <c r="AI615" s="2028"/>
      <c r="AJ615" s="2028"/>
      <c r="AK615" s="2028"/>
      <c r="AZ615" s="58"/>
      <c r="BA615" s="58"/>
      <c r="BB615" s="58"/>
      <c r="BC615" s="58"/>
      <c r="BD615" s="58"/>
      <c r="BE615" s="2017">
        <f t="shared" si="2"/>
        <v>0</v>
      </c>
      <c r="BF615" s="2018"/>
      <c r="BG615" s="2014">
        <f t="shared" si="3"/>
        <v>0</v>
      </c>
      <c r="BH615" s="2016"/>
      <c r="BI615" s="2017">
        <f t="shared" si="4"/>
        <v>0</v>
      </c>
      <c r="BJ615" s="2018"/>
      <c r="BK615" s="2014">
        <f t="shared" si="5"/>
        <v>0</v>
      </c>
      <c r="BL615" s="2016"/>
      <c r="BM615" s="58"/>
      <c r="BN615" s="2011">
        <f t="shared" si="6"/>
        <v>0</v>
      </c>
      <c r="BO615" s="2012"/>
      <c r="BP615" s="2012"/>
      <c r="BQ615" s="2012"/>
      <c r="BR615" s="2013"/>
      <c r="BS615" s="2010">
        <f t="shared" si="7"/>
        <v>131</v>
      </c>
      <c r="BT615" s="2010"/>
      <c r="BU615" s="2010"/>
      <c r="BV615" s="2010"/>
      <c r="BW615" s="2010"/>
      <c r="BX615" s="2010">
        <f t="shared" si="8"/>
        <v>0</v>
      </c>
      <c r="BY615" s="2010"/>
      <c r="BZ615" s="2010"/>
      <c r="CA615" s="2010"/>
      <c r="CB615" s="2010"/>
      <c r="CC615" s="2010">
        <f t="shared" si="9"/>
        <v>0</v>
      </c>
      <c r="CD615" s="2010"/>
      <c r="CE615" s="2010"/>
      <c r="CF615" s="2010"/>
      <c r="CG615" s="2010"/>
      <c r="CH615" s="2010">
        <f t="shared" si="10"/>
        <v>0</v>
      </c>
      <c r="CI615" s="2010"/>
      <c r="CJ615" s="2010"/>
      <c r="CK615" s="2010"/>
      <c r="CL615" s="2010"/>
      <c r="CM615" s="2010">
        <f t="shared" si="11"/>
        <v>0</v>
      </c>
      <c r="CN615" s="2010"/>
      <c r="CO615" s="2010"/>
      <c r="CP615" s="2010"/>
      <c r="CQ615" s="2010"/>
      <c r="CR615" s="265"/>
      <c r="CS615" s="2367">
        <f t="shared" si="12"/>
        <v>0</v>
      </c>
      <c r="CT615" s="2367"/>
      <c r="CU615" s="2367"/>
      <c r="CV615" s="2367"/>
      <c r="CW615" s="2367"/>
      <c r="CX615" s="2367">
        <f t="shared" si="13"/>
        <v>0</v>
      </c>
      <c r="CY615" s="2367"/>
      <c r="CZ615" s="2367"/>
      <c r="DA615" s="2367"/>
      <c r="DB615" s="2367"/>
      <c r="DC615" s="2367">
        <f t="shared" si="14"/>
        <v>0</v>
      </c>
      <c r="DD615" s="2367"/>
      <c r="DE615" s="2367"/>
      <c r="DF615" s="2367"/>
      <c r="DG615" s="2367"/>
      <c r="DH615" s="2367">
        <f t="shared" si="15"/>
        <v>0</v>
      </c>
      <c r="DI615" s="2367"/>
      <c r="DJ615" s="2367"/>
      <c r="DK615" s="2367"/>
      <c r="DL615" s="2367"/>
      <c r="DM615" s="2367">
        <f t="shared" si="16"/>
        <v>0</v>
      </c>
      <c r="DN615" s="2367"/>
      <c r="DO615" s="2367"/>
      <c r="DP615" s="2367"/>
      <c r="DQ615" s="2367"/>
      <c r="DR615" s="2367">
        <f t="shared" si="17"/>
        <v>0</v>
      </c>
      <c r="DS615" s="2367"/>
      <c r="DT615" s="2367"/>
      <c r="DU615" s="2367"/>
      <c r="DV615" s="2367"/>
      <c r="DX615" s="2017" t="str">
        <f t="shared" si="18"/>
        <v xml:space="preserve"> </v>
      </c>
      <c r="DY615" s="2180"/>
      <c r="DZ615" s="2180"/>
      <c r="EA615" s="2180"/>
      <c r="EB615" s="2018"/>
      <c r="EC615" s="2017">
        <f t="shared" si="19"/>
        <v>1262</v>
      </c>
      <c r="ED615" s="2180"/>
      <c r="EE615" s="2180"/>
      <c r="EF615" s="2180"/>
      <c r="EG615" s="2018"/>
      <c r="EH615" s="2017" t="str">
        <f t="shared" si="20"/>
        <v xml:space="preserve"> </v>
      </c>
      <c r="EI615" s="2180"/>
      <c r="EJ615" s="2180"/>
      <c r="EK615" s="2180"/>
      <c r="EL615" s="2018"/>
      <c r="EM615" s="2017" t="str">
        <f t="shared" si="21"/>
        <v xml:space="preserve"> </v>
      </c>
      <c r="EN615" s="2180"/>
      <c r="EO615" s="2180"/>
      <c r="EP615" s="2180"/>
      <c r="EQ615" s="2018"/>
      <c r="ER615" s="2017" t="str">
        <f t="shared" si="22"/>
        <v xml:space="preserve"> </v>
      </c>
      <c r="ES615" s="2180"/>
      <c r="ET615" s="2180"/>
      <c r="EU615" s="2180"/>
      <c r="EV615" s="2018"/>
      <c r="EW615" s="2017" t="str">
        <f t="shared" si="23"/>
        <v xml:space="preserve"> </v>
      </c>
      <c r="EX615" s="2180"/>
      <c r="EY615" s="2180"/>
      <c r="EZ615" s="2180"/>
      <c r="FA615" s="2018"/>
    </row>
    <row r="616" spans="1:157" ht="12.75">
      <c r="A616" s="35"/>
      <c r="B616" s="12" t="s">
        <v>18</v>
      </c>
      <c r="H616" s="2037" t="s">
        <v>2635</v>
      </c>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2"/>
        <v>0</v>
      </c>
      <c r="BF616" s="2018"/>
      <c r="BG616" s="2014">
        <f t="shared" si="3"/>
        <v>0</v>
      </c>
      <c r="BH616" s="2016"/>
      <c r="BI616" s="2017">
        <f t="shared" si="4"/>
        <v>0</v>
      </c>
      <c r="BJ616" s="2018"/>
      <c r="BK616" s="2014">
        <f t="shared" si="5"/>
        <v>0</v>
      </c>
      <c r="BL616" s="2016"/>
      <c r="BM616" s="58"/>
      <c r="BN616" s="2011">
        <f t="shared" si="6"/>
        <v>0</v>
      </c>
      <c r="BO616" s="2012"/>
      <c r="BP616" s="2012"/>
      <c r="BQ616" s="2012"/>
      <c r="BR616" s="2013"/>
      <c r="BS616" s="2010">
        <f t="shared" si="7"/>
        <v>50</v>
      </c>
      <c r="BT616" s="2010"/>
      <c r="BU616" s="2010"/>
      <c r="BV616" s="2010"/>
      <c r="BW616" s="2010"/>
      <c r="BX616" s="2010">
        <f t="shared" si="8"/>
        <v>0</v>
      </c>
      <c r="BY616" s="2010"/>
      <c r="BZ616" s="2010"/>
      <c r="CA616" s="2010"/>
      <c r="CB616" s="2010"/>
      <c r="CC616" s="2010">
        <f t="shared" si="9"/>
        <v>0</v>
      </c>
      <c r="CD616" s="2010"/>
      <c r="CE616" s="2010"/>
      <c r="CF616" s="2010"/>
      <c r="CG616" s="2010"/>
      <c r="CH616" s="2010">
        <f t="shared" si="10"/>
        <v>0</v>
      </c>
      <c r="CI616" s="2010"/>
      <c r="CJ616" s="2010"/>
      <c r="CK616" s="2010"/>
      <c r="CL616" s="2010"/>
      <c r="CM616" s="2010">
        <f t="shared" si="11"/>
        <v>0</v>
      </c>
      <c r="CN616" s="2010"/>
      <c r="CO616" s="2010"/>
      <c r="CP616" s="2010"/>
      <c r="CQ616" s="2010"/>
      <c r="CR616" s="265"/>
      <c r="CS616" s="2367">
        <f t="shared" si="12"/>
        <v>0</v>
      </c>
      <c r="CT616" s="2367"/>
      <c r="CU616" s="2367"/>
      <c r="CV616" s="2367"/>
      <c r="CW616" s="2367"/>
      <c r="CX616" s="2367">
        <f t="shared" si="13"/>
        <v>0</v>
      </c>
      <c r="CY616" s="2367"/>
      <c r="CZ616" s="2367"/>
      <c r="DA616" s="2367"/>
      <c r="DB616" s="2367"/>
      <c r="DC616" s="2367">
        <f t="shared" si="14"/>
        <v>0</v>
      </c>
      <c r="DD616" s="2367"/>
      <c r="DE616" s="2367"/>
      <c r="DF616" s="2367"/>
      <c r="DG616" s="2367"/>
      <c r="DH616" s="2367">
        <f t="shared" si="15"/>
        <v>0</v>
      </c>
      <c r="DI616" s="2367"/>
      <c r="DJ616" s="2367"/>
      <c r="DK616" s="2367"/>
      <c r="DL616" s="2367"/>
      <c r="DM616" s="2367">
        <f t="shared" si="16"/>
        <v>0</v>
      </c>
      <c r="DN616" s="2367"/>
      <c r="DO616" s="2367"/>
      <c r="DP616" s="2367"/>
      <c r="DQ616" s="2367"/>
      <c r="DR616" s="2367">
        <f t="shared" si="17"/>
        <v>0</v>
      </c>
      <c r="DS616" s="2367"/>
      <c r="DT616" s="2367"/>
      <c r="DU616" s="2367"/>
      <c r="DV616" s="2367"/>
      <c r="DX616" s="2017" t="str">
        <f t="shared" si="18"/>
        <v xml:space="preserve"> </v>
      </c>
      <c r="DY616" s="2180"/>
      <c r="DZ616" s="2180"/>
      <c r="EA616" s="2180"/>
      <c r="EB616" s="2018"/>
      <c r="EC616" s="2017">
        <f t="shared" si="19"/>
        <v>1706</v>
      </c>
      <c r="ED616" s="2180"/>
      <c r="EE616" s="2180"/>
      <c r="EF616" s="2180"/>
      <c r="EG616" s="2018"/>
      <c r="EH616" s="2017" t="str">
        <f t="shared" si="20"/>
        <v xml:space="preserve"> </v>
      </c>
      <c r="EI616" s="2180"/>
      <c r="EJ616" s="2180"/>
      <c r="EK616" s="2180"/>
      <c r="EL616" s="2018"/>
      <c r="EM616" s="2017" t="str">
        <f t="shared" si="21"/>
        <v xml:space="preserve"> </v>
      </c>
      <c r="EN616" s="2180"/>
      <c r="EO616" s="2180"/>
      <c r="EP616" s="2180"/>
      <c r="EQ616" s="2018"/>
      <c r="ER616" s="2017" t="str">
        <f t="shared" si="22"/>
        <v xml:space="preserve"> </v>
      </c>
      <c r="ES616" s="2180"/>
      <c r="ET616" s="2180"/>
      <c r="EU616" s="2180"/>
      <c r="EV616" s="2018"/>
      <c r="EW616" s="2017" t="str">
        <f t="shared" si="23"/>
        <v xml:space="preserve"> </v>
      </c>
      <c r="EX616" s="2180"/>
      <c r="EY616" s="2180"/>
      <c r="EZ616" s="2180"/>
      <c r="FA616" s="2018"/>
    </row>
    <row r="617" spans="1:157" ht="12.75">
      <c r="A617" s="35"/>
      <c r="B617" s="12" t="s">
        <v>20</v>
      </c>
      <c r="N617" s="2036" t="s">
        <v>577</v>
      </c>
      <c r="O617" s="2036"/>
      <c r="T617" s="35"/>
      <c r="U617" s="12" t="s">
        <v>20</v>
      </c>
      <c r="AG617" s="2036" t="s">
        <v>705</v>
      </c>
      <c r="AH617" s="2036"/>
      <c r="AZ617" s="58"/>
      <c r="BA617" s="58"/>
      <c r="BB617" s="58"/>
      <c r="BC617" s="58"/>
      <c r="BD617" s="58"/>
      <c r="BE617" s="2017">
        <f t="shared" si="2"/>
        <v>1</v>
      </c>
      <c r="BF617" s="2018"/>
      <c r="BG617" s="2014">
        <f t="shared" si="3"/>
        <v>5</v>
      </c>
      <c r="BH617" s="2016"/>
      <c r="BI617" s="2017">
        <f t="shared" si="4"/>
        <v>0</v>
      </c>
      <c r="BJ617" s="2018"/>
      <c r="BK617" s="2014">
        <f t="shared" si="5"/>
        <v>0</v>
      </c>
      <c r="BL617" s="2016"/>
      <c r="BM617" s="58"/>
      <c r="BN617" s="2011">
        <f t="shared" si="6"/>
        <v>0</v>
      </c>
      <c r="BO617" s="2012"/>
      <c r="BP617" s="2012"/>
      <c r="BQ617" s="2012"/>
      <c r="BR617" s="2013"/>
      <c r="BS617" s="2010">
        <f t="shared" si="7"/>
        <v>0</v>
      </c>
      <c r="BT617" s="2010"/>
      <c r="BU617" s="2010"/>
      <c r="BV617" s="2010"/>
      <c r="BW617" s="2010"/>
      <c r="BX617" s="2010">
        <f t="shared" si="8"/>
        <v>5</v>
      </c>
      <c r="BY617" s="2010"/>
      <c r="BZ617" s="2010"/>
      <c r="CA617" s="2010"/>
      <c r="CB617" s="2010"/>
      <c r="CC617" s="2010">
        <f t="shared" si="9"/>
        <v>0</v>
      </c>
      <c r="CD617" s="2010"/>
      <c r="CE617" s="2010"/>
      <c r="CF617" s="2010"/>
      <c r="CG617" s="2010"/>
      <c r="CH617" s="2010">
        <f t="shared" si="10"/>
        <v>0</v>
      </c>
      <c r="CI617" s="2010"/>
      <c r="CJ617" s="2010"/>
      <c r="CK617" s="2010"/>
      <c r="CL617" s="2010"/>
      <c r="CM617" s="2010">
        <f t="shared" si="11"/>
        <v>0</v>
      </c>
      <c r="CN617" s="2010"/>
      <c r="CO617" s="2010"/>
      <c r="CP617" s="2010"/>
      <c r="CQ617" s="2010"/>
      <c r="CR617" s="265"/>
      <c r="CS617" s="2367">
        <f t="shared" si="12"/>
        <v>0</v>
      </c>
      <c r="CT617" s="2367"/>
      <c r="CU617" s="2367"/>
      <c r="CV617" s="2367"/>
      <c r="CW617" s="2367"/>
      <c r="CX617" s="2367">
        <f t="shared" si="13"/>
        <v>0</v>
      </c>
      <c r="CY617" s="2367"/>
      <c r="CZ617" s="2367"/>
      <c r="DA617" s="2367"/>
      <c r="DB617" s="2367"/>
      <c r="DC617" s="2367">
        <f t="shared" si="14"/>
        <v>0</v>
      </c>
      <c r="DD617" s="2367"/>
      <c r="DE617" s="2367"/>
      <c r="DF617" s="2367"/>
      <c r="DG617" s="2367"/>
      <c r="DH617" s="2367">
        <f t="shared" si="15"/>
        <v>0</v>
      </c>
      <c r="DI617" s="2367"/>
      <c r="DJ617" s="2367"/>
      <c r="DK617" s="2367"/>
      <c r="DL617" s="2367"/>
      <c r="DM617" s="2367">
        <f t="shared" si="16"/>
        <v>0</v>
      </c>
      <c r="DN617" s="2367"/>
      <c r="DO617" s="2367"/>
      <c r="DP617" s="2367"/>
      <c r="DQ617" s="2367"/>
      <c r="DR617" s="2367">
        <f t="shared" si="17"/>
        <v>0</v>
      </c>
      <c r="DS617" s="2367"/>
      <c r="DT617" s="2367"/>
      <c r="DU617" s="2367"/>
      <c r="DV617" s="2367"/>
      <c r="DX617" s="2017" t="str">
        <f t="shared" si="18"/>
        <v xml:space="preserve"> </v>
      </c>
      <c r="DY617" s="2180"/>
      <c r="DZ617" s="2180"/>
      <c r="EA617" s="2180"/>
      <c r="EB617" s="2018"/>
      <c r="EC617" s="2017" t="str">
        <f t="shared" si="19"/>
        <v xml:space="preserve"> </v>
      </c>
      <c r="ED617" s="2180"/>
      <c r="EE617" s="2180"/>
      <c r="EF617" s="2180"/>
      <c r="EG617" s="2018"/>
      <c r="EH617" s="2017">
        <f t="shared" si="20"/>
        <v>1238</v>
      </c>
      <c r="EI617" s="2180"/>
      <c r="EJ617" s="2180"/>
      <c r="EK617" s="2180"/>
      <c r="EL617" s="2018"/>
      <c r="EM617" s="2017" t="str">
        <f t="shared" si="21"/>
        <v xml:space="preserve"> </v>
      </c>
      <c r="EN617" s="2180"/>
      <c r="EO617" s="2180"/>
      <c r="EP617" s="2180"/>
      <c r="EQ617" s="2018"/>
      <c r="ER617" s="2017" t="str">
        <f t="shared" si="22"/>
        <v xml:space="preserve"> </v>
      </c>
      <c r="ES617" s="2180"/>
      <c r="ET617" s="2180"/>
      <c r="EU617" s="2180"/>
      <c r="EV617" s="2018"/>
      <c r="EW617" s="2017" t="str">
        <f t="shared" si="23"/>
        <v xml:space="preserve"> </v>
      </c>
      <c r="EX617" s="2180"/>
      <c r="EY617" s="2180"/>
      <c r="EZ617" s="2180"/>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2"/>
        <v>0</v>
      </c>
      <c r="BF618" s="2018"/>
      <c r="BG618" s="2014">
        <f t="shared" si="3"/>
        <v>0</v>
      </c>
      <c r="BH618" s="2016"/>
      <c r="BI618" s="2017">
        <f t="shared" si="4"/>
        <v>0</v>
      </c>
      <c r="BJ618" s="2018"/>
      <c r="BK618" s="2014">
        <f t="shared" si="5"/>
        <v>0</v>
      </c>
      <c r="BL618" s="2016"/>
      <c r="BM618" s="58"/>
      <c r="BN618" s="2011">
        <f t="shared" si="6"/>
        <v>0</v>
      </c>
      <c r="BO618" s="2012"/>
      <c r="BP618" s="2012"/>
      <c r="BQ618" s="2012"/>
      <c r="BR618" s="2013"/>
      <c r="BS618" s="2010">
        <f t="shared" si="7"/>
        <v>0</v>
      </c>
      <c r="BT618" s="2010"/>
      <c r="BU618" s="2010"/>
      <c r="BV618" s="2010"/>
      <c r="BW618" s="2010"/>
      <c r="BX618" s="2010">
        <f t="shared" si="8"/>
        <v>40</v>
      </c>
      <c r="BY618" s="2010"/>
      <c r="BZ618" s="2010"/>
      <c r="CA618" s="2010"/>
      <c r="CB618" s="2010"/>
      <c r="CC618" s="2010">
        <f t="shared" si="9"/>
        <v>0</v>
      </c>
      <c r="CD618" s="2010"/>
      <c r="CE618" s="2010"/>
      <c r="CF618" s="2010"/>
      <c r="CG618" s="2010"/>
      <c r="CH618" s="2010">
        <f t="shared" si="10"/>
        <v>0</v>
      </c>
      <c r="CI618" s="2010"/>
      <c r="CJ618" s="2010"/>
      <c r="CK618" s="2010"/>
      <c r="CL618" s="2010"/>
      <c r="CM618" s="2010">
        <f t="shared" si="11"/>
        <v>0</v>
      </c>
      <c r="CN618" s="2010"/>
      <c r="CO618" s="2010"/>
      <c r="CP618" s="2010"/>
      <c r="CQ618" s="2010"/>
      <c r="CR618" s="265"/>
      <c r="CS618" s="2367">
        <f t="shared" si="12"/>
        <v>0</v>
      </c>
      <c r="CT618" s="2367"/>
      <c r="CU618" s="2367"/>
      <c r="CV618" s="2367"/>
      <c r="CW618" s="2367"/>
      <c r="CX618" s="2367">
        <f t="shared" si="13"/>
        <v>0</v>
      </c>
      <c r="CY618" s="2367"/>
      <c r="CZ618" s="2367"/>
      <c r="DA618" s="2367"/>
      <c r="DB618" s="2367"/>
      <c r="DC618" s="2367">
        <f t="shared" si="14"/>
        <v>0</v>
      </c>
      <c r="DD618" s="2367"/>
      <c r="DE618" s="2367"/>
      <c r="DF618" s="2367"/>
      <c r="DG618" s="2367"/>
      <c r="DH618" s="2367">
        <f t="shared" si="15"/>
        <v>0</v>
      </c>
      <c r="DI618" s="2367"/>
      <c r="DJ618" s="2367"/>
      <c r="DK618" s="2367"/>
      <c r="DL618" s="2367"/>
      <c r="DM618" s="2367">
        <f t="shared" si="16"/>
        <v>0</v>
      </c>
      <c r="DN618" s="2367"/>
      <c r="DO618" s="2367"/>
      <c r="DP618" s="2367"/>
      <c r="DQ618" s="2367"/>
      <c r="DR618" s="2367">
        <f t="shared" si="17"/>
        <v>0</v>
      </c>
      <c r="DS618" s="2367"/>
      <c r="DT618" s="2367"/>
      <c r="DU618" s="2367"/>
      <c r="DV618" s="2367"/>
      <c r="DX618" s="2017" t="str">
        <f t="shared" si="18"/>
        <v xml:space="preserve"> </v>
      </c>
      <c r="DY618" s="2180"/>
      <c r="DZ618" s="2180"/>
      <c r="EA618" s="2180"/>
      <c r="EB618" s="2018"/>
      <c r="EC618" s="2017" t="str">
        <f t="shared" si="19"/>
        <v xml:space="preserve"> </v>
      </c>
      <c r="ED618" s="2180"/>
      <c r="EE618" s="2180"/>
      <c r="EF618" s="2180"/>
      <c r="EG618" s="2018"/>
      <c r="EH618" s="2017">
        <f t="shared" si="20"/>
        <v>2036</v>
      </c>
      <c r="EI618" s="2180"/>
      <c r="EJ618" s="2180"/>
      <c r="EK618" s="2180"/>
      <c r="EL618" s="2018"/>
      <c r="EM618" s="2017" t="str">
        <f t="shared" si="21"/>
        <v xml:space="preserve"> </v>
      </c>
      <c r="EN618" s="2180"/>
      <c r="EO618" s="2180"/>
      <c r="EP618" s="2180"/>
      <c r="EQ618" s="2018"/>
      <c r="ER618" s="2017" t="str">
        <f t="shared" si="22"/>
        <v xml:space="preserve"> </v>
      </c>
      <c r="ES618" s="2180"/>
      <c r="ET618" s="2180"/>
      <c r="EU618" s="2180"/>
      <c r="EV618" s="2018"/>
      <c r="EW618" s="2017" t="str">
        <f t="shared" si="23"/>
        <v xml:space="preserve"> </v>
      </c>
      <c r="EX618" s="2180"/>
      <c r="EY618" s="2180"/>
      <c r="EZ618" s="2180"/>
      <c r="FA618" s="2018"/>
    </row>
    <row r="619" spans="1:157" s="7" customFormat="1" ht="12.75">
      <c r="A619" s="87" t="s">
        <v>371</v>
      </c>
      <c r="B619" s="12" t="s">
        <v>495</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495</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2"/>
        <v>0</v>
      </c>
      <c r="BF619" s="2018"/>
      <c r="BG619" s="2014">
        <f t="shared" si="3"/>
        <v>0</v>
      </c>
      <c r="BH619" s="2016"/>
      <c r="BI619" s="2017">
        <f t="shared" si="4"/>
        <v>0</v>
      </c>
      <c r="BJ619" s="2018"/>
      <c r="BK619" s="2014">
        <f t="shared" si="5"/>
        <v>0</v>
      </c>
      <c r="BL619" s="2016"/>
      <c r="BM619" s="58"/>
      <c r="BN619" s="2011">
        <f t="shared" si="6"/>
        <v>0</v>
      </c>
      <c r="BO619" s="2012"/>
      <c r="BP619" s="2012"/>
      <c r="BQ619" s="2012"/>
      <c r="BR619" s="2013"/>
      <c r="BS619" s="2010">
        <f t="shared" si="7"/>
        <v>0</v>
      </c>
      <c r="BT619" s="2010"/>
      <c r="BU619" s="2010"/>
      <c r="BV619" s="2010"/>
      <c r="BW619" s="2010"/>
      <c r="BX619" s="2010">
        <f t="shared" si="8"/>
        <v>0</v>
      </c>
      <c r="BY619" s="2010"/>
      <c r="BZ619" s="2010"/>
      <c r="CA619" s="2010"/>
      <c r="CB619" s="2010"/>
      <c r="CC619" s="2010">
        <f t="shared" si="9"/>
        <v>0</v>
      </c>
      <c r="CD619" s="2010"/>
      <c r="CE619" s="2010"/>
      <c r="CF619" s="2010"/>
      <c r="CG619" s="2010"/>
      <c r="CH619" s="2010">
        <f t="shared" si="10"/>
        <v>0</v>
      </c>
      <c r="CI619" s="2010"/>
      <c r="CJ619" s="2010"/>
      <c r="CK619" s="2010"/>
      <c r="CL619" s="2010"/>
      <c r="CM619" s="2010">
        <f t="shared" si="11"/>
        <v>0</v>
      </c>
      <c r="CN619" s="2010"/>
      <c r="CO619" s="2010"/>
      <c r="CP619" s="2010"/>
      <c r="CQ619" s="2010"/>
      <c r="CR619" s="265"/>
      <c r="CS619" s="2367">
        <f t="shared" si="12"/>
        <v>0</v>
      </c>
      <c r="CT619" s="2367"/>
      <c r="CU619" s="2367"/>
      <c r="CV619" s="2367"/>
      <c r="CW619" s="2367"/>
      <c r="CX619" s="2367">
        <f t="shared" si="13"/>
        <v>0</v>
      </c>
      <c r="CY619" s="2367"/>
      <c r="CZ619" s="2367"/>
      <c r="DA619" s="2367"/>
      <c r="DB619" s="2367"/>
      <c r="DC619" s="2367">
        <f t="shared" si="14"/>
        <v>0</v>
      </c>
      <c r="DD619" s="2367"/>
      <c r="DE619" s="2367"/>
      <c r="DF619" s="2367"/>
      <c r="DG619" s="2367"/>
      <c r="DH619" s="2367">
        <f t="shared" si="15"/>
        <v>0</v>
      </c>
      <c r="DI619" s="2367"/>
      <c r="DJ619" s="2367"/>
      <c r="DK619" s="2367"/>
      <c r="DL619" s="2367"/>
      <c r="DM619" s="2367">
        <f t="shared" si="16"/>
        <v>0</v>
      </c>
      <c r="DN619" s="2367"/>
      <c r="DO619" s="2367"/>
      <c r="DP619" s="2367"/>
      <c r="DQ619" s="2367"/>
      <c r="DR619" s="2367">
        <f t="shared" si="17"/>
        <v>0</v>
      </c>
      <c r="DS619" s="2367"/>
      <c r="DT619" s="2367"/>
      <c r="DU619" s="2367"/>
      <c r="DV619" s="2367"/>
      <c r="DX619" s="2017" t="str">
        <f t="shared" si="18"/>
        <v xml:space="preserve"> </v>
      </c>
      <c r="DY619" s="2180"/>
      <c r="DZ619" s="2180"/>
      <c r="EA619" s="2180"/>
      <c r="EB619" s="2018"/>
      <c r="EC619" s="2017" t="str">
        <f t="shared" si="19"/>
        <v xml:space="preserve"> </v>
      </c>
      <c r="ED619" s="2180"/>
      <c r="EE619" s="2180"/>
      <c r="EF619" s="2180"/>
      <c r="EG619" s="2018"/>
      <c r="EH619" s="2017" t="str">
        <f t="shared" si="20"/>
        <v xml:space="preserve"> </v>
      </c>
      <c r="EI619" s="2180"/>
      <c r="EJ619" s="2180"/>
      <c r="EK619" s="2180"/>
      <c r="EL619" s="2018"/>
      <c r="EM619" s="2017" t="str">
        <f t="shared" si="21"/>
        <v xml:space="preserve"> </v>
      </c>
      <c r="EN619" s="2180"/>
      <c r="EO619" s="2180"/>
      <c r="EP619" s="2180"/>
      <c r="EQ619" s="2018"/>
      <c r="ER619" s="2017" t="str">
        <f t="shared" si="22"/>
        <v xml:space="preserve"> </v>
      </c>
      <c r="ES619" s="2180"/>
      <c r="ET619" s="2180"/>
      <c r="EU619" s="2180"/>
      <c r="EV619" s="2018"/>
      <c r="EW619" s="2017" t="str">
        <f t="shared" si="23"/>
        <v xml:space="preserve"> </v>
      </c>
      <c r="EX619" s="2180"/>
      <c r="EY619" s="2180"/>
      <c r="EZ619" s="2180"/>
      <c r="FA619" s="2018"/>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2"/>
        <v>0</v>
      </c>
      <c r="BF620" s="2018"/>
      <c r="BG620" s="2014">
        <f t="shared" si="3"/>
        <v>0</v>
      </c>
      <c r="BH620" s="2016"/>
      <c r="BI620" s="2017">
        <f t="shared" si="4"/>
        <v>0</v>
      </c>
      <c r="BJ620" s="2018"/>
      <c r="BK620" s="2014">
        <f t="shared" si="5"/>
        <v>0</v>
      </c>
      <c r="BL620" s="2016"/>
      <c r="BM620" s="58"/>
      <c r="BN620" s="2011">
        <f t="shared" si="6"/>
        <v>0</v>
      </c>
      <c r="BO620" s="2012"/>
      <c r="BP620" s="2012"/>
      <c r="BQ620" s="2012"/>
      <c r="BR620" s="2013"/>
      <c r="BS620" s="2010">
        <f t="shared" si="7"/>
        <v>0</v>
      </c>
      <c r="BT620" s="2010"/>
      <c r="BU620" s="2010"/>
      <c r="BV620" s="2010"/>
      <c r="BW620" s="2010"/>
      <c r="BX620" s="2010">
        <f t="shared" si="8"/>
        <v>0</v>
      </c>
      <c r="BY620" s="2010"/>
      <c r="BZ620" s="2010"/>
      <c r="CA620" s="2010"/>
      <c r="CB620" s="2010"/>
      <c r="CC620" s="2010">
        <f t="shared" si="9"/>
        <v>0</v>
      </c>
      <c r="CD620" s="2010"/>
      <c r="CE620" s="2010"/>
      <c r="CF620" s="2010"/>
      <c r="CG620" s="2010"/>
      <c r="CH620" s="2010">
        <f t="shared" si="10"/>
        <v>0</v>
      </c>
      <c r="CI620" s="2010"/>
      <c r="CJ620" s="2010"/>
      <c r="CK620" s="2010"/>
      <c r="CL620" s="2010"/>
      <c r="CM620" s="2010">
        <f t="shared" si="11"/>
        <v>0</v>
      </c>
      <c r="CN620" s="2010"/>
      <c r="CO620" s="2010"/>
      <c r="CP620" s="2010"/>
      <c r="CQ620" s="2010"/>
      <c r="CR620" s="265"/>
      <c r="CS620" s="2367">
        <f t="shared" si="12"/>
        <v>0</v>
      </c>
      <c r="CT620" s="2367"/>
      <c r="CU620" s="2367"/>
      <c r="CV620" s="2367"/>
      <c r="CW620" s="2367"/>
      <c r="CX620" s="2367">
        <f t="shared" si="13"/>
        <v>0</v>
      </c>
      <c r="CY620" s="2367"/>
      <c r="CZ620" s="2367"/>
      <c r="DA620" s="2367"/>
      <c r="DB620" s="2367"/>
      <c r="DC620" s="2367">
        <f t="shared" si="14"/>
        <v>0</v>
      </c>
      <c r="DD620" s="2367"/>
      <c r="DE620" s="2367"/>
      <c r="DF620" s="2367"/>
      <c r="DG620" s="2367"/>
      <c r="DH620" s="2367">
        <f t="shared" si="15"/>
        <v>0</v>
      </c>
      <c r="DI620" s="2367"/>
      <c r="DJ620" s="2367"/>
      <c r="DK620" s="2367"/>
      <c r="DL620" s="2367"/>
      <c r="DM620" s="2367">
        <f t="shared" si="16"/>
        <v>0</v>
      </c>
      <c r="DN620" s="2367"/>
      <c r="DO620" s="2367"/>
      <c r="DP620" s="2367"/>
      <c r="DQ620" s="2367"/>
      <c r="DR620" s="2367">
        <f t="shared" si="17"/>
        <v>0</v>
      </c>
      <c r="DS620" s="2367"/>
      <c r="DT620" s="2367"/>
      <c r="DU620" s="2367"/>
      <c r="DV620" s="2367"/>
      <c r="DX620" s="2017" t="str">
        <f t="shared" si="18"/>
        <v xml:space="preserve"> </v>
      </c>
      <c r="DY620" s="2180"/>
      <c r="DZ620" s="2180"/>
      <c r="EA620" s="2180"/>
      <c r="EB620" s="2018"/>
      <c r="EC620" s="2017" t="str">
        <f t="shared" si="19"/>
        <v xml:space="preserve"> </v>
      </c>
      <c r="ED620" s="2180"/>
      <c r="EE620" s="2180"/>
      <c r="EF620" s="2180"/>
      <c r="EG620" s="2018"/>
      <c r="EH620" s="2017" t="str">
        <f t="shared" si="20"/>
        <v xml:space="preserve"> </v>
      </c>
      <c r="EI620" s="2180"/>
      <c r="EJ620" s="2180"/>
      <c r="EK620" s="2180"/>
      <c r="EL620" s="2018"/>
      <c r="EM620" s="2017" t="str">
        <f t="shared" si="21"/>
        <v xml:space="preserve"> </v>
      </c>
      <c r="EN620" s="2180"/>
      <c r="EO620" s="2180"/>
      <c r="EP620" s="2180"/>
      <c r="EQ620" s="2018"/>
      <c r="ER620" s="2017" t="str">
        <f t="shared" si="22"/>
        <v xml:space="preserve"> </v>
      </c>
      <c r="ES620" s="2180"/>
      <c r="ET620" s="2180"/>
      <c r="EU620" s="2180"/>
      <c r="EV620" s="2018"/>
      <c r="EW620" s="2017" t="str">
        <f t="shared" si="23"/>
        <v xml:space="preserve"> </v>
      </c>
      <c r="EX620" s="2180"/>
      <c r="EY620" s="2180"/>
      <c r="EZ620" s="2180"/>
      <c r="FA620" s="2018"/>
    </row>
    <row r="621" spans="1:157" ht="12.75">
      <c r="B621" s="12" t="s">
        <v>614</v>
      </c>
      <c r="G621" s="2037"/>
      <c r="H621" s="2037"/>
      <c r="I621" s="2037"/>
      <c r="J621" s="2037"/>
      <c r="K621" s="2037"/>
      <c r="L621" s="2037"/>
      <c r="M621" s="2037"/>
      <c r="N621" s="2037"/>
      <c r="O621" s="2037"/>
      <c r="P621" s="2037"/>
      <c r="Q621" s="2037"/>
      <c r="R621" s="2037"/>
      <c r="U621" s="12" t="s">
        <v>614</v>
      </c>
      <c r="Z621" s="2039"/>
      <c r="AA621" s="2039"/>
      <c r="AB621" s="2039"/>
      <c r="AC621" s="2039"/>
      <c r="AD621" s="2039"/>
      <c r="AE621" s="2039"/>
      <c r="AF621" s="2039"/>
      <c r="AG621" s="2039"/>
      <c r="AH621" s="2039"/>
      <c r="AI621" s="2039"/>
      <c r="AJ621" s="2039"/>
      <c r="AK621" s="2039"/>
      <c r="AZ621" s="58"/>
      <c r="BA621" s="58"/>
      <c r="BB621" s="58"/>
      <c r="BC621" s="58"/>
      <c r="BD621" s="58"/>
      <c r="BE621" s="2017">
        <f t="shared" si="2"/>
        <v>0</v>
      </c>
      <c r="BF621" s="2018"/>
      <c r="BG621" s="2014">
        <f t="shared" si="3"/>
        <v>0</v>
      </c>
      <c r="BH621" s="2016"/>
      <c r="BI621" s="2017">
        <f t="shared" si="4"/>
        <v>0</v>
      </c>
      <c r="BJ621" s="2018"/>
      <c r="BK621" s="2014">
        <f t="shared" si="5"/>
        <v>0</v>
      </c>
      <c r="BL621" s="2016"/>
      <c r="BM621" s="58"/>
      <c r="BN621" s="2011">
        <f t="shared" si="6"/>
        <v>0</v>
      </c>
      <c r="BO621" s="2012"/>
      <c r="BP621" s="2012"/>
      <c r="BQ621" s="2012"/>
      <c r="BR621" s="2013"/>
      <c r="BS621" s="2010">
        <f t="shared" si="7"/>
        <v>0</v>
      </c>
      <c r="BT621" s="2010"/>
      <c r="BU621" s="2010"/>
      <c r="BV621" s="2010"/>
      <c r="BW621" s="2010"/>
      <c r="BX621" s="2010">
        <f t="shared" si="8"/>
        <v>0</v>
      </c>
      <c r="BY621" s="2010"/>
      <c r="BZ621" s="2010"/>
      <c r="CA621" s="2010"/>
      <c r="CB621" s="2010"/>
      <c r="CC621" s="2010">
        <f t="shared" si="9"/>
        <v>0</v>
      </c>
      <c r="CD621" s="2010"/>
      <c r="CE621" s="2010"/>
      <c r="CF621" s="2010"/>
      <c r="CG621" s="2010"/>
      <c r="CH621" s="2010">
        <f t="shared" si="10"/>
        <v>0</v>
      </c>
      <c r="CI621" s="2010"/>
      <c r="CJ621" s="2010"/>
      <c r="CK621" s="2010"/>
      <c r="CL621" s="2010"/>
      <c r="CM621" s="2010">
        <f t="shared" si="11"/>
        <v>0</v>
      </c>
      <c r="CN621" s="2010"/>
      <c r="CO621" s="2010"/>
      <c r="CP621" s="2010"/>
      <c r="CQ621" s="2010"/>
      <c r="CR621" s="265"/>
      <c r="CS621" s="2367">
        <f t="shared" si="12"/>
        <v>0</v>
      </c>
      <c r="CT621" s="2367"/>
      <c r="CU621" s="2367"/>
      <c r="CV621" s="2367"/>
      <c r="CW621" s="2367"/>
      <c r="CX621" s="2367">
        <f t="shared" si="13"/>
        <v>0</v>
      </c>
      <c r="CY621" s="2367"/>
      <c r="CZ621" s="2367"/>
      <c r="DA621" s="2367"/>
      <c r="DB621" s="2367"/>
      <c r="DC621" s="2367">
        <f t="shared" si="14"/>
        <v>0</v>
      </c>
      <c r="DD621" s="2367"/>
      <c r="DE621" s="2367"/>
      <c r="DF621" s="2367"/>
      <c r="DG621" s="2367"/>
      <c r="DH621" s="2367">
        <f t="shared" si="15"/>
        <v>0</v>
      </c>
      <c r="DI621" s="2367"/>
      <c r="DJ621" s="2367"/>
      <c r="DK621" s="2367"/>
      <c r="DL621" s="2367"/>
      <c r="DM621" s="2367">
        <f t="shared" si="16"/>
        <v>0</v>
      </c>
      <c r="DN621" s="2367"/>
      <c r="DO621" s="2367"/>
      <c r="DP621" s="2367"/>
      <c r="DQ621" s="2367"/>
      <c r="DR621" s="2367">
        <f t="shared" si="17"/>
        <v>0</v>
      </c>
      <c r="DS621" s="2367"/>
      <c r="DT621" s="2367"/>
      <c r="DU621" s="2367"/>
      <c r="DV621" s="2367"/>
      <c r="DX621" s="2017" t="str">
        <f t="shared" si="18"/>
        <v xml:space="preserve"> </v>
      </c>
      <c r="DY621" s="2180"/>
      <c r="DZ621" s="2180"/>
      <c r="EA621" s="2180"/>
      <c r="EB621" s="2018"/>
      <c r="EC621" s="2017" t="str">
        <f t="shared" si="19"/>
        <v xml:space="preserve"> </v>
      </c>
      <c r="ED621" s="2180"/>
      <c r="EE621" s="2180"/>
      <c r="EF621" s="2180"/>
      <c r="EG621" s="2018"/>
      <c r="EH621" s="2017" t="str">
        <f t="shared" si="20"/>
        <v xml:space="preserve"> </v>
      </c>
      <c r="EI621" s="2180"/>
      <c r="EJ621" s="2180"/>
      <c r="EK621" s="2180"/>
      <c r="EL621" s="2018"/>
      <c r="EM621" s="2017" t="str">
        <f t="shared" si="21"/>
        <v xml:space="preserve"> </v>
      </c>
      <c r="EN621" s="2180"/>
      <c r="EO621" s="2180"/>
      <c r="EP621" s="2180"/>
      <c r="EQ621" s="2018"/>
      <c r="ER621" s="2017" t="str">
        <f t="shared" si="22"/>
        <v xml:space="preserve"> </v>
      </c>
      <c r="ES621" s="2180"/>
      <c r="ET621" s="2180"/>
      <c r="EU621" s="2180"/>
      <c r="EV621" s="2018"/>
      <c r="EW621" s="2017" t="str">
        <f t="shared" si="23"/>
        <v xml:space="preserve"> </v>
      </c>
      <c r="EX621" s="2180"/>
      <c r="EY621" s="2180"/>
      <c r="EZ621" s="2180"/>
      <c r="FA621" s="2018"/>
    </row>
    <row r="622" spans="1:157" ht="12.75">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2"/>
        <v>0</v>
      </c>
      <c r="BF622" s="2018"/>
      <c r="BG622" s="2014">
        <f t="shared" si="3"/>
        <v>0</v>
      </c>
      <c r="BH622" s="2016"/>
      <c r="BI622" s="2017">
        <f t="shared" si="4"/>
        <v>0</v>
      </c>
      <c r="BJ622" s="2018"/>
      <c r="BK622" s="2014">
        <f t="shared" si="5"/>
        <v>0</v>
      </c>
      <c r="BL622" s="2016"/>
      <c r="BM622" s="58"/>
      <c r="BN622" s="2011">
        <f t="shared" si="6"/>
        <v>0</v>
      </c>
      <c r="BO622" s="2012"/>
      <c r="BP622" s="2012"/>
      <c r="BQ622" s="2012"/>
      <c r="BR622" s="2013"/>
      <c r="BS622" s="2010">
        <f t="shared" si="7"/>
        <v>0</v>
      </c>
      <c r="BT622" s="2010"/>
      <c r="BU622" s="2010"/>
      <c r="BV622" s="2010"/>
      <c r="BW622" s="2010"/>
      <c r="BX622" s="2010">
        <f t="shared" si="8"/>
        <v>0</v>
      </c>
      <c r="BY622" s="2010"/>
      <c r="BZ622" s="2010"/>
      <c r="CA622" s="2010"/>
      <c r="CB622" s="2010"/>
      <c r="CC622" s="2010">
        <f t="shared" si="9"/>
        <v>0</v>
      </c>
      <c r="CD622" s="2010"/>
      <c r="CE622" s="2010"/>
      <c r="CF622" s="2010"/>
      <c r="CG622" s="2010"/>
      <c r="CH622" s="2010">
        <f t="shared" si="10"/>
        <v>0</v>
      </c>
      <c r="CI622" s="2010"/>
      <c r="CJ622" s="2010"/>
      <c r="CK622" s="2010"/>
      <c r="CL622" s="2010"/>
      <c r="CM622" s="2010">
        <f t="shared" si="11"/>
        <v>0</v>
      </c>
      <c r="CN622" s="2010"/>
      <c r="CO622" s="2010"/>
      <c r="CP622" s="2010"/>
      <c r="CQ622" s="2010"/>
      <c r="CR622" s="265"/>
      <c r="CS622" s="2367">
        <f t="shared" si="12"/>
        <v>0</v>
      </c>
      <c r="CT622" s="2367"/>
      <c r="CU622" s="2367"/>
      <c r="CV622" s="2367"/>
      <c r="CW622" s="2367"/>
      <c r="CX622" s="2367">
        <f t="shared" si="13"/>
        <v>0</v>
      </c>
      <c r="CY622" s="2367"/>
      <c r="CZ622" s="2367"/>
      <c r="DA622" s="2367"/>
      <c r="DB622" s="2367"/>
      <c r="DC622" s="2367">
        <f t="shared" si="14"/>
        <v>0</v>
      </c>
      <c r="DD622" s="2367"/>
      <c r="DE622" s="2367"/>
      <c r="DF622" s="2367"/>
      <c r="DG622" s="2367"/>
      <c r="DH622" s="2367">
        <f t="shared" si="15"/>
        <v>0</v>
      </c>
      <c r="DI622" s="2367"/>
      <c r="DJ622" s="2367"/>
      <c r="DK622" s="2367"/>
      <c r="DL622" s="2367"/>
      <c r="DM622" s="2367">
        <f t="shared" si="16"/>
        <v>0</v>
      </c>
      <c r="DN622" s="2367"/>
      <c r="DO622" s="2367"/>
      <c r="DP622" s="2367"/>
      <c r="DQ622" s="2367"/>
      <c r="DR622" s="2367">
        <f t="shared" si="17"/>
        <v>0</v>
      </c>
      <c r="DS622" s="2367"/>
      <c r="DT622" s="2367"/>
      <c r="DU622" s="2367"/>
      <c r="DV622" s="2367"/>
      <c r="DX622" s="2017" t="str">
        <f t="shared" si="18"/>
        <v xml:space="preserve"> </v>
      </c>
      <c r="DY622" s="2180"/>
      <c r="DZ622" s="2180"/>
      <c r="EA622" s="2180"/>
      <c r="EB622" s="2018"/>
      <c r="EC622" s="2017" t="str">
        <f t="shared" si="19"/>
        <v xml:space="preserve"> </v>
      </c>
      <c r="ED622" s="2180"/>
      <c r="EE622" s="2180"/>
      <c r="EF622" s="2180"/>
      <c r="EG622" s="2018"/>
      <c r="EH622" s="2017" t="str">
        <f t="shared" si="20"/>
        <v xml:space="preserve"> </v>
      </c>
      <c r="EI622" s="2180"/>
      <c r="EJ622" s="2180"/>
      <c r="EK622" s="2180"/>
      <c r="EL622" s="2018"/>
      <c r="EM622" s="2017" t="str">
        <f t="shared" si="21"/>
        <v xml:space="preserve"> </v>
      </c>
      <c r="EN622" s="2180"/>
      <c r="EO622" s="2180"/>
      <c r="EP622" s="2180"/>
      <c r="EQ622" s="2018"/>
      <c r="ER622" s="2017" t="str">
        <f t="shared" si="22"/>
        <v xml:space="preserve"> </v>
      </c>
      <c r="ES622" s="2180"/>
      <c r="ET622" s="2180"/>
      <c r="EU622" s="2180"/>
      <c r="EV622" s="2018"/>
      <c r="EW622" s="2017" t="str">
        <f t="shared" si="23"/>
        <v xml:space="preserve"> </v>
      </c>
      <c r="EX622" s="2180"/>
      <c r="EY622" s="2180"/>
      <c r="EZ622" s="2180"/>
      <c r="FA622" s="2018"/>
    </row>
    <row r="623" spans="1:157" ht="12.75">
      <c r="B623" s="12" t="s">
        <v>324</v>
      </c>
      <c r="G623" s="2063"/>
      <c r="H623" s="2063"/>
      <c r="I623" s="2063"/>
      <c r="J623" s="2063"/>
      <c r="K623" s="2063"/>
      <c r="L623" s="2063"/>
      <c r="O623" s="137" t="s">
        <v>211</v>
      </c>
      <c r="P623" s="2028"/>
      <c r="Q623" s="2028"/>
      <c r="R623" s="2028"/>
      <c r="U623" s="12" t="s">
        <v>324</v>
      </c>
      <c r="Z623" s="2063"/>
      <c r="AA623" s="2063"/>
      <c r="AB623" s="2063"/>
      <c r="AC623" s="2063"/>
      <c r="AD623" s="2063"/>
      <c r="AE623" s="2063"/>
      <c r="AH623" s="137" t="s">
        <v>211</v>
      </c>
      <c r="AI623" s="2028"/>
      <c r="AJ623" s="2028"/>
      <c r="AK623" s="2028"/>
      <c r="AZ623" s="58"/>
      <c r="BA623" s="58"/>
      <c r="BB623" s="58"/>
      <c r="BC623" s="58"/>
      <c r="BD623" s="58"/>
      <c r="BE623" s="2017">
        <f t="shared" si="2"/>
        <v>0</v>
      </c>
      <c r="BF623" s="2018"/>
      <c r="BG623" s="2014">
        <f t="shared" si="3"/>
        <v>0</v>
      </c>
      <c r="BH623" s="2016"/>
      <c r="BI623" s="2017">
        <f t="shared" si="4"/>
        <v>0</v>
      </c>
      <c r="BJ623" s="2018"/>
      <c r="BK623" s="2014">
        <f t="shared" si="5"/>
        <v>0</v>
      </c>
      <c r="BL623" s="2016"/>
      <c r="BM623" s="58"/>
      <c r="BN623" s="2011">
        <f t="shared" si="6"/>
        <v>0</v>
      </c>
      <c r="BO623" s="2012"/>
      <c r="BP623" s="2012"/>
      <c r="BQ623" s="2012"/>
      <c r="BR623" s="2013"/>
      <c r="BS623" s="2010">
        <f t="shared" si="7"/>
        <v>0</v>
      </c>
      <c r="BT623" s="2010"/>
      <c r="BU623" s="2010"/>
      <c r="BV623" s="2010"/>
      <c r="BW623" s="2010"/>
      <c r="BX623" s="2010">
        <f t="shared" si="8"/>
        <v>0</v>
      </c>
      <c r="BY623" s="2010"/>
      <c r="BZ623" s="2010"/>
      <c r="CA623" s="2010"/>
      <c r="CB623" s="2010"/>
      <c r="CC623" s="2010">
        <f t="shared" si="9"/>
        <v>0</v>
      </c>
      <c r="CD623" s="2010"/>
      <c r="CE623" s="2010"/>
      <c r="CF623" s="2010"/>
      <c r="CG623" s="2010"/>
      <c r="CH623" s="2010">
        <f t="shared" si="10"/>
        <v>0</v>
      </c>
      <c r="CI623" s="2010"/>
      <c r="CJ623" s="2010"/>
      <c r="CK623" s="2010"/>
      <c r="CL623" s="2010"/>
      <c r="CM623" s="2010">
        <f t="shared" si="11"/>
        <v>0</v>
      </c>
      <c r="CN623" s="2010"/>
      <c r="CO623" s="2010"/>
      <c r="CP623" s="2010"/>
      <c r="CQ623" s="2010"/>
      <c r="CR623" s="265"/>
      <c r="CS623" s="2367">
        <f t="shared" si="12"/>
        <v>0</v>
      </c>
      <c r="CT623" s="2367"/>
      <c r="CU623" s="2367"/>
      <c r="CV623" s="2367"/>
      <c r="CW623" s="2367"/>
      <c r="CX623" s="2367">
        <f t="shared" si="13"/>
        <v>0</v>
      </c>
      <c r="CY623" s="2367"/>
      <c r="CZ623" s="2367"/>
      <c r="DA623" s="2367"/>
      <c r="DB623" s="2367"/>
      <c r="DC623" s="2367">
        <f t="shared" si="14"/>
        <v>0</v>
      </c>
      <c r="DD623" s="2367"/>
      <c r="DE623" s="2367"/>
      <c r="DF623" s="2367"/>
      <c r="DG623" s="2367"/>
      <c r="DH623" s="2367">
        <f t="shared" si="15"/>
        <v>0</v>
      </c>
      <c r="DI623" s="2367"/>
      <c r="DJ623" s="2367"/>
      <c r="DK623" s="2367"/>
      <c r="DL623" s="2367"/>
      <c r="DM623" s="2367">
        <f t="shared" si="16"/>
        <v>0</v>
      </c>
      <c r="DN623" s="2367"/>
      <c r="DO623" s="2367"/>
      <c r="DP623" s="2367"/>
      <c r="DQ623" s="2367"/>
      <c r="DR623" s="2367">
        <f t="shared" si="17"/>
        <v>0</v>
      </c>
      <c r="DS623" s="2367"/>
      <c r="DT623" s="2367"/>
      <c r="DU623" s="2367"/>
      <c r="DV623" s="2367"/>
      <c r="DX623" s="2017" t="str">
        <f t="shared" si="18"/>
        <v xml:space="preserve"> </v>
      </c>
      <c r="DY623" s="2180"/>
      <c r="DZ623" s="2180"/>
      <c r="EA623" s="2180"/>
      <c r="EB623" s="2018"/>
      <c r="EC623" s="2017" t="str">
        <f t="shared" si="19"/>
        <v xml:space="preserve"> </v>
      </c>
      <c r="ED623" s="2180"/>
      <c r="EE623" s="2180"/>
      <c r="EF623" s="2180"/>
      <c r="EG623" s="2018"/>
      <c r="EH623" s="2017" t="str">
        <f t="shared" si="20"/>
        <v xml:space="preserve"> </v>
      </c>
      <c r="EI623" s="2180"/>
      <c r="EJ623" s="2180"/>
      <c r="EK623" s="2180"/>
      <c r="EL623" s="2018"/>
      <c r="EM623" s="2017" t="str">
        <f t="shared" si="21"/>
        <v xml:space="preserve"> </v>
      </c>
      <c r="EN623" s="2180"/>
      <c r="EO623" s="2180"/>
      <c r="EP623" s="2180"/>
      <c r="EQ623" s="2018"/>
      <c r="ER623" s="2017" t="str">
        <f t="shared" si="22"/>
        <v xml:space="preserve"> </v>
      </c>
      <c r="ES623" s="2180"/>
      <c r="ET623" s="2180"/>
      <c r="EU623" s="2180"/>
      <c r="EV623" s="2018"/>
      <c r="EW623" s="2017" t="str">
        <f t="shared" si="23"/>
        <v xml:space="preserve"> </v>
      </c>
      <c r="EX623" s="2180"/>
      <c r="EY623" s="2180"/>
      <c r="EZ623" s="2180"/>
      <c r="FA623" s="2018"/>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2"/>
        <v>0</v>
      </c>
      <c r="BF624" s="2018"/>
      <c r="BG624" s="2014">
        <f t="shared" si="3"/>
        <v>0</v>
      </c>
      <c r="BH624" s="2016"/>
      <c r="BI624" s="2017">
        <f t="shared" si="4"/>
        <v>0</v>
      </c>
      <c r="BJ624" s="2018"/>
      <c r="BK624" s="2014">
        <f t="shared" si="5"/>
        <v>0</v>
      </c>
      <c r="BL624" s="2016"/>
      <c r="BM624" s="58"/>
      <c r="BN624" s="2011">
        <f t="shared" si="6"/>
        <v>0</v>
      </c>
      <c r="BO624" s="2012"/>
      <c r="BP624" s="2012"/>
      <c r="BQ624" s="2012"/>
      <c r="BR624" s="2013"/>
      <c r="BS624" s="2010">
        <f t="shared" si="7"/>
        <v>0</v>
      </c>
      <c r="BT624" s="2010"/>
      <c r="BU624" s="2010"/>
      <c r="BV624" s="2010"/>
      <c r="BW624" s="2010"/>
      <c r="BX624" s="2010">
        <f t="shared" si="8"/>
        <v>0</v>
      </c>
      <c r="BY624" s="2010"/>
      <c r="BZ624" s="2010"/>
      <c r="CA624" s="2010"/>
      <c r="CB624" s="2010"/>
      <c r="CC624" s="2010">
        <f t="shared" si="9"/>
        <v>0</v>
      </c>
      <c r="CD624" s="2010"/>
      <c r="CE624" s="2010"/>
      <c r="CF624" s="2010"/>
      <c r="CG624" s="2010"/>
      <c r="CH624" s="2010">
        <f t="shared" si="10"/>
        <v>0</v>
      </c>
      <c r="CI624" s="2010"/>
      <c r="CJ624" s="2010"/>
      <c r="CK624" s="2010"/>
      <c r="CL624" s="2010"/>
      <c r="CM624" s="2010">
        <f t="shared" si="11"/>
        <v>0</v>
      </c>
      <c r="CN624" s="2010"/>
      <c r="CO624" s="2010"/>
      <c r="CP624" s="2010"/>
      <c r="CQ624" s="2010"/>
      <c r="CR624" s="265"/>
      <c r="CS624" s="2367">
        <f t="shared" si="12"/>
        <v>0</v>
      </c>
      <c r="CT624" s="2367"/>
      <c r="CU624" s="2367"/>
      <c r="CV624" s="2367"/>
      <c r="CW624" s="2367"/>
      <c r="CX624" s="2367">
        <f t="shared" si="13"/>
        <v>0</v>
      </c>
      <c r="CY624" s="2367"/>
      <c r="CZ624" s="2367"/>
      <c r="DA624" s="2367"/>
      <c r="DB624" s="2367"/>
      <c r="DC624" s="2367">
        <f t="shared" si="14"/>
        <v>0</v>
      </c>
      <c r="DD624" s="2367"/>
      <c r="DE624" s="2367"/>
      <c r="DF624" s="2367"/>
      <c r="DG624" s="2367"/>
      <c r="DH624" s="2367">
        <f t="shared" si="15"/>
        <v>0</v>
      </c>
      <c r="DI624" s="2367"/>
      <c r="DJ624" s="2367"/>
      <c r="DK624" s="2367"/>
      <c r="DL624" s="2367"/>
      <c r="DM624" s="2367">
        <f t="shared" si="16"/>
        <v>0</v>
      </c>
      <c r="DN624" s="2367"/>
      <c r="DO624" s="2367"/>
      <c r="DP624" s="2367"/>
      <c r="DQ624" s="2367"/>
      <c r="DR624" s="2367">
        <f t="shared" si="17"/>
        <v>0</v>
      </c>
      <c r="DS624" s="2367"/>
      <c r="DT624" s="2367"/>
      <c r="DU624" s="2367"/>
      <c r="DV624" s="2367"/>
      <c r="DX624" s="2017" t="str">
        <f t="shared" si="18"/>
        <v xml:space="preserve"> </v>
      </c>
      <c r="DY624" s="2180"/>
      <c r="DZ624" s="2180"/>
      <c r="EA624" s="2180"/>
      <c r="EB624" s="2018"/>
      <c r="EC624" s="2017" t="str">
        <f t="shared" si="19"/>
        <v xml:space="preserve"> </v>
      </c>
      <c r="ED624" s="2180"/>
      <c r="EE624" s="2180"/>
      <c r="EF624" s="2180"/>
      <c r="EG624" s="2018"/>
      <c r="EH624" s="2017" t="str">
        <f t="shared" si="20"/>
        <v xml:space="preserve"> </v>
      </c>
      <c r="EI624" s="2180"/>
      <c r="EJ624" s="2180"/>
      <c r="EK624" s="2180"/>
      <c r="EL624" s="2018"/>
      <c r="EM624" s="2017" t="str">
        <f t="shared" si="21"/>
        <v xml:space="preserve"> </v>
      </c>
      <c r="EN624" s="2180"/>
      <c r="EO624" s="2180"/>
      <c r="EP624" s="2180"/>
      <c r="EQ624" s="2018"/>
      <c r="ER624" s="2017" t="str">
        <f t="shared" si="22"/>
        <v xml:space="preserve"> </v>
      </c>
      <c r="ES624" s="2180"/>
      <c r="ET624" s="2180"/>
      <c r="EU624" s="2180"/>
      <c r="EV624" s="2018"/>
      <c r="EW624" s="2017" t="str">
        <f t="shared" si="23"/>
        <v xml:space="preserve"> </v>
      </c>
      <c r="EX624" s="2180"/>
      <c r="EY624" s="2180"/>
      <c r="EZ624" s="2180"/>
      <c r="FA624" s="2018"/>
    </row>
    <row r="625" spans="1:157" ht="12.75">
      <c r="B625" s="12" t="s">
        <v>20</v>
      </c>
      <c r="N625" s="2036" t="s">
        <v>705</v>
      </c>
      <c r="O625" s="2036"/>
      <c r="U625" s="12" t="s">
        <v>20</v>
      </c>
      <c r="AG625" s="2036" t="s">
        <v>705</v>
      </c>
      <c r="AH625" s="2036"/>
      <c r="AZ625" s="58"/>
      <c r="BA625" s="58"/>
      <c r="BB625" s="58"/>
      <c r="BC625" s="58"/>
      <c r="BD625" s="58"/>
      <c r="BE625" s="2017">
        <f t="shared" si="2"/>
        <v>0</v>
      </c>
      <c r="BF625" s="2018"/>
      <c r="BG625" s="2014">
        <f t="shared" si="3"/>
        <v>0</v>
      </c>
      <c r="BH625" s="2016"/>
      <c r="BI625" s="2017">
        <f t="shared" si="4"/>
        <v>0</v>
      </c>
      <c r="BJ625" s="2018"/>
      <c r="BK625" s="2014">
        <f t="shared" si="5"/>
        <v>0</v>
      </c>
      <c r="BL625" s="2016"/>
      <c r="BM625" s="58"/>
      <c r="BN625" s="2011">
        <f t="shared" si="6"/>
        <v>0</v>
      </c>
      <c r="BO625" s="2012"/>
      <c r="BP625" s="2012"/>
      <c r="BQ625" s="2012"/>
      <c r="BR625" s="2013"/>
      <c r="BS625" s="2010">
        <f t="shared" si="7"/>
        <v>0</v>
      </c>
      <c r="BT625" s="2010"/>
      <c r="BU625" s="2010"/>
      <c r="BV625" s="2010"/>
      <c r="BW625" s="2010"/>
      <c r="BX625" s="2010">
        <f t="shared" si="8"/>
        <v>0</v>
      </c>
      <c r="BY625" s="2010"/>
      <c r="BZ625" s="2010"/>
      <c r="CA625" s="2010"/>
      <c r="CB625" s="2010"/>
      <c r="CC625" s="2010">
        <f t="shared" si="9"/>
        <v>0</v>
      </c>
      <c r="CD625" s="2010"/>
      <c r="CE625" s="2010"/>
      <c r="CF625" s="2010"/>
      <c r="CG625" s="2010"/>
      <c r="CH625" s="2010">
        <f t="shared" si="10"/>
        <v>0</v>
      </c>
      <c r="CI625" s="2010"/>
      <c r="CJ625" s="2010"/>
      <c r="CK625" s="2010"/>
      <c r="CL625" s="2010"/>
      <c r="CM625" s="2010">
        <f t="shared" si="11"/>
        <v>0</v>
      </c>
      <c r="CN625" s="2010"/>
      <c r="CO625" s="2010"/>
      <c r="CP625" s="2010"/>
      <c r="CQ625" s="2010"/>
      <c r="CR625" s="265"/>
      <c r="CS625" s="2367">
        <f t="shared" si="12"/>
        <v>0</v>
      </c>
      <c r="CT625" s="2367"/>
      <c r="CU625" s="2367"/>
      <c r="CV625" s="2367"/>
      <c r="CW625" s="2367"/>
      <c r="CX625" s="2367">
        <f t="shared" si="13"/>
        <v>0</v>
      </c>
      <c r="CY625" s="2367"/>
      <c r="CZ625" s="2367"/>
      <c r="DA625" s="2367"/>
      <c r="DB625" s="2367"/>
      <c r="DC625" s="2367">
        <f t="shared" si="14"/>
        <v>0</v>
      </c>
      <c r="DD625" s="2367"/>
      <c r="DE625" s="2367"/>
      <c r="DF625" s="2367"/>
      <c r="DG625" s="2367"/>
      <c r="DH625" s="2367">
        <f t="shared" si="15"/>
        <v>0</v>
      </c>
      <c r="DI625" s="2367"/>
      <c r="DJ625" s="2367"/>
      <c r="DK625" s="2367"/>
      <c r="DL625" s="2367"/>
      <c r="DM625" s="2367">
        <f t="shared" si="16"/>
        <v>0</v>
      </c>
      <c r="DN625" s="2367"/>
      <c r="DO625" s="2367"/>
      <c r="DP625" s="2367"/>
      <c r="DQ625" s="2367"/>
      <c r="DR625" s="2367">
        <f t="shared" si="17"/>
        <v>0</v>
      </c>
      <c r="DS625" s="2367"/>
      <c r="DT625" s="2367"/>
      <c r="DU625" s="2367"/>
      <c r="DV625" s="2367"/>
      <c r="DX625" s="2017" t="str">
        <f t="shared" si="18"/>
        <v xml:space="preserve"> </v>
      </c>
      <c r="DY625" s="2180"/>
      <c r="DZ625" s="2180"/>
      <c r="EA625" s="2180"/>
      <c r="EB625" s="2018"/>
      <c r="EC625" s="2017" t="str">
        <f t="shared" si="19"/>
        <v xml:space="preserve"> </v>
      </c>
      <c r="ED625" s="2180"/>
      <c r="EE625" s="2180"/>
      <c r="EF625" s="2180"/>
      <c r="EG625" s="2018"/>
      <c r="EH625" s="2017" t="str">
        <f t="shared" si="20"/>
        <v xml:space="preserve"> </v>
      </c>
      <c r="EI625" s="2180"/>
      <c r="EJ625" s="2180"/>
      <c r="EK625" s="2180"/>
      <c r="EL625" s="2018"/>
      <c r="EM625" s="2017" t="str">
        <f t="shared" si="21"/>
        <v xml:space="preserve"> </v>
      </c>
      <c r="EN625" s="2180"/>
      <c r="EO625" s="2180"/>
      <c r="EP625" s="2180"/>
      <c r="EQ625" s="2018"/>
      <c r="ER625" s="2017" t="str">
        <f t="shared" si="22"/>
        <v xml:space="preserve"> </v>
      </c>
      <c r="ES625" s="2180"/>
      <c r="ET625" s="2180"/>
      <c r="EU625" s="2180"/>
      <c r="EV625" s="2018"/>
      <c r="EW625" s="2017" t="str">
        <f t="shared" si="23"/>
        <v xml:space="preserve"> </v>
      </c>
      <c r="EX625" s="2180"/>
      <c r="EY625" s="2180"/>
      <c r="EZ625" s="2180"/>
      <c r="FA625" s="2018"/>
    </row>
    <row r="626" spans="1:157" ht="12.75">
      <c r="AZ626" s="58"/>
      <c r="BA626" s="58"/>
      <c r="BB626" s="58"/>
      <c r="BC626" s="58"/>
      <c r="BD626" s="58"/>
      <c r="BE626" s="2017">
        <f t="shared" si="2"/>
        <v>0</v>
      </c>
      <c r="BF626" s="2018"/>
      <c r="BG626" s="2014">
        <f t="shared" si="3"/>
        <v>0</v>
      </c>
      <c r="BH626" s="2016"/>
      <c r="BI626" s="2017">
        <f t="shared" si="4"/>
        <v>0</v>
      </c>
      <c r="BJ626" s="2018"/>
      <c r="BK626" s="2014">
        <f t="shared" si="5"/>
        <v>0</v>
      </c>
      <c r="BL626" s="2016"/>
      <c r="BM626" s="58"/>
      <c r="BN626" s="2011">
        <f t="shared" si="6"/>
        <v>0</v>
      </c>
      <c r="BO626" s="2012"/>
      <c r="BP626" s="2012"/>
      <c r="BQ626" s="2012"/>
      <c r="BR626" s="2013"/>
      <c r="BS626" s="2010">
        <f t="shared" si="7"/>
        <v>0</v>
      </c>
      <c r="BT626" s="2010"/>
      <c r="BU626" s="2010"/>
      <c r="BV626" s="2010"/>
      <c r="BW626" s="2010"/>
      <c r="BX626" s="2010">
        <f t="shared" si="8"/>
        <v>0</v>
      </c>
      <c r="BY626" s="2010"/>
      <c r="BZ626" s="2010"/>
      <c r="CA626" s="2010"/>
      <c r="CB626" s="2010"/>
      <c r="CC626" s="2010">
        <f t="shared" si="9"/>
        <v>0</v>
      </c>
      <c r="CD626" s="2010"/>
      <c r="CE626" s="2010"/>
      <c r="CF626" s="2010"/>
      <c r="CG626" s="2010"/>
      <c r="CH626" s="2010">
        <f t="shared" si="10"/>
        <v>0</v>
      </c>
      <c r="CI626" s="2010"/>
      <c r="CJ626" s="2010"/>
      <c r="CK626" s="2010"/>
      <c r="CL626" s="2010"/>
      <c r="CM626" s="2010">
        <f t="shared" si="11"/>
        <v>0</v>
      </c>
      <c r="CN626" s="2010"/>
      <c r="CO626" s="2010"/>
      <c r="CP626" s="2010"/>
      <c r="CQ626" s="2010"/>
      <c r="CR626" s="265"/>
      <c r="CS626" s="2367">
        <f t="shared" si="12"/>
        <v>0</v>
      </c>
      <c r="CT626" s="2367"/>
      <c r="CU626" s="2367"/>
      <c r="CV626" s="2367"/>
      <c r="CW626" s="2367"/>
      <c r="CX626" s="2367">
        <f t="shared" si="13"/>
        <v>0</v>
      </c>
      <c r="CY626" s="2367"/>
      <c r="CZ626" s="2367"/>
      <c r="DA626" s="2367"/>
      <c r="DB626" s="2367"/>
      <c r="DC626" s="2367">
        <f t="shared" si="14"/>
        <v>0</v>
      </c>
      <c r="DD626" s="2367"/>
      <c r="DE626" s="2367"/>
      <c r="DF626" s="2367"/>
      <c r="DG626" s="2367"/>
      <c r="DH626" s="2367">
        <f t="shared" si="15"/>
        <v>0</v>
      </c>
      <c r="DI626" s="2367"/>
      <c r="DJ626" s="2367"/>
      <c r="DK626" s="2367"/>
      <c r="DL626" s="2367"/>
      <c r="DM626" s="2367">
        <f t="shared" si="16"/>
        <v>0</v>
      </c>
      <c r="DN626" s="2367"/>
      <c r="DO626" s="2367"/>
      <c r="DP626" s="2367"/>
      <c r="DQ626" s="2367"/>
      <c r="DR626" s="2367">
        <f t="shared" si="17"/>
        <v>0</v>
      </c>
      <c r="DS626" s="2367"/>
      <c r="DT626" s="2367"/>
      <c r="DU626" s="2367"/>
      <c r="DV626" s="2367"/>
      <c r="DX626" s="2017" t="str">
        <f t="shared" si="18"/>
        <v xml:space="preserve"> </v>
      </c>
      <c r="DY626" s="2180"/>
      <c r="DZ626" s="2180"/>
      <c r="EA626" s="2180"/>
      <c r="EB626" s="2018"/>
      <c r="EC626" s="2017" t="str">
        <f t="shared" si="19"/>
        <v xml:space="preserve"> </v>
      </c>
      <c r="ED626" s="2180"/>
      <c r="EE626" s="2180"/>
      <c r="EF626" s="2180"/>
      <c r="EG626" s="2018"/>
      <c r="EH626" s="2017" t="str">
        <f t="shared" si="20"/>
        <v xml:space="preserve"> </v>
      </c>
      <c r="EI626" s="2180"/>
      <c r="EJ626" s="2180"/>
      <c r="EK626" s="2180"/>
      <c r="EL626" s="2018"/>
      <c r="EM626" s="2017" t="str">
        <f t="shared" si="21"/>
        <v xml:space="preserve"> </v>
      </c>
      <c r="EN626" s="2180"/>
      <c r="EO626" s="2180"/>
      <c r="EP626" s="2180"/>
      <c r="EQ626" s="2018"/>
      <c r="ER626" s="2017" t="str">
        <f t="shared" si="22"/>
        <v xml:space="preserve"> </v>
      </c>
      <c r="ES626" s="2180"/>
      <c r="ET626" s="2180"/>
      <c r="EU626" s="2180"/>
      <c r="EV626" s="2018"/>
      <c r="EW626" s="2017" t="str">
        <f t="shared" si="23"/>
        <v xml:space="preserve"> </v>
      </c>
      <c r="EX626" s="2180"/>
      <c r="EY626" s="2180"/>
      <c r="EZ626" s="2180"/>
      <c r="FA626" s="2018"/>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2"/>
        <v>0</v>
      </c>
      <c r="BF627" s="2018"/>
      <c r="BG627" s="2014">
        <f t="shared" si="3"/>
        <v>0</v>
      </c>
      <c r="BH627" s="2016"/>
      <c r="BI627" s="2017">
        <f t="shared" si="4"/>
        <v>0</v>
      </c>
      <c r="BJ627" s="2018"/>
      <c r="BK627" s="2014">
        <f t="shared" si="5"/>
        <v>0</v>
      </c>
      <c r="BL627" s="2016"/>
      <c r="BM627" s="58"/>
      <c r="BN627" s="2011">
        <f t="shared" si="6"/>
        <v>0</v>
      </c>
      <c r="BO627" s="2012"/>
      <c r="BP627" s="2012"/>
      <c r="BQ627" s="2012"/>
      <c r="BR627" s="2013"/>
      <c r="BS627" s="2010">
        <f t="shared" si="7"/>
        <v>0</v>
      </c>
      <c r="BT627" s="2010"/>
      <c r="BU627" s="2010"/>
      <c r="BV627" s="2010"/>
      <c r="BW627" s="2010"/>
      <c r="BX627" s="2010">
        <f t="shared" si="8"/>
        <v>0</v>
      </c>
      <c r="BY627" s="2010"/>
      <c r="BZ627" s="2010"/>
      <c r="CA627" s="2010"/>
      <c r="CB627" s="2010"/>
      <c r="CC627" s="2010">
        <f t="shared" si="9"/>
        <v>0</v>
      </c>
      <c r="CD627" s="2010"/>
      <c r="CE627" s="2010"/>
      <c r="CF627" s="2010"/>
      <c r="CG627" s="2010"/>
      <c r="CH627" s="2010">
        <f t="shared" si="10"/>
        <v>0</v>
      </c>
      <c r="CI627" s="2010"/>
      <c r="CJ627" s="2010"/>
      <c r="CK627" s="2010"/>
      <c r="CL627" s="2010"/>
      <c r="CM627" s="2010">
        <f t="shared" si="11"/>
        <v>0</v>
      </c>
      <c r="CN627" s="2010"/>
      <c r="CO627" s="2010"/>
      <c r="CP627" s="2010"/>
      <c r="CQ627" s="2010"/>
      <c r="CR627" s="265"/>
      <c r="CS627" s="2367">
        <f t="shared" si="12"/>
        <v>0</v>
      </c>
      <c r="CT627" s="2367"/>
      <c r="CU627" s="2367"/>
      <c r="CV627" s="2367"/>
      <c r="CW627" s="2367"/>
      <c r="CX627" s="2367">
        <f t="shared" si="13"/>
        <v>0</v>
      </c>
      <c r="CY627" s="2367"/>
      <c r="CZ627" s="2367"/>
      <c r="DA627" s="2367"/>
      <c r="DB627" s="2367"/>
      <c r="DC627" s="2367">
        <f t="shared" si="14"/>
        <v>0</v>
      </c>
      <c r="DD627" s="2367"/>
      <c r="DE627" s="2367"/>
      <c r="DF627" s="2367"/>
      <c r="DG627" s="2367"/>
      <c r="DH627" s="2367">
        <f t="shared" si="15"/>
        <v>0</v>
      </c>
      <c r="DI627" s="2367"/>
      <c r="DJ627" s="2367"/>
      <c r="DK627" s="2367"/>
      <c r="DL627" s="2367"/>
      <c r="DM627" s="2367">
        <f t="shared" si="16"/>
        <v>0</v>
      </c>
      <c r="DN627" s="2367"/>
      <c r="DO627" s="2367"/>
      <c r="DP627" s="2367"/>
      <c r="DQ627" s="2367"/>
      <c r="DR627" s="2367">
        <f t="shared" si="17"/>
        <v>0</v>
      </c>
      <c r="DS627" s="2367"/>
      <c r="DT627" s="2367"/>
      <c r="DU627" s="2367"/>
      <c r="DV627" s="2367"/>
      <c r="DX627" s="2017" t="str">
        <f t="shared" si="18"/>
        <v xml:space="preserve"> </v>
      </c>
      <c r="DY627" s="2180"/>
      <c r="DZ627" s="2180"/>
      <c r="EA627" s="2180"/>
      <c r="EB627" s="2018"/>
      <c r="EC627" s="2017" t="str">
        <f t="shared" si="19"/>
        <v xml:space="preserve"> </v>
      </c>
      <c r="ED627" s="2180"/>
      <c r="EE627" s="2180"/>
      <c r="EF627" s="2180"/>
      <c r="EG627" s="2018"/>
      <c r="EH627" s="2017" t="str">
        <f t="shared" si="20"/>
        <v xml:space="preserve"> </v>
      </c>
      <c r="EI627" s="2180"/>
      <c r="EJ627" s="2180"/>
      <c r="EK627" s="2180"/>
      <c r="EL627" s="2018"/>
      <c r="EM627" s="2017" t="str">
        <f t="shared" si="21"/>
        <v xml:space="preserve"> </v>
      </c>
      <c r="EN627" s="2180"/>
      <c r="EO627" s="2180"/>
      <c r="EP627" s="2180"/>
      <c r="EQ627" s="2018"/>
      <c r="ER627" s="2017" t="str">
        <f t="shared" si="22"/>
        <v xml:space="preserve"> </v>
      </c>
      <c r="ES627" s="2180"/>
      <c r="ET627" s="2180"/>
      <c r="EU627" s="2180"/>
      <c r="EV627" s="2018"/>
      <c r="EW627" s="2017" t="str">
        <f t="shared" si="23"/>
        <v xml:space="preserve"> </v>
      </c>
      <c r="EX627" s="2180"/>
      <c r="EY627" s="2180"/>
      <c r="EZ627" s="2180"/>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2"/>
        <v>0</v>
      </c>
      <c r="BF628" s="2018"/>
      <c r="BG628" s="2014">
        <f t="shared" si="3"/>
        <v>0</v>
      </c>
      <c r="BH628" s="2016"/>
      <c r="BI628" s="2017">
        <f t="shared" si="4"/>
        <v>0</v>
      </c>
      <c r="BJ628" s="2018"/>
      <c r="BK628" s="2014">
        <f t="shared" si="5"/>
        <v>0</v>
      </c>
      <c r="BL628" s="2016"/>
      <c r="BM628" s="58"/>
      <c r="BN628" s="2011">
        <f t="shared" si="6"/>
        <v>0</v>
      </c>
      <c r="BO628" s="2012"/>
      <c r="BP628" s="2012"/>
      <c r="BQ628" s="2012"/>
      <c r="BR628" s="2013"/>
      <c r="BS628" s="2010">
        <f t="shared" si="7"/>
        <v>0</v>
      </c>
      <c r="BT628" s="2010"/>
      <c r="BU628" s="2010"/>
      <c r="BV628" s="2010"/>
      <c r="BW628" s="2010"/>
      <c r="BX628" s="2010">
        <f t="shared" si="8"/>
        <v>0</v>
      </c>
      <c r="BY628" s="2010"/>
      <c r="BZ628" s="2010"/>
      <c r="CA628" s="2010"/>
      <c r="CB628" s="2010"/>
      <c r="CC628" s="2010">
        <f t="shared" si="9"/>
        <v>0</v>
      </c>
      <c r="CD628" s="2010"/>
      <c r="CE628" s="2010"/>
      <c r="CF628" s="2010"/>
      <c r="CG628" s="2010"/>
      <c r="CH628" s="2010">
        <f t="shared" si="10"/>
        <v>0</v>
      </c>
      <c r="CI628" s="2010"/>
      <c r="CJ628" s="2010"/>
      <c r="CK628" s="2010"/>
      <c r="CL628" s="2010"/>
      <c r="CM628" s="2010">
        <f t="shared" si="11"/>
        <v>0</v>
      </c>
      <c r="CN628" s="2010"/>
      <c r="CO628" s="2010"/>
      <c r="CP628" s="2010"/>
      <c r="CQ628" s="2010"/>
      <c r="CR628" s="265"/>
      <c r="CS628" s="2367">
        <f t="shared" si="12"/>
        <v>0</v>
      </c>
      <c r="CT628" s="2367"/>
      <c r="CU628" s="2367"/>
      <c r="CV628" s="2367"/>
      <c r="CW628" s="2367"/>
      <c r="CX628" s="2367">
        <f t="shared" si="13"/>
        <v>0</v>
      </c>
      <c r="CY628" s="2367"/>
      <c r="CZ628" s="2367"/>
      <c r="DA628" s="2367"/>
      <c r="DB628" s="2367"/>
      <c r="DC628" s="2367">
        <f t="shared" si="14"/>
        <v>0</v>
      </c>
      <c r="DD628" s="2367"/>
      <c r="DE628" s="2367"/>
      <c r="DF628" s="2367"/>
      <c r="DG628" s="2367"/>
      <c r="DH628" s="2367">
        <f t="shared" si="15"/>
        <v>0</v>
      </c>
      <c r="DI628" s="2367"/>
      <c r="DJ628" s="2367"/>
      <c r="DK628" s="2367"/>
      <c r="DL628" s="2367"/>
      <c r="DM628" s="2367">
        <f t="shared" si="16"/>
        <v>0</v>
      </c>
      <c r="DN628" s="2367"/>
      <c r="DO628" s="2367"/>
      <c r="DP628" s="2367"/>
      <c r="DQ628" s="2367"/>
      <c r="DR628" s="2367">
        <f t="shared" si="17"/>
        <v>0</v>
      </c>
      <c r="DS628" s="2367"/>
      <c r="DT628" s="2367"/>
      <c r="DU628" s="2367"/>
      <c r="DV628" s="2367"/>
      <c r="DX628" s="2017" t="str">
        <f t="shared" si="18"/>
        <v xml:space="preserve"> </v>
      </c>
      <c r="DY628" s="2180"/>
      <c r="DZ628" s="2180"/>
      <c r="EA628" s="2180"/>
      <c r="EB628" s="2018"/>
      <c r="EC628" s="2017" t="str">
        <f t="shared" si="19"/>
        <v xml:space="preserve"> </v>
      </c>
      <c r="ED628" s="2180"/>
      <c r="EE628" s="2180"/>
      <c r="EF628" s="2180"/>
      <c r="EG628" s="2018"/>
      <c r="EH628" s="2017" t="str">
        <f t="shared" si="20"/>
        <v xml:space="preserve"> </v>
      </c>
      <c r="EI628" s="2180"/>
      <c r="EJ628" s="2180"/>
      <c r="EK628" s="2180"/>
      <c r="EL628" s="2018"/>
      <c r="EM628" s="2017" t="str">
        <f t="shared" si="21"/>
        <v xml:space="preserve"> </v>
      </c>
      <c r="EN628" s="2180"/>
      <c r="EO628" s="2180"/>
      <c r="EP628" s="2180"/>
      <c r="EQ628" s="2018"/>
      <c r="ER628" s="2017" t="str">
        <f t="shared" si="22"/>
        <v xml:space="preserve"> </v>
      </c>
      <c r="ES628" s="2180"/>
      <c r="ET628" s="2180"/>
      <c r="EU628" s="2180"/>
      <c r="EV628" s="2018"/>
      <c r="EW628" s="2017" t="str">
        <f t="shared" si="23"/>
        <v xml:space="preserve"> </v>
      </c>
      <c r="EX628" s="2180"/>
      <c r="EY628" s="2180"/>
      <c r="EZ628" s="2180"/>
      <c r="FA628" s="2018"/>
    </row>
    <row r="629" spans="1:157" ht="12.75">
      <c r="A629" s="25"/>
      <c r="B629" s="25"/>
      <c r="C629" s="25"/>
      <c r="D629" s="25"/>
      <c r="E629" s="25"/>
      <c r="F629" s="25"/>
      <c r="G629" s="3"/>
      <c r="H629" s="25"/>
      <c r="AZ629" s="58"/>
      <c r="BA629" s="58"/>
      <c r="BB629" s="58"/>
      <c r="BC629" s="58"/>
      <c r="BD629" s="58"/>
      <c r="BE629" s="2017">
        <f t="shared" si="2"/>
        <v>0</v>
      </c>
      <c r="BF629" s="2018"/>
      <c r="BG629" s="2014">
        <f t="shared" si="3"/>
        <v>0</v>
      </c>
      <c r="BH629" s="2016"/>
      <c r="BI629" s="2017">
        <f t="shared" si="4"/>
        <v>0</v>
      </c>
      <c r="BJ629" s="2018"/>
      <c r="BK629" s="2014">
        <f t="shared" si="5"/>
        <v>0</v>
      </c>
      <c r="BL629" s="2016"/>
      <c r="BM629" s="58"/>
      <c r="BN629" s="2011">
        <f t="shared" si="6"/>
        <v>0</v>
      </c>
      <c r="BO629" s="2012"/>
      <c r="BP629" s="2012"/>
      <c r="BQ629" s="2012"/>
      <c r="BR629" s="2013"/>
      <c r="BS629" s="2010">
        <f t="shared" si="7"/>
        <v>0</v>
      </c>
      <c r="BT629" s="2010"/>
      <c r="BU629" s="2010"/>
      <c r="BV629" s="2010"/>
      <c r="BW629" s="2010"/>
      <c r="BX629" s="2010">
        <f t="shared" si="8"/>
        <v>0</v>
      </c>
      <c r="BY629" s="2010"/>
      <c r="BZ629" s="2010"/>
      <c r="CA629" s="2010"/>
      <c r="CB629" s="2010"/>
      <c r="CC629" s="2010">
        <f t="shared" si="9"/>
        <v>0</v>
      </c>
      <c r="CD629" s="2010"/>
      <c r="CE629" s="2010"/>
      <c r="CF629" s="2010"/>
      <c r="CG629" s="2010"/>
      <c r="CH629" s="2010">
        <f t="shared" si="10"/>
        <v>0</v>
      </c>
      <c r="CI629" s="2010"/>
      <c r="CJ629" s="2010"/>
      <c r="CK629" s="2010"/>
      <c r="CL629" s="2010"/>
      <c r="CM629" s="2010">
        <f t="shared" si="11"/>
        <v>0</v>
      </c>
      <c r="CN629" s="2010"/>
      <c r="CO629" s="2010"/>
      <c r="CP629" s="2010"/>
      <c r="CQ629" s="2010"/>
      <c r="CR629" s="265"/>
      <c r="CS629" s="2367">
        <f t="shared" si="12"/>
        <v>0</v>
      </c>
      <c r="CT629" s="2367"/>
      <c r="CU629" s="2367"/>
      <c r="CV629" s="2367"/>
      <c r="CW629" s="2367"/>
      <c r="CX629" s="2367">
        <f t="shared" si="13"/>
        <v>0</v>
      </c>
      <c r="CY629" s="2367"/>
      <c r="CZ629" s="2367"/>
      <c r="DA629" s="2367"/>
      <c r="DB629" s="2367"/>
      <c r="DC629" s="2367">
        <f t="shared" si="14"/>
        <v>0</v>
      </c>
      <c r="DD629" s="2367"/>
      <c r="DE629" s="2367"/>
      <c r="DF629" s="2367"/>
      <c r="DG629" s="2367"/>
      <c r="DH629" s="2367">
        <f t="shared" si="15"/>
        <v>0</v>
      </c>
      <c r="DI629" s="2367"/>
      <c r="DJ629" s="2367"/>
      <c r="DK629" s="2367"/>
      <c r="DL629" s="2367"/>
      <c r="DM629" s="2367">
        <f t="shared" si="16"/>
        <v>0</v>
      </c>
      <c r="DN629" s="2367"/>
      <c r="DO629" s="2367"/>
      <c r="DP629" s="2367"/>
      <c r="DQ629" s="2367"/>
      <c r="DR629" s="2367">
        <f t="shared" si="17"/>
        <v>0</v>
      </c>
      <c r="DS629" s="2367"/>
      <c r="DT629" s="2367"/>
      <c r="DU629" s="2367"/>
      <c r="DV629" s="2367"/>
      <c r="DX629" s="2017" t="str">
        <f t="shared" si="18"/>
        <v xml:space="preserve"> </v>
      </c>
      <c r="DY629" s="2180"/>
      <c r="DZ629" s="2180"/>
      <c r="EA629" s="2180"/>
      <c r="EB629" s="2018"/>
      <c r="EC629" s="2017" t="str">
        <f t="shared" si="19"/>
        <v xml:space="preserve"> </v>
      </c>
      <c r="ED629" s="2180"/>
      <c r="EE629" s="2180"/>
      <c r="EF629" s="2180"/>
      <c r="EG629" s="2018"/>
      <c r="EH629" s="2017" t="str">
        <f t="shared" si="20"/>
        <v xml:space="preserve"> </v>
      </c>
      <c r="EI629" s="2180"/>
      <c r="EJ629" s="2180"/>
      <c r="EK629" s="2180"/>
      <c r="EL629" s="2018"/>
      <c r="EM629" s="2017" t="str">
        <f t="shared" si="21"/>
        <v xml:space="preserve"> </v>
      </c>
      <c r="EN629" s="2180"/>
      <c r="EO629" s="2180"/>
      <c r="EP629" s="2180"/>
      <c r="EQ629" s="2018"/>
      <c r="ER629" s="2017" t="str">
        <f t="shared" si="22"/>
        <v xml:space="preserve"> </v>
      </c>
      <c r="ES629" s="2180"/>
      <c r="ET629" s="2180"/>
      <c r="EU629" s="2180"/>
      <c r="EV629" s="2018"/>
      <c r="EW629" s="2017" t="str">
        <f t="shared" si="23"/>
        <v xml:space="preserve"> </v>
      </c>
      <c r="EX629" s="2180"/>
      <c r="EY629" s="2180"/>
      <c r="EZ629" s="2180"/>
      <c r="FA629" s="2018"/>
    </row>
    <row r="630" spans="1:157" ht="12.75">
      <c r="A630" s="50" t="s">
        <v>327</v>
      </c>
      <c r="B630" s="50"/>
      <c r="C630" s="50" t="s">
        <v>21</v>
      </c>
      <c r="AZ630" s="58"/>
      <c r="BA630" s="58"/>
      <c r="BB630" s="58"/>
      <c r="BC630" s="58"/>
      <c r="BD630" s="58"/>
      <c r="BE630" s="2017">
        <f t="shared" si="2"/>
        <v>0</v>
      </c>
      <c r="BF630" s="2018"/>
      <c r="BG630" s="2014">
        <f t="shared" si="3"/>
        <v>0</v>
      </c>
      <c r="BH630" s="2016"/>
      <c r="BI630" s="2017">
        <f t="shared" si="4"/>
        <v>0</v>
      </c>
      <c r="BJ630" s="2018"/>
      <c r="BK630" s="2014">
        <f t="shared" si="5"/>
        <v>0</v>
      </c>
      <c r="BL630" s="2016"/>
      <c r="BM630" s="58"/>
      <c r="BN630" s="2011">
        <f t="shared" si="6"/>
        <v>0</v>
      </c>
      <c r="BO630" s="2012"/>
      <c r="BP630" s="2012"/>
      <c r="BQ630" s="2012"/>
      <c r="BR630" s="2013"/>
      <c r="BS630" s="2010">
        <f t="shared" si="7"/>
        <v>0</v>
      </c>
      <c r="BT630" s="2010"/>
      <c r="BU630" s="2010"/>
      <c r="BV630" s="2010"/>
      <c r="BW630" s="2010"/>
      <c r="BX630" s="2010">
        <f t="shared" si="8"/>
        <v>0</v>
      </c>
      <c r="BY630" s="2010"/>
      <c r="BZ630" s="2010"/>
      <c r="CA630" s="2010"/>
      <c r="CB630" s="2010"/>
      <c r="CC630" s="2010">
        <f t="shared" si="9"/>
        <v>0</v>
      </c>
      <c r="CD630" s="2010"/>
      <c r="CE630" s="2010"/>
      <c r="CF630" s="2010"/>
      <c r="CG630" s="2010"/>
      <c r="CH630" s="2010">
        <f t="shared" si="10"/>
        <v>0</v>
      </c>
      <c r="CI630" s="2010"/>
      <c r="CJ630" s="2010"/>
      <c r="CK630" s="2010"/>
      <c r="CL630" s="2010"/>
      <c r="CM630" s="2010">
        <f t="shared" si="11"/>
        <v>0</v>
      </c>
      <c r="CN630" s="2010"/>
      <c r="CO630" s="2010"/>
      <c r="CP630" s="2010"/>
      <c r="CQ630" s="2010"/>
      <c r="CR630" s="265"/>
      <c r="CS630" s="2367">
        <f t="shared" si="12"/>
        <v>0</v>
      </c>
      <c r="CT630" s="2367"/>
      <c r="CU630" s="2367"/>
      <c r="CV630" s="2367"/>
      <c r="CW630" s="2367"/>
      <c r="CX630" s="2367">
        <f t="shared" si="13"/>
        <v>0</v>
      </c>
      <c r="CY630" s="2367"/>
      <c r="CZ630" s="2367"/>
      <c r="DA630" s="2367"/>
      <c r="DB630" s="2367"/>
      <c r="DC630" s="2367">
        <f t="shared" si="14"/>
        <v>0</v>
      </c>
      <c r="DD630" s="2367"/>
      <c r="DE630" s="2367"/>
      <c r="DF630" s="2367"/>
      <c r="DG630" s="2367"/>
      <c r="DH630" s="2367">
        <f t="shared" si="15"/>
        <v>0</v>
      </c>
      <c r="DI630" s="2367"/>
      <c r="DJ630" s="2367"/>
      <c r="DK630" s="2367"/>
      <c r="DL630" s="2367"/>
      <c r="DM630" s="2367">
        <f t="shared" si="16"/>
        <v>0</v>
      </c>
      <c r="DN630" s="2367"/>
      <c r="DO630" s="2367"/>
      <c r="DP630" s="2367"/>
      <c r="DQ630" s="2367"/>
      <c r="DR630" s="2367">
        <f t="shared" si="17"/>
        <v>0</v>
      </c>
      <c r="DS630" s="2367"/>
      <c r="DT630" s="2367"/>
      <c r="DU630" s="2367"/>
      <c r="DV630" s="2367"/>
      <c r="DX630" s="2017" t="str">
        <f t="shared" si="18"/>
        <v xml:space="preserve"> </v>
      </c>
      <c r="DY630" s="2180"/>
      <c r="DZ630" s="2180"/>
      <c r="EA630" s="2180"/>
      <c r="EB630" s="2018"/>
      <c r="EC630" s="2017" t="str">
        <f t="shared" si="19"/>
        <v xml:space="preserve"> </v>
      </c>
      <c r="ED630" s="2180"/>
      <c r="EE630" s="2180"/>
      <c r="EF630" s="2180"/>
      <c r="EG630" s="2018"/>
      <c r="EH630" s="2017" t="str">
        <f t="shared" si="20"/>
        <v xml:space="preserve"> </v>
      </c>
      <c r="EI630" s="2180"/>
      <c r="EJ630" s="2180"/>
      <c r="EK630" s="2180"/>
      <c r="EL630" s="2018"/>
      <c r="EM630" s="2017" t="str">
        <f t="shared" si="21"/>
        <v xml:space="preserve"> </v>
      </c>
      <c r="EN630" s="2180"/>
      <c r="EO630" s="2180"/>
      <c r="EP630" s="2180"/>
      <c r="EQ630" s="2018"/>
      <c r="ER630" s="2017" t="str">
        <f t="shared" si="22"/>
        <v xml:space="preserve"> </v>
      </c>
      <c r="ES630" s="2180"/>
      <c r="ET630" s="2180"/>
      <c r="EU630" s="2180"/>
      <c r="EV630" s="2018"/>
      <c r="EW630" s="2017" t="str">
        <f t="shared" si="23"/>
        <v xml:space="preserve"> </v>
      </c>
      <c r="EX630" s="2180"/>
      <c r="EY630" s="2180"/>
      <c r="EZ630" s="2180"/>
      <c r="FA630" s="2018"/>
    </row>
    <row r="631" spans="1:157" ht="12.75">
      <c r="A631" s="50"/>
      <c r="B631" s="50"/>
      <c r="C631" s="50"/>
      <c r="AZ631" s="58"/>
      <c r="BA631" s="58"/>
      <c r="BB631" s="58"/>
      <c r="BC631" s="58"/>
      <c r="BD631" s="58"/>
      <c r="BE631" s="2017">
        <f t="shared" si="2"/>
        <v>0</v>
      </c>
      <c r="BF631" s="2018"/>
      <c r="BG631" s="2014">
        <f t="shared" si="3"/>
        <v>0</v>
      </c>
      <c r="BH631" s="2016"/>
      <c r="BI631" s="2017">
        <f t="shared" si="4"/>
        <v>0</v>
      </c>
      <c r="BJ631" s="2018"/>
      <c r="BK631" s="2014">
        <f t="shared" si="5"/>
        <v>0</v>
      </c>
      <c r="BL631" s="2016"/>
      <c r="BM631" s="58"/>
      <c r="BN631" s="2011">
        <f t="shared" si="6"/>
        <v>0</v>
      </c>
      <c r="BO631" s="2012"/>
      <c r="BP631" s="2012"/>
      <c r="BQ631" s="2012"/>
      <c r="BR631" s="2013"/>
      <c r="BS631" s="2010">
        <f t="shared" si="7"/>
        <v>0</v>
      </c>
      <c r="BT631" s="2010"/>
      <c r="BU631" s="2010"/>
      <c r="BV631" s="2010"/>
      <c r="BW631" s="2010"/>
      <c r="BX631" s="2010">
        <f t="shared" si="8"/>
        <v>0</v>
      </c>
      <c r="BY631" s="2010"/>
      <c r="BZ631" s="2010"/>
      <c r="CA631" s="2010"/>
      <c r="CB631" s="2010"/>
      <c r="CC631" s="2010">
        <f t="shared" si="9"/>
        <v>0</v>
      </c>
      <c r="CD631" s="2010"/>
      <c r="CE631" s="2010"/>
      <c r="CF631" s="2010"/>
      <c r="CG631" s="2010"/>
      <c r="CH631" s="2010">
        <f t="shared" si="10"/>
        <v>0</v>
      </c>
      <c r="CI631" s="2010"/>
      <c r="CJ631" s="2010"/>
      <c r="CK631" s="2010"/>
      <c r="CL631" s="2010"/>
      <c r="CM631" s="2010">
        <f t="shared" si="11"/>
        <v>0</v>
      </c>
      <c r="CN631" s="2010"/>
      <c r="CO631" s="2010"/>
      <c r="CP631" s="2010"/>
      <c r="CQ631" s="2010"/>
      <c r="CR631" s="265"/>
      <c r="CS631" s="2367">
        <f t="shared" si="12"/>
        <v>0</v>
      </c>
      <c r="CT631" s="2367"/>
      <c r="CU631" s="2367"/>
      <c r="CV631" s="2367"/>
      <c r="CW631" s="2367"/>
      <c r="CX631" s="2367">
        <f t="shared" si="13"/>
        <v>0</v>
      </c>
      <c r="CY631" s="2367"/>
      <c r="CZ631" s="2367"/>
      <c r="DA631" s="2367"/>
      <c r="DB631" s="2367"/>
      <c r="DC631" s="2367">
        <f t="shared" si="14"/>
        <v>0</v>
      </c>
      <c r="DD631" s="2367"/>
      <c r="DE631" s="2367"/>
      <c r="DF631" s="2367"/>
      <c r="DG631" s="2367"/>
      <c r="DH631" s="2367">
        <f t="shared" si="15"/>
        <v>0</v>
      </c>
      <c r="DI631" s="2367"/>
      <c r="DJ631" s="2367"/>
      <c r="DK631" s="2367"/>
      <c r="DL631" s="2367"/>
      <c r="DM631" s="2367">
        <f t="shared" si="16"/>
        <v>0</v>
      </c>
      <c r="DN631" s="2367"/>
      <c r="DO631" s="2367"/>
      <c r="DP631" s="2367"/>
      <c r="DQ631" s="2367"/>
      <c r="DR631" s="2367">
        <f t="shared" si="17"/>
        <v>0</v>
      </c>
      <c r="DS631" s="2367"/>
      <c r="DT631" s="2367"/>
      <c r="DU631" s="2367"/>
      <c r="DV631" s="2367"/>
      <c r="DX631" s="2017" t="str">
        <f t="shared" si="18"/>
        <v xml:space="preserve"> </v>
      </c>
      <c r="DY631" s="2180"/>
      <c r="DZ631" s="2180"/>
      <c r="EA631" s="2180"/>
      <c r="EB631" s="2018"/>
      <c r="EC631" s="2017" t="str">
        <f t="shared" si="19"/>
        <v xml:space="preserve"> </v>
      </c>
      <c r="ED631" s="2180"/>
      <c r="EE631" s="2180"/>
      <c r="EF631" s="2180"/>
      <c r="EG631" s="2018"/>
      <c r="EH631" s="2017" t="str">
        <f t="shared" si="20"/>
        <v xml:space="preserve"> </v>
      </c>
      <c r="EI631" s="2180"/>
      <c r="EJ631" s="2180"/>
      <c r="EK631" s="2180"/>
      <c r="EL631" s="2018"/>
      <c r="EM631" s="2017" t="str">
        <f t="shared" si="21"/>
        <v xml:space="preserve"> </v>
      </c>
      <c r="EN631" s="2180"/>
      <c r="EO631" s="2180"/>
      <c r="EP631" s="2180"/>
      <c r="EQ631" s="2018"/>
      <c r="ER631" s="2017" t="str">
        <f t="shared" si="22"/>
        <v xml:space="preserve"> </v>
      </c>
      <c r="ES631" s="2180"/>
      <c r="ET631" s="2180"/>
      <c r="EU631" s="2180"/>
      <c r="EV631" s="2018"/>
      <c r="EW631" s="2017" t="str">
        <f t="shared" si="23"/>
        <v xml:space="preserve"> </v>
      </c>
      <c r="EX631" s="2180"/>
      <c r="EY631" s="2180"/>
      <c r="EZ631" s="2180"/>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2"/>
        <v>0</v>
      </c>
      <c r="BF632" s="2018"/>
      <c r="BG632" s="2014">
        <f t="shared" si="3"/>
        <v>0</v>
      </c>
      <c r="BH632" s="2016"/>
      <c r="BI632" s="2017">
        <f t="shared" si="4"/>
        <v>0</v>
      </c>
      <c r="BJ632" s="2018"/>
      <c r="BK632" s="2014">
        <f t="shared" si="5"/>
        <v>0</v>
      </c>
      <c r="BL632" s="2016"/>
      <c r="BM632" s="58"/>
      <c r="BN632" s="2011">
        <f t="shared" si="6"/>
        <v>0</v>
      </c>
      <c r="BO632" s="2012"/>
      <c r="BP632" s="2012"/>
      <c r="BQ632" s="2012"/>
      <c r="BR632" s="2013"/>
      <c r="BS632" s="2010">
        <f t="shared" si="7"/>
        <v>0</v>
      </c>
      <c r="BT632" s="2010"/>
      <c r="BU632" s="2010"/>
      <c r="BV632" s="2010"/>
      <c r="BW632" s="2010"/>
      <c r="BX632" s="2010">
        <f t="shared" si="8"/>
        <v>0</v>
      </c>
      <c r="BY632" s="2010"/>
      <c r="BZ632" s="2010"/>
      <c r="CA632" s="2010"/>
      <c r="CB632" s="2010"/>
      <c r="CC632" s="2010">
        <f t="shared" si="9"/>
        <v>0</v>
      </c>
      <c r="CD632" s="2010"/>
      <c r="CE632" s="2010"/>
      <c r="CF632" s="2010"/>
      <c r="CG632" s="2010"/>
      <c r="CH632" s="2010">
        <f t="shared" si="10"/>
        <v>0</v>
      </c>
      <c r="CI632" s="2010"/>
      <c r="CJ632" s="2010"/>
      <c r="CK632" s="2010"/>
      <c r="CL632" s="2010"/>
      <c r="CM632" s="2010">
        <f t="shared" si="11"/>
        <v>0</v>
      </c>
      <c r="CN632" s="2010"/>
      <c r="CO632" s="2010"/>
      <c r="CP632" s="2010"/>
      <c r="CQ632" s="2010"/>
      <c r="CR632" s="265"/>
      <c r="CS632" s="2367">
        <f t="shared" si="12"/>
        <v>0</v>
      </c>
      <c r="CT632" s="2367"/>
      <c r="CU632" s="2367"/>
      <c r="CV632" s="2367"/>
      <c r="CW632" s="2367"/>
      <c r="CX632" s="2367">
        <f t="shared" si="13"/>
        <v>0</v>
      </c>
      <c r="CY632" s="2367"/>
      <c r="CZ632" s="2367"/>
      <c r="DA632" s="2367"/>
      <c r="DB632" s="2367"/>
      <c r="DC632" s="2367">
        <f t="shared" si="14"/>
        <v>0</v>
      </c>
      <c r="DD632" s="2367"/>
      <c r="DE632" s="2367"/>
      <c r="DF632" s="2367"/>
      <c r="DG632" s="2367"/>
      <c r="DH632" s="2367">
        <f t="shared" si="15"/>
        <v>0</v>
      </c>
      <c r="DI632" s="2367"/>
      <c r="DJ632" s="2367"/>
      <c r="DK632" s="2367"/>
      <c r="DL632" s="2367"/>
      <c r="DM632" s="2367">
        <f t="shared" si="16"/>
        <v>0</v>
      </c>
      <c r="DN632" s="2367"/>
      <c r="DO632" s="2367"/>
      <c r="DP632" s="2367"/>
      <c r="DQ632" s="2367"/>
      <c r="DR632" s="2367">
        <f t="shared" si="17"/>
        <v>0</v>
      </c>
      <c r="DS632" s="2367"/>
      <c r="DT632" s="2367"/>
      <c r="DU632" s="2367"/>
      <c r="DV632" s="2367"/>
      <c r="DX632" s="2017" t="str">
        <f t="shared" si="18"/>
        <v xml:space="preserve"> </v>
      </c>
      <c r="DY632" s="2180"/>
      <c r="DZ632" s="2180"/>
      <c r="EA632" s="2180"/>
      <c r="EB632" s="2018"/>
      <c r="EC632" s="2017" t="str">
        <f t="shared" si="19"/>
        <v xml:space="preserve"> </v>
      </c>
      <c r="ED632" s="2180"/>
      <c r="EE632" s="2180"/>
      <c r="EF632" s="2180"/>
      <c r="EG632" s="2018"/>
      <c r="EH632" s="2017" t="str">
        <f t="shared" si="20"/>
        <v xml:space="preserve"> </v>
      </c>
      <c r="EI632" s="2180"/>
      <c r="EJ632" s="2180"/>
      <c r="EK632" s="2180"/>
      <c r="EL632" s="2018"/>
      <c r="EM632" s="2017" t="str">
        <f t="shared" si="21"/>
        <v xml:space="preserve"> </v>
      </c>
      <c r="EN632" s="2180"/>
      <c r="EO632" s="2180"/>
      <c r="EP632" s="2180"/>
      <c r="EQ632" s="2018"/>
      <c r="ER632" s="2017" t="str">
        <f t="shared" si="22"/>
        <v xml:space="preserve"> </v>
      </c>
      <c r="ES632" s="2180"/>
      <c r="ET632" s="2180"/>
      <c r="EU632" s="2180"/>
      <c r="EV632" s="2018"/>
      <c r="EW632" s="2017" t="str">
        <f t="shared" si="23"/>
        <v xml:space="preserve"> </v>
      </c>
      <c r="EX632" s="2180"/>
      <c r="EY632" s="2180"/>
      <c r="EZ632" s="2180"/>
      <c r="FA632" s="201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2"/>
        <v>0</v>
      </c>
      <c r="BF633" s="2018"/>
      <c r="BG633" s="2014">
        <f t="shared" si="3"/>
        <v>0</v>
      </c>
      <c r="BH633" s="2016"/>
      <c r="BI633" s="2017">
        <f t="shared" si="4"/>
        <v>0</v>
      </c>
      <c r="BJ633" s="2018"/>
      <c r="BK633" s="2014">
        <f t="shared" si="5"/>
        <v>0</v>
      </c>
      <c r="BL633" s="2016"/>
      <c r="BM633" s="58"/>
      <c r="BN633" s="2011">
        <f t="shared" si="6"/>
        <v>0</v>
      </c>
      <c r="BO633" s="2012"/>
      <c r="BP633" s="2012"/>
      <c r="BQ633" s="2012"/>
      <c r="BR633" s="2013"/>
      <c r="BS633" s="2010">
        <f t="shared" si="7"/>
        <v>0</v>
      </c>
      <c r="BT633" s="2010"/>
      <c r="BU633" s="2010"/>
      <c r="BV633" s="2010"/>
      <c r="BW633" s="2010"/>
      <c r="BX633" s="2010">
        <f t="shared" si="8"/>
        <v>0</v>
      </c>
      <c r="BY633" s="2010"/>
      <c r="BZ633" s="2010"/>
      <c r="CA633" s="2010"/>
      <c r="CB633" s="2010"/>
      <c r="CC633" s="2010">
        <f t="shared" si="9"/>
        <v>0</v>
      </c>
      <c r="CD633" s="2010"/>
      <c r="CE633" s="2010"/>
      <c r="CF633" s="2010"/>
      <c r="CG633" s="2010"/>
      <c r="CH633" s="2010">
        <f t="shared" si="10"/>
        <v>0</v>
      </c>
      <c r="CI633" s="2010"/>
      <c r="CJ633" s="2010"/>
      <c r="CK633" s="2010"/>
      <c r="CL633" s="2010"/>
      <c r="CM633" s="2010">
        <f t="shared" si="11"/>
        <v>0</v>
      </c>
      <c r="CN633" s="2010"/>
      <c r="CO633" s="2010"/>
      <c r="CP633" s="2010"/>
      <c r="CQ633" s="2010"/>
      <c r="CR633" s="265"/>
      <c r="CS633" s="2367">
        <f t="shared" si="12"/>
        <v>0</v>
      </c>
      <c r="CT633" s="2367"/>
      <c r="CU633" s="2367"/>
      <c r="CV633" s="2367"/>
      <c r="CW633" s="2367"/>
      <c r="CX633" s="2367">
        <f t="shared" si="13"/>
        <v>0</v>
      </c>
      <c r="CY633" s="2367"/>
      <c r="CZ633" s="2367"/>
      <c r="DA633" s="2367"/>
      <c r="DB633" s="2367"/>
      <c r="DC633" s="2367">
        <f t="shared" si="14"/>
        <v>0</v>
      </c>
      <c r="DD633" s="2367"/>
      <c r="DE633" s="2367"/>
      <c r="DF633" s="2367"/>
      <c r="DG633" s="2367"/>
      <c r="DH633" s="2367">
        <f t="shared" si="15"/>
        <v>0</v>
      </c>
      <c r="DI633" s="2367"/>
      <c r="DJ633" s="2367"/>
      <c r="DK633" s="2367"/>
      <c r="DL633" s="2367"/>
      <c r="DM633" s="2367">
        <f t="shared" si="16"/>
        <v>0</v>
      </c>
      <c r="DN633" s="2367"/>
      <c r="DO633" s="2367"/>
      <c r="DP633" s="2367"/>
      <c r="DQ633" s="2367"/>
      <c r="DR633" s="2367">
        <f t="shared" si="17"/>
        <v>0</v>
      </c>
      <c r="DS633" s="2367"/>
      <c r="DT633" s="2367"/>
      <c r="DU633" s="2367"/>
      <c r="DV633" s="2367"/>
      <c r="DX633" s="2017" t="str">
        <f t="shared" si="18"/>
        <v xml:space="preserve"> </v>
      </c>
      <c r="DY633" s="2180"/>
      <c r="DZ633" s="2180"/>
      <c r="EA633" s="2180"/>
      <c r="EB633" s="2018"/>
      <c r="EC633" s="2017" t="str">
        <f t="shared" si="19"/>
        <v xml:space="preserve"> </v>
      </c>
      <c r="ED633" s="2180"/>
      <c r="EE633" s="2180"/>
      <c r="EF633" s="2180"/>
      <c r="EG633" s="2018"/>
      <c r="EH633" s="2017" t="str">
        <f t="shared" si="20"/>
        <v xml:space="preserve"> </v>
      </c>
      <c r="EI633" s="2180"/>
      <c r="EJ633" s="2180"/>
      <c r="EK633" s="2180"/>
      <c r="EL633" s="2018"/>
      <c r="EM633" s="2017" t="str">
        <f t="shared" si="21"/>
        <v xml:space="preserve"> </v>
      </c>
      <c r="EN633" s="2180"/>
      <c r="EO633" s="2180"/>
      <c r="EP633" s="2180"/>
      <c r="EQ633" s="2018"/>
      <c r="ER633" s="2017" t="str">
        <f t="shared" si="22"/>
        <v xml:space="preserve"> </v>
      </c>
      <c r="ES633" s="2180"/>
      <c r="ET633" s="2180"/>
      <c r="EU633" s="2180"/>
      <c r="EV633" s="2018"/>
      <c r="EW633" s="2017" t="str">
        <f t="shared" si="23"/>
        <v xml:space="preserve"> </v>
      </c>
      <c r="EX633" s="2180"/>
      <c r="EY633" s="2180"/>
      <c r="EZ633" s="2180"/>
      <c r="FA633" s="2018"/>
    </row>
    <row r="634" spans="1:157" s="1821" customFormat="1" ht="12.75" customHeight="1">
      <c r="B634" s="2498" t="s">
        <v>483</v>
      </c>
      <c r="C634" s="2499"/>
      <c r="D634" s="2499"/>
      <c r="E634" s="2499"/>
      <c r="F634" s="2499"/>
      <c r="G634" s="2499"/>
      <c r="H634" s="2499"/>
      <c r="I634" s="2499"/>
      <c r="J634" s="2499"/>
      <c r="K634" s="2499"/>
      <c r="L634" s="2499"/>
      <c r="M634" s="2499"/>
      <c r="N634" s="2500"/>
      <c r="O634" s="2242" t="s">
        <v>2378</v>
      </c>
      <c r="P634" s="2166"/>
      <c r="Q634" s="2167"/>
      <c r="R634" s="2242" t="s">
        <v>2376</v>
      </c>
      <c r="S634" s="2166"/>
      <c r="T634" s="2167"/>
      <c r="U634" s="2558" t="s">
        <v>484</v>
      </c>
      <c r="V634" s="2558"/>
      <c r="W634" s="2559"/>
      <c r="X634" s="2242" t="s">
        <v>2152</v>
      </c>
      <c r="Y634" s="2166"/>
      <c r="Z634" s="2166"/>
      <c r="AA634" s="2166"/>
      <c r="AB634" s="2167"/>
      <c r="AC634" s="2416" t="s">
        <v>2150</v>
      </c>
      <c r="AD634" s="2417"/>
      <c r="AE634" s="2418"/>
      <c r="AF634" s="2242" t="s">
        <v>2153</v>
      </c>
      <c r="AG634" s="2166"/>
      <c r="AH634" s="2166"/>
      <c r="AI634" s="2166"/>
      <c r="AJ634" s="2167"/>
      <c r="AK634" s="2405" t="s">
        <v>2154</v>
      </c>
      <c r="AL634" s="2406"/>
      <c r="AM634" s="2406"/>
      <c r="AN634" s="2407"/>
      <c r="AO634" s="2252" t="s">
        <v>485</v>
      </c>
      <c r="AP634" s="2252"/>
      <c r="AQ634" s="2252"/>
      <c r="AR634" s="2252"/>
      <c r="AS634" s="2252"/>
      <c r="AT634" s="1822"/>
      <c r="AU634" s="1822"/>
      <c r="AV634" s="1822"/>
      <c r="AW634" s="1822"/>
      <c r="AX634" s="1822"/>
      <c r="AY634" s="1822"/>
      <c r="AZ634" s="181"/>
      <c r="BA634" s="181"/>
      <c r="BB634" s="181"/>
      <c r="BC634" s="181"/>
      <c r="BD634" s="181"/>
      <c r="BE634" s="2017">
        <f t="shared" si="2"/>
        <v>0</v>
      </c>
      <c r="BF634" s="2018"/>
      <c r="BG634" s="2014">
        <f t="shared" si="3"/>
        <v>0</v>
      </c>
      <c r="BH634" s="2016"/>
      <c r="BI634" s="2017">
        <f t="shared" si="4"/>
        <v>0</v>
      </c>
      <c r="BJ634" s="2018"/>
      <c r="BK634" s="2014">
        <f t="shared" si="5"/>
        <v>0</v>
      </c>
      <c r="BL634" s="2016"/>
      <c r="BM634" s="181"/>
      <c r="BN634" s="2011">
        <f t="shared" si="6"/>
        <v>0</v>
      </c>
      <c r="BO634" s="2012"/>
      <c r="BP634" s="2012"/>
      <c r="BQ634" s="2012"/>
      <c r="BR634" s="2013"/>
      <c r="BS634" s="2010">
        <f t="shared" si="7"/>
        <v>0</v>
      </c>
      <c r="BT634" s="2010"/>
      <c r="BU634" s="2010"/>
      <c r="BV634" s="2010"/>
      <c r="BW634" s="2010"/>
      <c r="BX634" s="2010">
        <f t="shared" si="8"/>
        <v>0</v>
      </c>
      <c r="BY634" s="2010"/>
      <c r="BZ634" s="2010"/>
      <c r="CA634" s="2010"/>
      <c r="CB634" s="2010"/>
      <c r="CC634" s="2010">
        <f t="shared" si="9"/>
        <v>0</v>
      </c>
      <c r="CD634" s="2010"/>
      <c r="CE634" s="2010"/>
      <c r="CF634" s="2010"/>
      <c r="CG634" s="2010"/>
      <c r="CH634" s="2010">
        <f t="shared" si="10"/>
        <v>0</v>
      </c>
      <c r="CI634" s="2010"/>
      <c r="CJ634" s="2010"/>
      <c r="CK634" s="2010"/>
      <c r="CL634" s="2010"/>
      <c r="CM634" s="2010">
        <f t="shared" si="11"/>
        <v>0</v>
      </c>
      <c r="CN634" s="2010"/>
      <c r="CO634" s="2010"/>
      <c r="CP634" s="2010"/>
      <c r="CQ634" s="2010"/>
      <c r="CR634" s="265"/>
      <c r="CS634" s="2367">
        <f t="shared" si="12"/>
        <v>0</v>
      </c>
      <c r="CT634" s="2367"/>
      <c r="CU634" s="2367"/>
      <c r="CV634" s="2367"/>
      <c r="CW634" s="2367"/>
      <c r="CX634" s="2367">
        <f t="shared" si="13"/>
        <v>0</v>
      </c>
      <c r="CY634" s="2367"/>
      <c r="CZ634" s="2367"/>
      <c r="DA634" s="2367"/>
      <c r="DB634" s="2367"/>
      <c r="DC634" s="2367">
        <f t="shared" si="14"/>
        <v>0</v>
      </c>
      <c r="DD634" s="2367"/>
      <c r="DE634" s="2367"/>
      <c r="DF634" s="2367"/>
      <c r="DG634" s="2367"/>
      <c r="DH634" s="2367">
        <f t="shared" si="15"/>
        <v>0</v>
      </c>
      <c r="DI634" s="2367"/>
      <c r="DJ634" s="2367"/>
      <c r="DK634" s="2367"/>
      <c r="DL634" s="2367"/>
      <c r="DM634" s="2367">
        <f t="shared" si="16"/>
        <v>0</v>
      </c>
      <c r="DN634" s="2367"/>
      <c r="DO634" s="2367"/>
      <c r="DP634" s="2367"/>
      <c r="DQ634" s="2367"/>
      <c r="DR634" s="2367">
        <f t="shared" si="17"/>
        <v>0</v>
      </c>
      <c r="DS634" s="2367"/>
      <c r="DT634" s="2367"/>
      <c r="DU634" s="2367"/>
      <c r="DV634" s="2367"/>
      <c r="DX634" s="2017" t="str">
        <f t="shared" si="18"/>
        <v xml:space="preserve"> </v>
      </c>
      <c r="DY634" s="2180"/>
      <c r="DZ634" s="2180"/>
      <c r="EA634" s="2180"/>
      <c r="EB634" s="2018"/>
      <c r="EC634" s="2017" t="str">
        <f t="shared" si="19"/>
        <v xml:space="preserve"> </v>
      </c>
      <c r="ED634" s="2180"/>
      <c r="EE634" s="2180"/>
      <c r="EF634" s="2180"/>
      <c r="EG634" s="2018"/>
      <c r="EH634" s="2017" t="str">
        <f t="shared" si="20"/>
        <v xml:space="preserve"> </v>
      </c>
      <c r="EI634" s="2180"/>
      <c r="EJ634" s="2180"/>
      <c r="EK634" s="2180"/>
      <c r="EL634" s="2018"/>
      <c r="EM634" s="2017" t="str">
        <f t="shared" si="21"/>
        <v xml:space="preserve"> </v>
      </c>
      <c r="EN634" s="2180"/>
      <c r="EO634" s="2180"/>
      <c r="EP634" s="2180"/>
      <c r="EQ634" s="2018"/>
      <c r="ER634" s="2017" t="str">
        <f t="shared" si="22"/>
        <v xml:space="preserve"> </v>
      </c>
      <c r="ES634" s="2180"/>
      <c r="ET634" s="2180"/>
      <c r="EU634" s="2180"/>
      <c r="EV634" s="2018"/>
      <c r="EW634" s="2017" t="str">
        <f t="shared" si="23"/>
        <v xml:space="preserve"> </v>
      </c>
      <c r="EX634" s="2180"/>
      <c r="EY634" s="2180"/>
      <c r="EZ634" s="2180"/>
      <c r="FA634" s="2018"/>
    </row>
    <row r="635" spans="1:157" s="1821" customFormat="1" ht="12.75">
      <c r="B635" s="2555"/>
      <c r="C635" s="2223"/>
      <c r="D635" s="2223"/>
      <c r="E635" s="2223"/>
      <c r="F635" s="2223"/>
      <c r="G635" s="2223"/>
      <c r="H635" s="2223"/>
      <c r="I635" s="2223"/>
      <c r="J635" s="2223"/>
      <c r="K635" s="2223"/>
      <c r="L635" s="2223"/>
      <c r="M635" s="2223"/>
      <c r="N635" s="2556"/>
      <c r="O635" s="2243"/>
      <c r="P635" s="2244"/>
      <c r="Q635" s="2245"/>
      <c r="R635" s="2243"/>
      <c r="S635" s="2244"/>
      <c r="T635" s="2245"/>
      <c r="U635" s="2560"/>
      <c r="V635" s="2560"/>
      <c r="W635" s="2561"/>
      <c r="X635" s="2243"/>
      <c r="Y635" s="2244"/>
      <c r="Z635" s="2244"/>
      <c r="AA635" s="2244"/>
      <c r="AB635" s="2245"/>
      <c r="AC635" s="2419"/>
      <c r="AD635" s="2420"/>
      <c r="AE635" s="2421"/>
      <c r="AF635" s="2243"/>
      <c r="AG635" s="2244"/>
      <c r="AH635" s="2244"/>
      <c r="AI635" s="2244"/>
      <c r="AJ635" s="2245"/>
      <c r="AK635" s="2408"/>
      <c r="AL635" s="2409"/>
      <c r="AM635" s="2409"/>
      <c r="AN635" s="2410"/>
      <c r="AO635" s="2252"/>
      <c r="AP635" s="2252"/>
      <c r="AQ635" s="2252"/>
      <c r="AR635" s="2252"/>
      <c r="AS635" s="2252"/>
      <c r="AT635" s="1822"/>
      <c r="AU635" s="1822"/>
      <c r="AV635" s="1822"/>
      <c r="AW635" s="1822"/>
      <c r="AX635" s="1822"/>
      <c r="AY635" s="1822"/>
      <c r="AZ635" s="181"/>
      <c r="BA635" s="181"/>
      <c r="BB635" s="181"/>
      <c r="BC635" s="181"/>
      <c r="BD635" s="181"/>
      <c r="BE635" s="181"/>
      <c r="BF635" s="181"/>
      <c r="BG635" s="2017">
        <f>SUM(BG610:BH634)</f>
        <v>82</v>
      </c>
      <c r="BH635" s="2018"/>
      <c r="BI635" s="181"/>
      <c r="BJ635" s="181"/>
      <c r="BK635" s="2017">
        <f>SUM(BK610:BL634)</f>
        <v>34</v>
      </c>
      <c r="BL635" s="2018"/>
      <c r="BM635" s="181"/>
      <c r="BN635" s="2017">
        <f>SUM(BN610:BR634)</f>
        <v>32</v>
      </c>
      <c r="BO635" s="2180"/>
      <c r="BP635" s="2180"/>
      <c r="BQ635" s="2180"/>
      <c r="BR635" s="2018"/>
      <c r="BS635" s="2181">
        <f>SUM(BS610:BW634)</f>
        <v>260</v>
      </c>
      <c r="BT635" s="2181"/>
      <c r="BU635" s="2181"/>
      <c r="BV635" s="2181"/>
      <c r="BW635" s="2181"/>
      <c r="BX635" s="2181">
        <f>SUM(BX610:CB634)</f>
        <v>45</v>
      </c>
      <c r="BY635" s="2181"/>
      <c r="BZ635" s="2181"/>
      <c r="CA635" s="2181"/>
      <c r="CB635" s="2181"/>
      <c r="CC635" s="2181">
        <f>SUM(CC610:CG634)</f>
        <v>0</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32</v>
      </c>
      <c r="CT635" s="2181"/>
      <c r="CU635" s="2181"/>
      <c r="CV635" s="2181"/>
      <c r="CW635" s="2181"/>
      <c r="CX635" s="2181">
        <f>SUM(CX610:DB634)</f>
        <v>2</v>
      </c>
      <c r="CY635" s="2181"/>
      <c r="CZ635" s="2181"/>
      <c r="DA635" s="2181"/>
      <c r="DB635" s="2181"/>
      <c r="DC635" s="2181">
        <f>SUM(DC610:DG634)</f>
        <v>0</v>
      </c>
      <c r="DD635" s="2181"/>
      <c r="DE635" s="2181"/>
      <c r="DF635" s="2181"/>
      <c r="DG635" s="2181"/>
      <c r="DH635" s="2181">
        <f>SUM(DH610:DL634)</f>
        <v>0</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927</v>
      </c>
      <c r="DY635" s="2181"/>
      <c r="DZ635" s="2181"/>
      <c r="EA635" s="2181"/>
      <c r="EB635" s="2181"/>
      <c r="EC635" s="2181">
        <f>SUM(EC610:EG634)</f>
        <v>5424</v>
      </c>
      <c r="ED635" s="2181"/>
      <c r="EE635" s="2181"/>
      <c r="EF635" s="2181"/>
      <c r="EG635" s="2181"/>
      <c r="EH635" s="2181">
        <f>SUM(EH610:EL634)</f>
        <v>3274</v>
      </c>
      <c r="EI635" s="2181"/>
      <c r="EJ635" s="2181"/>
      <c r="EK635" s="2181"/>
      <c r="EL635" s="2181"/>
      <c r="EM635" s="2181">
        <f>SUM(EM610:EQ634)</f>
        <v>0</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2.75">
      <c r="B636" s="2557"/>
      <c r="C636" s="2223"/>
      <c r="D636" s="2223"/>
      <c r="E636" s="2223"/>
      <c r="F636" s="2223"/>
      <c r="G636" s="2223"/>
      <c r="H636" s="2223"/>
      <c r="I636" s="2223"/>
      <c r="J636" s="2223"/>
      <c r="K636" s="2223"/>
      <c r="L636" s="2223"/>
      <c r="M636" s="2223"/>
      <c r="N636" s="2556"/>
      <c r="O636" s="2246"/>
      <c r="P636" s="2247"/>
      <c r="Q636" s="2248"/>
      <c r="R636" s="2246"/>
      <c r="S636" s="2247"/>
      <c r="T636" s="2248"/>
      <c r="U636" s="2562"/>
      <c r="V636" s="2562"/>
      <c r="W636" s="2563"/>
      <c r="X636" s="2246"/>
      <c r="Y636" s="2247"/>
      <c r="Z636" s="2247"/>
      <c r="AA636" s="2247"/>
      <c r="AB636" s="2248"/>
      <c r="AC636" s="2422"/>
      <c r="AD636" s="2423"/>
      <c r="AE636" s="2424"/>
      <c r="AF636" s="2246"/>
      <c r="AG636" s="2247"/>
      <c r="AH636" s="2247"/>
      <c r="AI636" s="2247"/>
      <c r="AJ636" s="2248"/>
      <c r="AK636" s="2411"/>
      <c r="AL636" s="2412"/>
      <c r="AM636" s="2412"/>
      <c r="AN636" s="2413"/>
      <c r="AO636" s="2252"/>
      <c r="AP636" s="2252"/>
      <c r="AQ636" s="2252"/>
      <c r="AR636" s="2252"/>
      <c r="AS636" s="225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7">
        <f>BN635+BS635+BX635+CC635+CH635+CM635</f>
        <v>337</v>
      </c>
      <c r="CN636" s="2180"/>
      <c r="CO636" s="2180"/>
      <c r="CP636" s="2180"/>
      <c r="CQ636" s="2018"/>
      <c r="CR636" s="697"/>
      <c r="CS636" s="181"/>
      <c r="CT636" s="181"/>
      <c r="CU636" s="181"/>
      <c r="CV636" s="181"/>
      <c r="CW636" s="181"/>
      <c r="CX636" s="181"/>
      <c r="CY636" s="181"/>
      <c r="CZ636" s="181"/>
      <c r="DA636" s="181"/>
      <c r="DB636" s="181"/>
      <c r="DC636" s="181"/>
      <c r="DD636" s="181"/>
      <c r="DE636" s="181"/>
      <c r="DF636" s="181"/>
    </row>
    <row r="637" spans="1:157" ht="12.75">
      <c r="B637" s="83" t="s">
        <v>117</v>
      </c>
      <c r="C637" s="2163" t="s">
        <v>2651</v>
      </c>
      <c r="D637" s="2028"/>
      <c r="E637" s="2028"/>
      <c r="F637" s="2028"/>
      <c r="G637" s="2028"/>
      <c r="H637" s="2028"/>
      <c r="I637" s="2028"/>
      <c r="J637" s="2028"/>
      <c r="K637" s="2028"/>
      <c r="L637" s="2028"/>
      <c r="M637" s="2028"/>
      <c r="N637" s="2415"/>
      <c r="O637" s="2371">
        <f>15*12</f>
        <v>180</v>
      </c>
      <c r="P637" s="2372"/>
      <c r="Q637" s="2373"/>
      <c r="R637" s="2156">
        <f>35*12</f>
        <v>420</v>
      </c>
      <c r="S637" s="2157"/>
      <c r="T637" s="2158"/>
      <c r="U637" s="2387">
        <v>4.4999999999999998E-2</v>
      </c>
      <c r="V637" s="2388"/>
      <c r="W637" s="2389"/>
      <c r="X637" s="2390" t="s">
        <v>2151</v>
      </c>
      <c r="Y637" s="2553"/>
      <c r="Z637" s="2553"/>
      <c r="AA637" s="2553"/>
      <c r="AB637" s="2554"/>
      <c r="AC637" s="2131">
        <v>1</v>
      </c>
      <c r="AD637" s="2132"/>
      <c r="AE637" s="2133"/>
      <c r="AF637" s="2249">
        <v>1978423</v>
      </c>
      <c r="AG637" s="2250"/>
      <c r="AH637" s="2250"/>
      <c r="AI637" s="2250"/>
      <c r="AJ637" s="2251"/>
      <c r="AK637" s="2368"/>
      <c r="AL637" s="2369"/>
      <c r="AM637" s="2369"/>
      <c r="AN637" s="2370"/>
      <c r="AO637" s="2134">
        <v>34837029</v>
      </c>
      <c r="AP637" s="2134"/>
      <c r="AQ637" s="2134"/>
      <c r="AR637" s="2134"/>
      <c r="AS637" s="213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32</v>
      </c>
      <c r="BS637" s="58"/>
      <c r="BT637" s="58"/>
      <c r="BU637" s="58"/>
      <c r="BV637" s="58"/>
      <c r="BW637" s="1470">
        <f>BS635*1</f>
        <v>260</v>
      </c>
      <c r="BX637" s="58"/>
      <c r="BY637" s="58"/>
      <c r="BZ637" s="58"/>
      <c r="CA637" s="58"/>
      <c r="CB637" s="1470">
        <f>BX635*2</f>
        <v>90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382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3" t="s">
        <v>2669</v>
      </c>
      <c r="D638" s="2028"/>
      <c r="E638" s="2028"/>
      <c r="F638" s="2028"/>
      <c r="G638" s="2028"/>
      <c r="H638" s="2028"/>
      <c r="I638" s="2028"/>
      <c r="J638" s="2028"/>
      <c r="K638" s="2028"/>
      <c r="L638" s="2028"/>
      <c r="M638" s="2028"/>
      <c r="N638" s="2415"/>
      <c r="O638" s="2371">
        <f>55*12</f>
        <v>660</v>
      </c>
      <c r="P638" s="2372"/>
      <c r="Q638" s="2373"/>
      <c r="R638" s="2156">
        <f>55*12</f>
        <v>660</v>
      </c>
      <c r="S638" s="2157"/>
      <c r="T638" s="2158"/>
      <c r="U638" s="2387">
        <v>0.03</v>
      </c>
      <c r="V638" s="2388"/>
      <c r="W638" s="2389"/>
      <c r="X638" s="2390" t="s">
        <v>489</v>
      </c>
      <c r="Y638" s="2553"/>
      <c r="Z638" s="2553"/>
      <c r="AA638" s="2553"/>
      <c r="AB638" s="2554"/>
      <c r="AC638" s="2131">
        <v>2</v>
      </c>
      <c r="AD638" s="2132"/>
      <c r="AE638" s="2133"/>
      <c r="AF638" s="2249"/>
      <c r="AG638" s="2250"/>
      <c r="AH638" s="2250"/>
      <c r="AI638" s="2250"/>
      <c r="AJ638" s="2251"/>
      <c r="AK638" s="2368"/>
      <c r="AL638" s="2369"/>
      <c r="AM638" s="2369"/>
      <c r="AN638" s="2370"/>
      <c r="AO638" s="2134">
        <v>12400000</v>
      </c>
      <c r="AP638" s="2134"/>
      <c r="AQ638" s="2134"/>
      <c r="AR638" s="2134"/>
      <c r="AS638" s="213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f t="shared" ref="DX638:DX662" si="24">DX610*(BN610/$BN$635)</f>
        <v>158.8125</v>
      </c>
      <c r="DY638" s="2552"/>
      <c r="DZ638" s="2552"/>
      <c r="EA638" s="2552"/>
      <c r="EB638" s="2552"/>
      <c r="EC638" s="2552" t="e">
        <f t="shared" ref="EC638:EC662" si="25">EC610*(BS610/$BS$635)</f>
        <v>#VALUE!</v>
      </c>
      <c r="ED638" s="2552"/>
      <c r="EE638" s="2552"/>
      <c r="EF638" s="2552"/>
      <c r="EG638" s="2552"/>
      <c r="EH638" s="2552" t="e">
        <f t="shared" ref="EH638:EH662" si="26">EH610*(BX610/$BX$635)</f>
        <v>#VALUE!</v>
      </c>
      <c r="EI638" s="2552"/>
      <c r="EJ638" s="2552"/>
      <c r="EK638" s="2552"/>
      <c r="EL638" s="2552"/>
      <c r="EM638" s="2552" t="e">
        <f t="shared" ref="EM638:EM662" si="27">EM610*(CC610/$CC$635)</f>
        <v>#VALUE!</v>
      </c>
      <c r="EN638" s="2552"/>
      <c r="EO638" s="2552"/>
      <c r="EP638" s="2552"/>
      <c r="EQ638" s="2552"/>
      <c r="ER638" s="2552" t="e">
        <f t="shared" ref="ER638:ER662" si="28">ER610*(CH610/$CH$635)</f>
        <v>#VALUE!</v>
      </c>
      <c r="ES638" s="2552"/>
      <c r="ET638" s="2552"/>
      <c r="EU638" s="2552"/>
      <c r="EV638" s="2552"/>
      <c r="EW638" s="2552" t="e">
        <f t="shared" ref="EW638:EW662" si="29">EW610*(CM610/$CM$635)</f>
        <v>#VALUE!</v>
      </c>
      <c r="EX638" s="2552"/>
      <c r="EY638" s="2552"/>
      <c r="EZ638" s="2552"/>
      <c r="FA638" s="2552"/>
    </row>
    <row r="639" spans="1:157" ht="12.75" customHeight="1">
      <c r="B639" s="84" t="s">
        <v>124</v>
      </c>
      <c r="C639" s="2163" t="s">
        <v>2670</v>
      </c>
      <c r="D639" s="2028"/>
      <c r="E639" s="2028"/>
      <c r="F639" s="2028"/>
      <c r="G639" s="2028"/>
      <c r="H639" s="2028"/>
      <c r="I639" s="2028"/>
      <c r="J639" s="2028"/>
      <c r="K639" s="2028"/>
      <c r="L639" s="2028"/>
      <c r="M639" s="2028"/>
      <c r="N639" s="2415"/>
      <c r="O639" s="2371">
        <f>55*12</f>
        <v>660</v>
      </c>
      <c r="P639" s="2372"/>
      <c r="Q639" s="2373"/>
      <c r="R639" s="2156">
        <f>55*12</f>
        <v>660</v>
      </c>
      <c r="S639" s="2157"/>
      <c r="T639" s="2158"/>
      <c r="U639" s="2387">
        <v>0.03</v>
      </c>
      <c r="V639" s="2388"/>
      <c r="W639" s="2389"/>
      <c r="X639" s="2390" t="s">
        <v>489</v>
      </c>
      <c r="Y639" s="2553"/>
      <c r="Z639" s="2553"/>
      <c r="AA639" s="2553"/>
      <c r="AB639" s="2554"/>
      <c r="AC639" s="2131">
        <v>3</v>
      </c>
      <c r="AD639" s="2132"/>
      <c r="AE639" s="2133"/>
      <c r="AF639" s="2249"/>
      <c r="AG639" s="2250"/>
      <c r="AH639" s="2250"/>
      <c r="AI639" s="2250"/>
      <c r="AJ639" s="2251"/>
      <c r="AK639" s="2368"/>
      <c r="AL639" s="2369"/>
      <c r="AM639" s="2369"/>
      <c r="AN639" s="2370"/>
      <c r="AO639" s="2134">
        <v>10000000</v>
      </c>
      <c r="AP639" s="2134"/>
      <c r="AQ639" s="2134"/>
      <c r="AR639" s="2134"/>
      <c r="AS639" s="213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f t="shared" si="24"/>
        <v>317.25</v>
      </c>
      <c r="DY639" s="2552"/>
      <c r="DZ639" s="2552"/>
      <c r="EA639" s="2552"/>
      <c r="EB639" s="2552"/>
      <c r="EC639" s="2552" t="e">
        <f t="shared" si="25"/>
        <v>#VALUE!</v>
      </c>
      <c r="ED639" s="2552"/>
      <c r="EE639" s="2552"/>
      <c r="EF639" s="2552"/>
      <c r="EG639" s="2552"/>
      <c r="EH639" s="2552" t="e">
        <f t="shared" si="26"/>
        <v>#VALUE!</v>
      </c>
      <c r="EI639" s="2552"/>
      <c r="EJ639" s="2552"/>
      <c r="EK639" s="2552"/>
      <c r="EL639" s="2552"/>
      <c r="EM639" s="2552" t="e">
        <f t="shared" si="27"/>
        <v>#VALUE!</v>
      </c>
      <c r="EN639" s="2552"/>
      <c r="EO639" s="2552"/>
      <c r="EP639" s="2552"/>
      <c r="EQ639" s="2552"/>
      <c r="ER639" s="2552" t="e">
        <f t="shared" si="28"/>
        <v>#VALUE!</v>
      </c>
      <c r="ES639" s="2552"/>
      <c r="ET639" s="2552"/>
      <c r="EU639" s="2552"/>
      <c r="EV639" s="2552"/>
      <c r="EW639" s="2552" t="e">
        <f t="shared" si="29"/>
        <v>#VALUE!</v>
      </c>
      <c r="EX639" s="2552"/>
      <c r="EY639" s="2552"/>
      <c r="EZ639" s="2552"/>
      <c r="FA639" s="2552"/>
    </row>
    <row r="640" spans="1:157" ht="12.75">
      <c r="B640" s="84" t="s">
        <v>615</v>
      </c>
      <c r="C640" s="2163" t="s">
        <v>2632</v>
      </c>
      <c r="D640" s="2028"/>
      <c r="E640" s="2028"/>
      <c r="F640" s="2028"/>
      <c r="G640" s="2028"/>
      <c r="H640" s="2028"/>
      <c r="I640" s="2028"/>
      <c r="J640" s="2028"/>
      <c r="K640" s="2028"/>
      <c r="L640" s="2028"/>
      <c r="M640" s="2028"/>
      <c r="N640" s="2415"/>
      <c r="O640" s="2371" t="s">
        <v>625</v>
      </c>
      <c r="P640" s="2372"/>
      <c r="Q640" s="2373"/>
      <c r="R640" s="2156"/>
      <c r="S640" s="2157"/>
      <c r="T640" s="2158"/>
      <c r="U640" s="2387"/>
      <c r="V640" s="2388"/>
      <c r="W640" s="2389"/>
      <c r="X640" s="2390" t="s">
        <v>489</v>
      </c>
      <c r="Y640" s="2553"/>
      <c r="Z640" s="2553"/>
      <c r="AA640" s="2553"/>
      <c r="AB640" s="2554"/>
      <c r="AC640" s="2131"/>
      <c r="AD640" s="2132"/>
      <c r="AE640" s="2133"/>
      <c r="AF640" s="2249"/>
      <c r="AG640" s="2250"/>
      <c r="AH640" s="2250"/>
      <c r="AI640" s="2250"/>
      <c r="AJ640" s="2251"/>
      <c r="AK640" s="2368"/>
      <c r="AL640" s="2369"/>
      <c r="AM640" s="2369"/>
      <c r="AN640" s="2370"/>
      <c r="AO640" s="2134">
        <v>1904000</v>
      </c>
      <c r="AP640" s="2134"/>
      <c r="AQ640" s="2134"/>
      <c r="AR640" s="2134"/>
      <c r="AS640" s="213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3</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2" t="e">
        <f t="shared" si="24"/>
        <v>#VALUE!</v>
      </c>
      <c r="DY640" s="2552"/>
      <c r="DZ640" s="2552"/>
      <c r="EA640" s="2552"/>
      <c r="EB640" s="2552"/>
      <c r="EC640" s="2552">
        <f t="shared" si="25"/>
        <v>4.5923076923076929</v>
      </c>
      <c r="ED640" s="2552"/>
      <c r="EE640" s="2552"/>
      <c r="EF640" s="2552"/>
      <c r="EG640" s="2552"/>
      <c r="EH640" s="2552" t="e">
        <f t="shared" si="26"/>
        <v>#VALUE!</v>
      </c>
      <c r="EI640" s="2552"/>
      <c r="EJ640" s="2552"/>
      <c r="EK640" s="2552"/>
      <c r="EL640" s="2552"/>
      <c r="EM640" s="2552" t="e">
        <f t="shared" si="27"/>
        <v>#VALUE!</v>
      </c>
      <c r="EN640" s="2552"/>
      <c r="EO640" s="2552"/>
      <c r="EP640" s="2552"/>
      <c r="EQ640" s="2552"/>
      <c r="ER640" s="2552" t="e">
        <f t="shared" si="28"/>
        <v>#VALUE!</v>
      </c>
      <c r="ES640" s="2552"/>
      <c r="ET640" s="2552"/>
      <c r="EU640" s="2552"/>
      <c r="EV640" s="2552"/>
      <c r="EW640" s="2552" t="e">
        <f t="shared" si="29"/>
        <v>#VALUE!</v>
      </c>
      <c r="EX640" s="2552"/>
      <c r="EY640" s="2552"/>
      <c r="EZ640" s="2552"/>
      <c r="FA640" s="2552"/>
    </row>
    <row r="641" spans="1:157" ht="12.75">
      <c r="B641" s="84" t="s">
        <v>820</v>
      </c>
      <c r="C641" s="2163" t="s">
        <v>2634</v>
      </c>
      <c r="D641" s="2028"/>
      <c r="E641" s="2028"/>
      <c r="F641" s="2028"/>
      <c r="G641" s="2028"/>
      <c r="H641" s="2028"/>
      <c r="I641" s="2028"/>
      <c r="J641" s="2028"/>
      <c r="K641" s="2028"/>
      <c r="L641" s="2028"/>
      <c r="M641" s="2028"/>
      <c r="N641" s="2415"/>
      <c r="O641" s="2371" t="s">
        <v>625</v>
      </c>
      <c r="P641" s="2372"/>
      <c r="Q641" s="2373"/>
      <c r="R641" s="2156"/>
      <c r="S641" s="2157"/>
      <c r="T641" s="2158"/>
      <c r="U641" s="2387"/>
      <c r="V641" s="2388"/>
      <c r="W641" s="2389"/>
      <c r="X641" s="2390" t="s">
        <v>307</v>
      </c>
      <c r="Y641" s="2553"/>
      <c r="Z641" s="2553"/>
      <c r="AA641" s="2553"/>
      <c r="AB641" s="2554"/>
      <c r="AC641" s="2131"/>
      <c r="AD641" s="2132"/>
      <c r="AE641" s="2133"/>
      <c r="AF641" s="2249"/>
      <c r="AG641" s="2250"/>
      <c r="AH641" s="2250"/>
      <c r="AI641" s="2250"/>
      <c r="AJ641" s="2251"/>
      <c r="AK641" s="2368"/>
      <c r="AL641" s="2369"/>
      <c r="AM641" s="2369"/>
      <c r="AN641" s="2370"/>
      <c r="AO641" s="2134">
        <f>5187694+100</f>
        <v>5187794</v>
      </c>
      <c r="AP641" s="2134"/>
      <c r="AQ641" s="2134"/>
      <c r="AR641" s="2134"/>
      <c r="AS641" s="213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2" t="e">
        <f t="shared" si="24"/>
        <v>#VALUE!</v>
      </c>
      <c r="DY641" s="2552"/>
      <c r="DZ641" s="2552"/>
      <c r="EA641" s="2552"/>
      <c r="EB641" s="2552"/>
      <c r="EC641" s="2552">
        <f t="shared" si="25"/>
        <v>151.20000000000002</v>
      </c>
      <c r="ED641" s="2552"/>
      <c r="EE641" s="2552"/>
      <c r="EF641" s="2552"/>
      <c r="EG641" s="2552"/>
      <c r="EH641" s="2552" t="e">
        <f t="shared" si="26"/>
        <v>#VALUE!</v>
      </c>
      <c r="EI641" s="2552"/>
      <c r="EJ641" s="2552"/>
      <c r="EK641" s="2552"/>
      <c r="EL641" s="2552"/>
      <c r="EM641" s="2552" t="e">
        <f t="shared" si="27"/>
        <v>#VALUE!</v>
      </c>
      <c r="EN641" s="2552"/>
      <c r="EO641" s="2552"/>
      <c r="EP641" s="2552"/>
      <c r="EQ641" s="2552"/>
      <c r="ER641" s="2552" t="e">
        <f t="shared" si="28"/>
        <v>#VALUE!</v>
      </c>
      <c r="ES641" s="2552"/>
      <c r="ET641" s="2552"/>
      <c r="EU641" s="2552"/>
      <c r="EV641" s="2552"/>
      <c r="EW641" s="2552" t="e">
        <f t="shared" si="29"/>
        <v>#VALUE!</v>
      </c>
      <c r="EX641" s="2552"/>
      <c r="EY641" s="2552"/>
      <c r="EZ641" s="2552"/>
      <c r="FA641" s="2552"/>
    </row>
    <row r="642" spans="1:157" ht="12.75">
      <c r="B642" s="84" t="s">
        <v>618</v>
      </c>
      <c r="C642" s="2028" t="s">
        <v>2126</v>
      </c>
      <c r="D642" s="2028"/>
      <c r="E642" s="2028"/>
      <c r="F642" s="2028"/>
      <c r="G642" s="2028"/>
      <c r="H642" s="2028"/>
      <c r="I642" s="2028"/>
      <c r="J642" s="2028"/>
      <c r="K642" s="2028"/>
      <c r="L642" s="2028"/>
      <c r="M642" s="2028"/>
      <c r="N642" s="2415"/>
      <c r="O642" s="2371" t="s">
        <v>625</v>
      </c>
      <c r="P642" s="2372"/>
      <c r="Q642" s="2373"/>
      <c r="R642" s="2156"/>
      <c r="S642" s="2157"/>
      <c r="T642" s="2158"/>
      <c r="U642" s="2387"/>
      <c r="V642" s="2388"/>
      <c r="W642" s="2389"/>
      <c r="X642" s="2390" t="s">
        <v>489</v>
      </c>
      <c r="Y642" s="2553"/>
      <c r="Z642" s="2553"/>
      <c r="AA642" s="2553"/>
      <c r="AB642" s="2554"/>
      <c r="AC642" s="2131"/>
      <c r="AD642" s="2132"/>
      <c r="AE642" s="2133"/>
      <c r="AF642" s="2249"/>
      <c r="AG642" s="2250"/>
      <c r="AH642" s="2250"/>
      <c r="AI642" s="2250"/>
      <c r="AJ642" s="2251"/>
      <c r="AK642" s="2368"/>
      <c r="AL642" s="2369"/>
      <c r="AM642" s="2369"/>
      <c r="AN642" s="2370"/>
      <c r="AO642" s="2134">
        <v>4608487</v>
      </c>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2" t="e">
        <f t="shared" si="24"/>
        <v>#VALUE!</v>
      </c>
      <c r="DY642" s="2552"/>
      <c r="DZ642" s="2552"/>
      <c r="EA642" s="2552"/>
      <c r="EB642" s="2552"/>
      <c r="EC642" s="2552">
        <f t="shared" si="25"/>
        <v>116</v>
      </c>
      <c r="ED642" s="2552"/>
      <c r="EE642" s="2552"/>
      <c r="EF642" s="2552"/>
      <c r="EG642" s="2552"/>
      <c r="EH642" s="2552" t="e">
        <f t="shared" si="26"/>
        <v>#VALUE!</v>
      </c>
      <c r="EI642" s="2552"/>
      <c r="EJ642" s="2552"/>
      <c r="EK642" s="2552"/>
      <c r="EL642" s="2552"/>
      <c r="EM642" s="2552" t="e">
        <f t="shared" si="27"/>
        <v>#VALUE!</v>
      </c>
      <c r="EN642" s="2552"/>
      <c r="EO642" s="2552"/>
      <c r="EP642" s="2552"/>
      <c r="EQ642" s="2552"/>
      <c r="ER642" s="2552" t="e">
        <f t="shared" si="28"/>
        <v>#VALUE!</v>
      </c>
      <c r="ES642" s="2552"/>
      <c r="ET642" s="2552"/>
      <c r="EU642" s="2552"/>
      <c r="EV642" s="2552"/>
      <c r="EW642" s="2552" t="e">
        <f t="shared" si="29"/>
        <v>#VALUE!</v>
      </c>
      <c r="EX642" s="2552"/>
      <c r="EY642" s="2552"/>
      <c r="EZ642" s="2552"/>
      <c r="FA642" s="2552"/>
    </row>
    <row r="643" spans="1:157" ht="12.75">
      <c r="B643" s="84" t="s">
        <v>486</v>
      </c>
      <c r="C643" s="2028"/>
      <c r="D643" s="2028"/>
      <c r="E643" s="2028"/>
      <c r="F643" s="2028"/>
      <c r="G643" s="2028"/>
      <c r="H643" s="2028"/>
      <c r="I643" s="2028"/>
      <c r="J643" s="2028"/>
      <c r="K643" s="2028"/>
      <c r="L643" s="2028"/>
      <c r="M643" s="2028"/>
      <c r="N643" s="2415"/>
      <c r="O643" s="2371"/>
      <c r="P643" s="2372"/>
      <c r="Q643" s="2373"/>
      <c r="R643" s="2156"/>
      <c r="S643" s="2157"/>
      <c r="T643" s="2158"/>
      <c r="U643" s="2387"/>
      <c r="V643" s="2388"/>
      <c r="W643" s="2389"/>
      <c r="X643" s="2390" t="s">
        <v>1383</v>
      </c>
      <c r="Y643" s="2553"/>
      <c r="Z643" s="2553"/>
      <c r="AA643" s="2553"/>
      <c r="AB643" s="2554"/>
      <c r="AC643" s="2131"/>
      <c r="AD643" s="2132"/>
      <c r="AE643" s="2133"/>
      <c r="AF643" s="2249"/>
      <c r="AG643" s="2250"/>
      <c r="AH643" s="2250"/>
      <c r="AI643" s="2250"/>
      <c r="AJ643" s="2251"/>
      <c r="AK643" s="2368"/>
      <c r="AL643" s="2369"/>
      <c r="AM643" s="2369"/>
      <c r="AN643" s="2370"/>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2" t="e">
        <f t="shared" si="24"/>
        <v>#VALUE!</v>
      </c>
      <c r="DY643" s="2552"/>
      <c r="DZ643" s="2552"/>
      <c r="EA643" s="2552"/>
      <c r="EB643" s="2552"/>
      <c r="EC643" s="2552">
        <f t="shared" si="25"/>
        <v>635.85384615384612</v>
      </c>
      <c r="ED643" s="2552"/>
      <c r="EE643" s="2552"/>
      <c r="EF643" s="2552"/>
      <c r="EG643" s="2552"/>
      <c r="EH643" s="2552" t="e">
        <f t="shared" si="26"/>
        <v>#VALUE!</v>
      </c>
      <c r="EI643" s="2552"/>
      <c r="EJ643" s="2552"/>
      <c r="EK643" s="2552"/>
      <c r="EL643" s="2552"/>
      <c r="EM643" s="2552" t="e">
        <f t="shared" si="27"/>
        <v>#VALUE!</v>
      </c>
      <c r="EN643" s="2552"/>
      <c r="EO643" s="2552"/>
      <c r="EP643" s="2552"/>
      <c r="EQ643" s="2552"/>
      <c r="ER643" s="2552" t="e">
        <f t="shared" si="28"/>
        <v>#VALUE!</v>
      </c>
      <c r="ES643" s="2552"/>
      <c r="ET643" s="2552"/>
      <c r="EU643" s="2552"/>
      <c r="EV643" s="2552"/>
      <c r="EW643" s="2552" t="e">
        <f t="shared" si="29"/>
        <v>#VALUE!</v>
      </c>
      <c r="EX643" s="2552"/>
      <c r="EY643" s="2552"/>
      <c r="EZ643" s="2552"/>
      <c r="FA643" s="2552"/>
    </row>
    <row r="644" spans="1:157" ht="12.75">
      <c r="B644" s="84" t="s">
        <v>487</v>
      </c>
      <c r="C644" s="2028"/>
      <c r="D644" s="2028"/>
      <c r="E644" s="2028"/>
      <c r="F644" s="2028"/>
      <c r="G644" s="2028"/>
      <c r="H644" s="2028"/>
      <c r="I644" s="2028"/>
      <c r="J644" s="2028"/>
      <c r="K644" s="2028"/>
      <c r="L644" s="2028"/>
      <c r="M644" s="2028"/>
      <c r="N644" s="2415"/>
      <c r="O644" s="2371"/>
      <c r="P644" s="2372"/>
      <c r="Q644" s="2373"/>
      <c r="R644" s="2156"/>
      <c r="S644" s="2157"/>
      <c r="T644" s="2158"/>
      <c r="U644" s="2387"/>
      <c r="V644" s="2388"/>
      <c r="W644" s="2389"/>
      <c r="X644" s="2390" t="s">
        <v>1383</v>
      </c>
      <c r="Y644" s="2553"/>
      <c r="Z644" s="2553"/>
      <c r="AA644" s="2553"/>
      <c r="AB644" s="2554"/>
      <c r="AC644" s="2131"/>
      <c r="AD644" s="2132"/>
      <c r="AE644" s="2133"/>
      <c r="AF644" s="2249"/>
      <c r="AG644" s="2250"/>
      <c r="AH644" s="2250"/>
      <c r="AI644" s="2250"/>
      <c r="AJ644" s="2251"/>
      <c r="AK644" s="2368"/>
      <c r="AL644" s="2369"/>
      <c r="AM644" s="2369"/>
      <c r="AN644" s="2370"/>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3</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3</v>
      </c>
      <c r="CT644" s="134" t="s">
        <v>2387</v>
      </c>
      <c r="CU644" s="58"/>
      <c r="CV644" s="58"/>
      <c r="CW644" s="58"/>
      <c r="CX644" s="58"/>
      <c r="CY644" s="58"/>
      <c r="CZ644" s="58"/>
      <c r="DA644" s="58"/>
      <c r="DB644" s="58"/>
      <c r="DC644" s="58"/>
      <c r="DD644" s="58"/>
      <c r="DE644" s="58"/>
      <c r="DF644" s="58"/>
      <c r="DX644" s="2552" t="e">
        <f t="shared" si="24"/>
        <v>#VALUE!</v>
      </c>
      <c r="DY644" s="2552"/>
      <c r="DZ644" s="2552"/>
      <c r="EA644" s="2552"/>
      <c r="EB644" s="2552"/>
      <c r="EC644" s="2552">
        <f t="shared" si="25"/>
        <v>328.07692307692309</v>
      </c>
      <c r="ED644" s="2552"/>
      <c r="EE644" s="2552"/>
      <c r="EF644" s="2552"/>
      <c r="EG644" s="2552"/>
      <c r="EH644" s="2552" t="e">
        <f t="shared" si="26"/>
        <v>#VALUE!</v>
      </c>
      <c r="EI644" s="2552"/>
      <c r="EJ644" s="2552"/>
      <c r="EK644" s="2552"/>
      <c r="EL644" s="2552"/>
      <c r="EM644" s="2552" t="e">
        <f t="shared" si="27"/>
        <v>#VALUE!</v>
      </c>
      <c r="EN644" s="2552"/>
      <c r="EO644" s="2552"/>
      <c r="EP644" s="2552"/>
      <c r="EQ644" s="2552"/>
      <c r="ER644" s="2552" t="e">
        <f t="shared" si="28"/>
        <v>#VALUE!</v>
      </c>
      <c r="ES644" s="2552"/>
      <c r="ET644" s="2552"/>
      <c r="EU644" s="2552"/>
      <c r="EV644" s="2552"/>
      <c r="EW644" s="2552" t="e">
        <f t="shared" si="29"/>
        <v>#VALUE!</v>
      </c>
      <c r="EX644" s="2552"/>
      <c r="EY644" s="2552"/>
      <c r="EZ644" s="2552"/>
      <c r="FA644" s="2552"/>
    </row>
    <row r="645" spans="1:157" ht="12.75">
      <c r="B645" s="84" t="s">
        <v>493</v>
      </c>
      <c r="C645" s="2028"/>
      <c r="D645" s="2028"/>
      <c r="E645" s="2028"/>
      <c r="F645" s="2028"/>
      <c r="G645" s="2028"/>
      <c r="H645" s="2028"/>
      <c r="I645" s="2028"/>
      <c r="J645" s="2028"/>
      <c r="K645" s="2028"/>
      <c r="L645" s="2028"/>
      <c r="M645" s="2028"/>
      <c r="N645" s="2415"/>
      <c r="O645" s="2371"/>
      <c r="P645" s="2372"/>
      <c r="Q645" s="2373"/>
      <c r="R645" s="2156"/>
      <c r="S645" s="2157"/>
      <c r="T645" s="2158"/>
      <c r="U645" s="2387"/>
      <c r="V645" s="2388"/>
      <c r="W645" s="2389"/>
      <c r="X645" s="2390" t="s">
        <v>1383</v>
      </c>
      <c r="Y645" s="2553"/>
      <c r="Z645" s="2553"/>
      <c r="AA645" s="2553"/>
      <c r="AB645" s="2554"/>
      <c r="AC645" s="2131"/>
      <c r="AD645" s="2132"/>
      <c r="AE645" s="2133"/>
      <c r="AF645" s="2249"/>
      <c r="AG645" s="2250"/>
      <c r="AH645" s="2250"/>
      <c r="AI645" s="2250"/>
      <c r="AJ645" s="2251"/>
      <c r="AK645" s="2368"/>
      <c r="AL645" s="2369"/>
      <c r="AM645" s="2369"/>
      <c r="AN645" s="2370"/>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2389</v>
      </c>
      <c r="CU645" s="58"/>
      <c r="CV645" s="58"/>
      <c r="CW645" s="58"/>
      <c r="CX645" s="58"/>
      <c r="CY645" s="58"/>
      <c r="CZ645" s="58"/>
      <c r="DA645" s="58"/>
      <c r="DB645" s="58"/>
      <c r="DC645" s="58"/>
      <c r="DD645" s="58"/>
      <c r="DE645" s="58"/>
      <c r="DF645" s="58"/>
      <c r="DX645" s="2552" t="e">
        <f t="shared" si="24"/>
        <v>#VALUE!</v>
      </c>
      <c r="DY645" s="2552"/>
      <c r="DZ645" s="2552"/>
      <c r="EA645" s="2552"/>
      <c r="EB645" s="2552"/>
      <c r="EC645" s="2552" t="e">
        <f t="shared" si="25"/>
        <v>#VALUE!</v>
      </c>
      <c r="ED645" s="2552"/>
      <c r="EE645" s="2552"/>
      <c r="EF645" s="2552"/>
      <c r="EG645" s="2552"/>
      <c r="EH645" s="2552">
        <f t="shared" si="26"/>
        <v>137.55555555555554</v>
      </c>
      <c r="EI645" s="2552"/>
      <c r="EJ645" s="2552"/>
      <c r="EK645" s="2552"/>
      <c r="EL645" s="2552"/>
      <c r="EM645" s="2552" t="e">
        <f t="shared" si="27"/>
        <v>#VALUE!</v>
      </c>
      <c r="EN645" s="2552"/>
      <c r="EO645" s="2552"/>
      <c r="EP645" s="2552"/>
      <c r="EQ645" s="2552"/>
      <c r="ER645" s="2552" t="e">
        <f t="shared" si="28"/>
        <v>#VALUE!</v>
      </c>
      <c r="ES645" s="2552"/>
      <c r="ET645" s="2552"/>
      <c r="EU645" s="2552"/>
      <c r="EV645" s="2552"/>
      <c r="EW645" s="2552" t="e">
        <f t="shared" si="29"/>
        <v>#VALUE!</v>
      </c>
      <c r="EX645" s="2552"/>
      <c r="EY645" s="2552"/>
      <c r="EZ645" s="2552"/>
      <c r="FA645" s="2552"/>
    </row>
    <row r="646" spans="1:157" ht="12.75">
      <c r="B646" s="84" t="s">
        <v>680</v>
      </c>
      <c r="C646" s="2028"/>
      <c r="D646" s="2028"/>
      <c r="E646" s="2028"/>
      <c r="F646" s="2028"/>
      <c r="G646" s="2028"/>
      <c r="H646" s="2028"/>
      <c r="I646" s="2028"/>
      <c r="J646" s="2028"/>
      <c r="K646" s="2028"/>
      <c r="L646" s="2028"/>
      <c r="M646" s="2028"/>
      <c r="N646" s="2415"/>
      <c r="O646" s="2371"/>
      <c r="P646" s="2372"/>
      <c r="Q646" s="2373"/>
      <c r="R646" s="2156"/>
      <c r="S646" s="2157"/>
      <c r="T646" s="2158"/>
      <c r="U646" s="2387"/>
      <c r="V646" s="2388"/>
      <c r="W646" s="2389"/>
      <c r="X646" s="2390" t="s">
        <v>1383</v>
      </c>
      <c r="Y646" s="2553"/>
      <c r="Z646" s="2553"/>
      <c r="AA646" s="2553"/>
      <c r="AB646" s="2554"/>
      <c r="AC646" s="2131"/>
      <c r="AD646" s="2132"/>
      <c r="AE646" s="2133"/>
      <c r="AF646" s="2249"/>
      <c r="AG646" s="2250"/>
      <c r="AH646" s="2250"/>
      <c r="AI646" s="2250"/>
      <c r="AJ646" s="2251"/>
      <c r="AK646" s="2368"/>
      <c r="AL646" s="2369"/>
      <c r="AM646" s="2369"/>
      <c r="AN646" s="2370"/>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4"/>
        <v>#VALUE!</v>
      </c>
      <c r="DY646" s="2552"/>
      <c r="DZ646" s="2552"/>
      <c r="EA646" s="2552"/>
      <c r="EB646" s="2552"/>
      <c r="EC646" s="2552" t="e">
        <f t="shared" si="25"/>
        <v>#VALUE!</v>
      </c>
      <c r="ED646" s="2552"/>
      <c r="EE646" s="2552"/>
      <c r="EF646" s="2552"/>
      <c r="EG646" s="2552"/>
      <c r="EH646" s="2552">
        <f t="shared" si="26"/>
        <v>1809.7777777777776</v>
      </c>
      <c r="EI646" s="2552"/>
      <c r="EJ646" s="2552"/>
      <c r="EK646" s="2552"/>
      <c r="EL646" s="2552"/>
      <c r="EM646" s="2552" t="e">
        <f t="shared" si="27"/>
        <v>#VALUE!</v>
      </c>
      <c r="EN646" s="2552"/>
      <c r="EO646" s="2552"/>
      <c r="EP646" s="2552"/>
      <c r="EQ646" s="2552"/>
      <c r="ER646" s="2552" t="e">
        <f t="shared" si="28"/>
        <v>#VALUE!</v>
      </c>
      <c r="ES646" s="2552"/>
      <c r="ET646" s="2552"/>
      <c r="EU646" s="2552"/>
      <c r="EV646" s="2552"/>
      <c r="EW646" s="2552" t="e">
        <f t="shared" si="29"/>
        <v>#VALUE!</v>
      </c>
      <c r="EX646" s="2552"/>
      <c r="EY646" s="2552"/>
      <c r="EZ646" s="2552"/>
      <c r="FA646" s="2552"/>
    </row>
    <row r="647" spans="1:157" ht="12.75">
      <c r="B647" s="84" t="s">
        <v>371</v>
      </c>
      <c r="C647" s="2028"/>
      <c r="D647" s="2028"/>
      <c r="E647" s="2028"/>
      <c r="F647" s="2028"/>
      <c r="G647" s="2028"/>
      <c r="H647" s="2028"/>
      <c r="I647" s="2028"/>
      <c r="J647" s="2028"/>
      <c r="K647" s="2028"/>
      <c r="L647" s="2028"/>
      <c r="M647" s="2028"/>
      <c r="N647" s="2415"/>
      <c r="O647" s="2371"/>
      <c r="P647" s="2372"/>
      <c r="Q647" s="2373"/>
      <c r="R647" s="2156"/>
      <c r="S647" s="2157"/>
      <c r="T647" s="2158"/>
      <c r="U647" s="2387"/>
      <c r="V647" s="2388"/>
      <c r="W647" s="2389"/>
      <c r="X647" s="2390" t="s">
        <v>1383</v>
      </c>
      <c r="Y647" s="2553"/>
      <c r="Z647" s="2553"/>
      <c r="AA647" s="2553"/>
      <c r="AB647" s="2554"/>
      <c r="AC647" s="2131"/>
      <c r="AD647" s="2132"/>
      <c r="AE647" s="2133"/>
      <c r="AF647" s="2249"/>
      <c r="AG647" s="2250"/>
      <c r="AH647" s="2250"/>
      <c r="AI647" s="2250"/>
      <c r="AJ647" s="2251"/>
      <c r="AK647" s="2368"/>
      <c r="AL647" s="2369"/>
      <c r="AM647" s="2369"/>
      <c r="AN647" s="2370"/>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4"/>
        <v>#VALUE!</v>
      </c>
      <c r="DY647" s="2552"/>
      <c r="DZ647" s="2552"/>
      <c r="EA647" s="2552"/>
      <c r="EB647" s="2552"/>
      <c r="EC647" s="2552" t="e">
        <f t="shared" si="25"/>
        <v>#VALUE!</v>
      </c>
      <c r="ED647" s="2552"/>
      <c r="EE647" s="2552"/>
      <c r="EF647" s="2552"/>
      <c r="EG647" s="2552"/>
      <c r="EH647" s="2552" t="e">
        <f t="shared" si="26"/>
        <v>#VALUE!</v>
      </c>
      <c r="EI647" s="2552"/>
      <c r="EJ647" s="2552"/>
      <c r="EK647" s="2552"/>
      <c r="EL647" s="2552"/>
      <c r="EM647" s="2552" t="e">
        <f t="shared" si="27"/>
        <v>#VALUE!</v>
      </c>
      <c r="EN647" s="2552"/>
      <c r="EO647" s="2552"/>
      <c r="EP647" s="2552"/>
      <c r="EQ647" s="2552"/>
      <c r="ER647" s="2552" t="e">
        <f t="shared" si="28"/>
        <v>#VALUE!</v>
      </c>
      <c r="ES647" s="2552"/>
      <c r="ET647" s="2552"/>
      <c r="EU647" s="2552"/>
      <c r="EV647" s="2552"/>
      <c r="EW647" s="2552" t="e">
        <f t="shared" si="29"/>
        <v>#VALUE!</v>
      </c>
      <c r="EX647" s="2552"/>
      <c r="EY647" s="2552"/>
      <c r="EZ647" s="2552"/>
      <c r="FA647" s="2552"/>
    </row>
    <row r="648" spans="1:157" ht="12.75">
      <c r="B648" s="84" t="s">
        <v>372</v>
      </c>
      <c r="C648" s="2028"/>
      <c r="D648" s="2028"/>
      <c r="E648" s="2028"/>
      <c r="F648" s="2028"/>
      <c r="G648" s="2028"/>
      <c r="H648" s="2028"/>
      <c r="I648" s="2028"/>
      <c r="J648" s="2028"/>
      <c r="K648" s="2028"/>
      <c r="L648" s="2028"/>
      <c r="M648" s="2028"/>
      <c r="N648" s="2415"/>
      <c r="O648" s="2371"/>
      <c r="P648" s="2372"/>
      <c r="Q648" s="2373"/>
      <c r="R648" s="2156"/>
      <c r="S648" s="2157"/>
      <c r="T648" s="2158"/>
      <c r="U648" s="2387"/>
      <c r="V648" s="2388"/>
      <c r="W648" s="2389"/>
      <c r="X648" s="2390" t="s">
        <v>1383</v>
      </c>
      <c r="Y648" s="2553"/>
      <c r="Z648" s="2553"/>
      <c r="AA648" s="2553"/>
      <c r="AB648" s="2554"/>
      <c r="AC648" s="2131"/>
      <c r="AD648" s="2132"/>
      <c r="AE648" s="2133"/>
      <c r="AF648" s="2249"/>
      <c r="AG648" s="2250"/>
      <c r="AH648" s="2250"/>
      <c r="AI648" s="2250"/>
      <c r="AJ648" s="2251"/>
      <c r="AK648" s="2368"/>
      <c r="AL648" s="2369"/>
      <c r="AM648" s="2369"/>
      <c r="AN648" s="2370"/>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30">IF(J786="SRO/Studio",O786,0)</f>
        <v>0</v>
      </c>
      <c r="BO648" s="2012"/>
      <c r="BP648" s="2012"/>
      <c r="BQ648" s="2012"/>
      <c r="BR648" s="2013"/>
      <c r="BS648" s="2010">
        <f t="shared" ref="BS648:BS657" si="31">IF(J786="1 Bedroom",O786,0)</f>
        <v>0</v>
      </c>
      <c r="BT648" s="2010"/>
      <c r="BU648" s="2010"/>
      <c r="BV648" s="2010"/>
      <c r="BW648" s="2010"/>
      <c r="BX648" s="2010">
        <f t="shared" ref="BX648:BX657" si="32">IF(J786="2 Bedrooms",O786,0)</f>
        <v>0</v>
      </c>
      <c r="BY648" s="2010"/>
      <c r="BZ648" s="2010"/>
      <c r="CA648" s="2010"/>
      <c r="CB648" s="2010"/>
      <c r="CC648" s="2010">
        <f t="shared" ref="CC648:CC657" si="33">IF(J786="3 Bedrooms",O786,0)</f>
        <v>0</v>
      </c>
      <c r="CD648" s="2010"/>
      <c r="CE648" s="2010"/>
      <c r="CF648" s="2010"/>
      <c r="CG648" s="2010"/>
      <c r="CH648" s="2010">
        <f t="shared" ref="CH648:CH657" si="34">IF(J786="4 Bedrooms",O786,0)</f>
        <v>0</v>
      </c>
      <c r="CI648" s="2010"/>
      <c r="CJ648" s="2010"/>
      <c r="CK648" s="2010"/>
      <c r="CL648" s="2010"/>
      <c r="CM648" s="2010">
        <f t="shared" ref="CM648:CM657" si="35">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2" t="e">
        <f t="shared" si="24"/>
        <v>#VALUE!</v>
      </c>
      <c r="DY648" s="2552"/>
      <c r="DZ648" s="2552"/>
      <c r="EA648" s="2552"/>
      <c r="EB648" s="2552"/>
      <c r="EC648" s="2552" t="e">
        <f t="shared" si="25"/>
        <v>#VALUE!</v>
      </c>
      <c r="ED648" s="2552"/>
      <c r="EE648" s="2552"/>
      <c r="EF648" s="2552"/>
      <c r="EG648" s="2552"/>
      <c r="EH648" s="2552" t="e">
        <f t="shared" si="26"/>
        <v>#VALUE!</v>
      </c>
      <c r="EI648" s="2552"/>
      <c r="EJ648" s="2552"/>
      <c r="EK648" s="2552"/>
      <c r="EL648" s="2552"/>
      <c r="EM648" s="2552" t="e">
        <f t="shared" si="27"/>
        <v>#VALUE!</v>
      </c>
      <c r="EN648" s="2552"/>
      <c r="EO648" s="2552"/>
      <c r="EP648" s="2552"/>
      <c r="EQ648" s="2552"/>
      <c r="ER648" s="2552" t="e">
        <f t="shared" si="28"/>
        <v>#VALUE!</v>
      </c>
      <c r="ES648" s="2552"/>
      <c r="ET648" s="2552"/>
      <c r="EU648" s="2552"/>
      <c r="EV648" s="2552"/>
      <c r="EW648" s="2552" t="e">
        <f t="shared" si="29"/>
        <v>#VALUE!</v>
      </c>
      <c r="EX648" s="2552"/>
      <c r="EY648" s="2552"/>
      <c r="EZ648" s="2552"/>
      <c r="FA648" s="2552"/>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6">
        <f>SUM(AO637:AR648)</f>
        <v>68937310</v>
      </c>
      <c r="AP649" s="2137"/>
      <c r="AQ649" s="2137"/>
      <c r="AR649" s="2137"/>
      <c r="AS649" s="2138"/>
      <c r="AZ649" s="58"/>
      <c r="BA649" s="58"/>
      <c r="BB649" s="58"/>
      <c r="BC649" s="58"/>
      <c r="BD649" s="58"/>
      <c r="BE649" s="58"/>
      <c r="BF649" s="58"/>
      <c r="BG649" s="58"/>
      <c r="BH649" s="58"/>
      <c r="BI649" s="58"/>
      <c r="BJ649" s="58"/>
      <c r="BK649" s="58"/>
      <c r="BL649" s="58"/>
      <c r="BM649" s="58"/>
      <c r="BN649" s="2011">
        <f t="shared" si="30"/>
        <v>0</v>
      </c>
      <c r="BO649" s="2012"/>
      <c r="BP649" s="2012"/>
      <c r="BQ649" s="2012"/>
      <c r="BR649" s="2013"/>
      <c r="BS649" s="2010">
        <f t="shared" si="31"/>
        <v>0</v>
      </c>
      <c r="BT649" s="2010"/>
      <c r="BU649" s="2010"/>
      <c r="BV649" s="2010"/>
      <c r="BW649" s="2010"/>
      <c r="BX649" s="2010">
        <f t="shared" si="32"/>
        <v>0</v>
      </c>
      <c r="BY649" s="2010"/>
      <c r="BZ649" s="2010"/>
      <c r="CA649" s="2010"/>
      <c r="CB649" s="2010"/>
      <c r="CC649" s="2010">
        <f t="shared" si="33"/>
        <v>0</v>
      </c>
      <c r="CD649" s="2010"/>
      <c r="CE649" s="2010"/>
      <c r="CF649" s="2010"/>
      <c r="CG649" s="2010"/>
      <c r="CH649" s="2010">
        <f t="shared" si="34"/>
        <v>0</v>
      </c>
      <c r="CI649" s="2010"/>
      <c r="CJ649" s="2010"/>
      <c r="CK649" s="2010"/>
      <c r="CL649" s="2010"/>
      <c r="CM649" s="2010">
        <f t="shared" si="35"/>
        <v>0</v>
      </c>
      <c r="CN649" s="2010"/>
      <c r="CO649" s="2010"/>
      <c r="CP649" s="2010"/>
      <c r="CQ649" s="2010"/>
      <c r="CR649" s="265"/>
      <c r="CS649" s="2011">
        <f t="shared" ref="CS649:CS657" si="36">IF(AND(BN649&gt;=1,AH787&gt;=0.1,AH787&lt;=1),O787,0)</f>
        <v>0</v>
      </c>
      <c r="CT649" s="2012"/>
      <c r="CU649" s="2012"/>
      <c r="CV649" s="2012"/>
      <c r="CW649" s="2013"/>
      <c r="CX649" s="2011">
        <f t="shared" ref="CX649:CX657" si="37">IF(AND(BS649&gt;=1,AH787&gt;=0.1,AH787&lt;=1),O787,0)</f>
        <v>0</v>
      </c>
      <c r="CY649" s="2012"/>
      <c r="CZ649" s="2012"/>
      <c r="DA649" s="2012"/>
      <c r="DB649" s="2013"/>
      <c r="DC649" s="2011">
        <f t="shared" ref="DC649:DC657" si="38">IF(AND(BX649&gt;=1,AH787&gt;=0.1,AH787&lt;=1),O787,0)</f>
        <v>0</v>
      </c>
      <c r="DD649" s="2012"/>
      <c r="DE649" s="2012"/>
      <c r="DF649" s="2012"/>
      <c r="DG649" s="2013"/>
      <c r="DH649" s="2011">
        <f t="shared" ref="DH649:DH657" si="39">IF(AND(CC649&gt;=1,AH787&gt;=0.1,AH787&lt;=1),O787,0)</f>
        <v>0</v>
      </c>
      <c r="DI649" s="2012"/>
      <c r="DJ649" s="2012"/>
      <c r="DK649" s="2012"/>
      <c r="DL649" s="2013"/>
      <c r="DM649" s="2011">
        <f t="shared" ref="DM649:DM657" si="40">IF(AND(CH649&gt;=1,AH787&gt;=0.1,AH787&lt;=1),O787,0)</f>
        <v>0</v>
      </c>
      <c r="DN649" s="2012"/>
      <c r="DO649" s="2012"/>
      <c r="DP649" s="2012"/>
      <c r="DQ649" s="2013"/>
      <c r="DR649" s="2011">
        <f t="shared" ref="DR649:DR657" si="41">IF(AND(CM649&gt;=1,AH787&gt;=0.1,AH787&lt;=1),O787,0)</f>
        <v>0</v>
      </c>
      <c r="DS649" s="2012"/>
      <c r="DT649" s="2012"/>
      <c r="DU649" s="2012"/>
      <c r="DV649" s="2013"/>
      <c r="DX649" s="2552" t="e">
        <f t="shared" si="24"/>
        <v>#VALUE!</v>
      </c>
      <c r="DY649" s="2552"/>
      <c r="DZ649" s="2552"/>
      <c r="EA649" s="2552"/>
      <c r="EB649" s="2552"/>
      <c r="EC649" s="2552" t="e">
        <f t="shared" si="25"/>
        <v>#VALUE!</v>
      </c>
      <c r="ED649" s="2552"/>
      <c r="EE649" s="2552"/>
      <c r="EF649" s="2552"/>
      <c r="EG649" s="2552"/>
      <c r="EH649" s="2552" t="e">
        <f t="shared" si="26"/>
        <v>#VALUE!</v>
      </c>
      <c r="EI649" s="2552"/>
      <c r="EJ649" s="2552"/>
      <c r="EK649" s="2552"/>
      <c r="EL649" s="2552"/>
      <c r="EM649" s="2552" t="e">
        <f t="shared" si="27"/>
        <v>#VALUE!</v>
      </c>
      <c r="EN649" s="2552"/>
      <c r="EO649" s="2552"/>
      <c r="EP649" s="2552"/>
      <c r="EQ649" s="2552"/>
      <c r="ER649" s="2552" t="e">
        <f t="shared" si="28"/>
        <v>#VALUE!</v>
      </c>
      <c r="ES649" s="2552"/>
      <c r="ET649" s="2552"/>
      <c r="EU649" s="2552"/>
      <c r="EV649" s="2552"/>
      <c r="EW649" s="2552" t="e">
        <f t="shared" si="29"/>
        <v>#VALUE!</v>
      </c>
      <c r="EX649" s="2552"/>
      <c r="EY649" s="2552"/>
      <c r="EZ649" s="2552"/>
      <c r="FA649" s="2552"/>
    </row>
    <row r="650" spans="1:157" ht="12.75" customHeight="1">
      <c r="B650" s="2183" t="s">
        <v>272</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30">
        <v>80509507</v>
      </c>
      <c r="AP650" s="2031"/>
      <c r="AQ650" s="2031"/>
      <c r="AR650" s="2031"/>
      <c r="AS650" s="2032"/>
      <c r="AZ650" s="61"/>
      <c r="BA650" s="61"/>
      <c r="BB650" s="61"/>
      <c r="BC650" s="61"/>
      <c r="BD650" s="61"/>
      <c r="BE650" s="61"/>
      <c r="BF650" s="61"/>
      <c r="BG650" s="61"/>
      <c r="BH650" s="61"/>
      <c r="BI650" s="61"/>
      <c r="BJ650" s="61"/>
      <c r="BK650" s="61"/>
      <c r="BL650" s="61"/>
      <c r="BM650" s="61"/>
      <c r="BN650" s="2011">
        <f t="shared" si="30"/>
        <v>0</v>
      </c>
      <c r="BO650" s="2012"/>
      <c r="BP650" s="2012"/>
      <c r="BQ650" s="2012"/>
      <c r="BR650" s="2013"/>
      <c r="BS650" s="2010">
        <f t="shared" si="31"/>
        <v>0</v>
      </c>
      <c r="BT650" s="2010"/>
      <c r="BU650" s="2010"/>
      <c r="BV650" s="2010"/>
      <c r="BW650" s="2010"/>
      <c r="BX650" s="2010">
        <f t="shared" si="32"/>
        <v>0</v>
      </c>
      <c r="BY650" s="2010"/>
      <c r="BZ650" s="2010"/>
      <c r="CA650" s="2010"/>
      <c r="CB650" s="2010"/>
      <c r="CC650" s="2010">
        <f t="shared" si="33"/>
        <v>0</v>
      </c>
      <c r="CD650" s="2010"/>
      <c r="CE650" s="2010"/>
      <c r="CF650" s="2010"/>
      <c r="CG650" s="2010"/>
      <c r="CH650" s="2010">
        <f t="shared" si="34"/>
        <v>0</v>
      </c>
      <c r="CI650" s="2010"/>
      <c r="CJ650" s="2010"/>
      <c r="CK650" s="2010"/>
      <c r="CL650" s="2010"/>
      <c r="CM650" s="2010">
        <f t="shared" si="35"/>
        <v>0</v>
      </c>
      <c r="CN650" s="2010"/>
      <c r="CO650" s="2010"/>
      <c r="CP650" s="2010"/>
      <c r="CQ650" s="2010"/>
      <c r="CR650" s="265"/>
      <c r="CS650" s="2011">
        <f t="shared" si="36"/>
        <v>0</v>
      </c>
      <c r="CT650" s="2012"/>
      <c r="CU650" s="2012"/>
      <c r="CV650" s="2012"/>
      <c r="CW650" s="2013"/>
      <c r="CX650" s="2011">
        <f t="shared" si="37"/>
        <v>0</v>
      </c>
      <c r="CY650" s="2012"/>
      <c r="CZ650" s="2012"/>
      <c r="DA650" s="2012"/>
      <c r="DB650" s="2013"/>
      <c r="DC650" s="2011">
        <f t="shared" si="38"/>
        <v>0</v>
      </c>
      <c r="DD650" s="2012"/>
      <c r="DE650" s="2012"/>
      <c r="DF650" s="2012"/>
      <c r="DG650" s="2013"/>
      <c r="DH650" s="2011">
        <f t="shared" si="39"/>
        <v>0</v>
      </c>
      <c r="DI650" s="2012"/>
      <c r="DJ650" s="2012"/>
      <c r="DK650" s="2012"/>
      <c r="DL650" s="2013"/>
      <c r="DM650" s="2011">
        <f t="shared" si="40"/>
        <v>0</v>
      </c>
      <c r="DN650" s="2012"/>
      <c r="DO650" s="2012"/>
      <c r="DP650" s="2012"/>
      <c r="DQ650" s="2013"/>
      <c r="DR650" s="2011">
        <f t="shared" si="41"/>
        <v>0</v>
      </c>
      <c r="DS650" s="2012"/>
      <c r="DT650" s="2012"/>
      <c r="DU650" s="2012"/>
      <c r="DV650" s="2013"/>
      <c r="DX650" s="2552" t="e">
        <f t="shared" si="24"/>
        <v>#VALUE!</v>
      </c>
      <c r="DY650" s="2552"/>
      <c r="DZ650" s="2552"/>
      <c r="EA650" s="2552"/>
      <c r="EB650" s="2552"/>
      <c r="EC650" s="2552" t="e">
        <f t="shared" si="25"/>
        <v>#VALUE!</v>
      </c>
      <c r="ED650" s="2552"/>
      <c r="EE650" s="2552"/>
      <c r="EF650" s="2552"/>
      <c r="EG650" s="2552"/>
      <c r="EH650" s="2552" t="e">
        <f t="shared" si="26"/>
        <v>#VALUE!</v>
      </c>
      <c r="EI650" s="2552"/>
      <c r="EJ650" s="2552"/>
      <c r="EK650" s="2552"/>
      <c r="EL650" s="2552"/>
      <c r="EM650" s="2552" t="e">
        <f t="shared" si="27"/>
        <v>#VALUE!</v>
      </c>
      <c r="EN650" s="2552"/>
      <c r="EO650" s="2552"/>
      <c r="EP650" s="2552"/>
      <c r="EQ650" s="2552"/>
      <c r="ER650" s="2552" t="e">
        <f t="shared" si="28"/>
        <v>#VALUE!</v>
      </c>
      <c r="ES650" s="2552"/>
      <c r="ET650" s="2552"/>
      <c r="EU650" s="2552"/>
      <c r="EV650" s="2552"/>
      <c r="EW650" s="2552" t="e">
        <f t="shared" si="29"/>
        <v>#VALUE!</v>
      </c>
      <c r="EX650" s="2552"/>
      <c r="EY650" s="2552"/>
      <c r="EZ650" s="2552"/>
      <c r="FA650" s="2552"/>
    </row>
    <row r="651" spans="1:157" ht="12.75" customHeight="1">
      <c r="B651" s="2257" t="s">
        <v>273</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58"/>
      <c r="AO651" s="2136">
        <f>AO649+AO650</f>
        <v>149446817</v>
      </c>
      <c r="AP651" s="2137"/>
      <c r="AQ651" s="2137"/>
      <c r="AR651" s="2137"/>
      <c r="AS651" s="2138"/>
      <c r="AZ651" s="61"/>
      <c r="BA651" s="61"/>
      <c r="BB651" s="61"/>
      <c r="BC651" s="61"/>
      <c r="BD651" s="61"/>
      <c r="BE651" s="61"/>
      <c r="BF651" s="61"/>
      <c r="BG651" s="61"/>
      <c r="BH651" s="61"/>
      <c r="BI651" s="61"/>
      <c r="BJ651" s="61"/>
      <c r="BK651" s="61"/>
      <c r="BL651" s="61"/>
      <c r="BM651" s="61"/>
      <c r="BN651" s="2011">
        <f t="shared" si="30"/>
        <v>0</v>
      </c>
      <c r="BO651" s="2012"/>
      <c r="BP651" s="2012"/>
      <c r="BQ651" s="2012"/>
      <c r="BR651" s="2013"/>
      <c r="BS651" s="2010">
        <f t="shared" si="31"/>
        <v>0</v>
      </c>
      <c r="BT651" s="2010"/>
      <c r="BU651" s="2010"/>
      <c r="BV651" s="2010"/>
      <c r="BW651" s="2010"/>
      <c r="BX651" s="2010">
        <f t="shared" si="32"/>
        <v>0</v>
      </c>
      <c r="BY651" s="2010"/>
      <c r="BZ651" s="2010"/>
      <c r="CA651" s="2010"/>
      <c r="CB651" s="2010"/>
      <c r="CC651" s="2010">
        <f t="shared" si="33"/>
        <v>0</v>
      </c>
      <c r="CD651" s="2010"/>
      <c r="CE651" s="2010"/>
      <c r="CF651" s="2010"/>
      <c r="CG651" s="2010"/>
      <c r="CH651" s="2010">
        <f t="shared" si="34"/>
        <v>0</v>
      </c>
      <c r="CI651" s="2010"/>
      <c r="CJ651" s="2010"/>
      <c r="CK651" s="2010"/>
      <c r="CL651" s="2010"/>
      <c r="CM651" s="2010">
        <f t="shared" si="35"/>
        <v>0</v>
      </c>
      <c r="CN651" s="2010"/>
      <c r="CO651" s="2010"/>
      <c r="CP651" s="2010"/>
      <c r="CQ651" s="2010"/>
      <c r="CR651" s="265"/>
      <c r="CS651" s="2011">
        <f t="shared" si="36"/>
        <v>0</v>
      </c>
      <c r="CT651" s="2012"/>
      <c r="CU651" s="2012"/>
      <c r="CV651" s="2012"/>
      <c r="CW651" s="2013"/>
      <c r="CX651" s="2011">
        <f t="shared" si="37"/>
        <v>0</v>
      </c>
      <c r="CY651" s="2012"/>
      <c r="CZ651" s="2012"/>
      <c r="DA651" s="2012"/>
      <c r="DB651" s="2013"/>
      <c r="DC651" s="2011">
        <f t="shared" si="38"/>
        <v>0</v>
      </c>
      <c r="DD651" s="2012"/>
      <c r="DE651" s="2012"/>
      <c r="DF651" s="2012"/>
      <c r="DG651" s="2013"/>
      <c r="DH651" s="2011">
        <f t="shared" si="39"/>
        <v>0</v>
      </c>
      <c r="DI651" s="2012"/>
      <c r="DJ651" s="2012"/>
      <c r="DK651" s="2012"/>
      <c r="DL651" s="2013"/>
      <c r="DM651" s="2011">
        <f t="shared" si="40"/>
        <v>0</v>
      </c>
      <c r="DN651" s="2012"/>
      <c r="DO651" s="2012"/>
      <c r="DP651" s="2012"/>
      <c r="DQ651" s="2013"/>
      <c r="DR651" s="2011">
        <f t="shared" si="41"/>
        <v>0</v>
      </c>
      <c r="DS651" s="2012"/>
      <c r="DT651" s="2012"/>
      <c r="DU651" s="2012"/>
      <c r="DV651" s="2013"/>
      <c r="DX651" s="2552" t="e">
        <f t="shared" si="24"/>
        <v>#VALUE!</v>
      </c>
      <c r="DY651" s="2552"/>
      <c r="DZ651" s="2552"/>
      <c r="EA651" s="2552"/>
      <c r="EB651" s="2552"/>
      <c r="EC651" s="2552" t="e">
        <f t="shared" si="25"/>
        <v>#VALUE!</v>
      </c>
      <c r="ED651" s="2552"/>
      <c r="EE651" s="2552"/>
      <c r="EF651" s="2552"/>
      <c r="EG651" s="2552"/>
      <c r="EH651" s="2552" t="e">
        <f t="shared" si="26"/>
        <v>#VALUE!</v>
      </c>
      <c r="EI651" s="2552"/>
      <c r="EJ651" s="2552"/>
      <c r="EK651" s="2552"/>
      <c r="EL651" s="2552"/>
      <c r="EM651" s="2552" t="e">
        <f t="shared" si="27"/>
        <v>#VALUE!</v>
      </c>
      <c r="EN651" s="2552"/>
      <c r="EO651" s="2552"/>
      <c r="EP651" s="2552"/>
      <c r="EQ651" s="2552"/>
      <c r="ER651" s="2552" t="e">
        <f t="shared" si="28"/>
        <v>#VALUE!</v>
      </c>
      <c r="ES651" s="2552"/>
      <c r="ET651" s="2552"/>
      <c r="EU651" s="2552"/>
      <c r="EV651" s="2552"/>
      <c r="EW651" s="2552" t="e">
        <f t="shared" si="29"/>
        <v>#VALUE!</v>
      </c>
      <c r="EX651" s="2552"/>
      <c r="EY651" s="2552"/>
      <c r="EZ651" s="2552"/>
      <c r="FA651" s="255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30"/>
        <v>0</v>
      </c>
      <c r="BO652" s="2012"/>
      <c r="BP652" s="2012"/>
      <c r="BQ652" s="2012"/>
      <c r="BR652" s="2013"/>
      <c r="BS652" s="2010">
        <f t="shared" si="31"/>
        <v>0</v>
      </c>
      <c r="BT652" s="2010"/>
      <c r="BU652" s="2010"/>
      <c r="BV652" s="2010"/>
      <c r="BW652" s="2010"/>
      <c r="BX652" s="2010">
        <f t="shared" si="32"/>
        <v>0</v>
      </c>
      <c r="BY652" s="2010"/>
      <c r="BZ652" s="2010"/>
      <c r="CA652" s="2010"/>
      <c r="CB652" s="2010"/>
      <c r="CC652" s="2010">
        <f t="shared" si="33"/>
        <v>0</v>
      </c>
      <c r="CD652" s="2010"/>
      <c r="CE652" s="2010"/>
      <c r="CF652" s="2010"/>
      <c r="CG652" s="2010"/>
      <c r="CH652" s="2010">
        <f t="shared" si="34"/>
        <v>0</v>
      </c>
      <c r="CI652" s="2010"/>
      <c r="CJ652" s="2010"/>
      <c r="CK652" s="2010"/>
      <c r="CL652" s="2010"/>
      <c r="CM652" s="2010">
        <f t="shared" si="35"/>
        <v>0</v>
      </c>
      <c r="CN652" s="2010"/>
      <c r="CO652" s="2010"/>
      <c r="CP652" s="2010"/>
      <c r="CQ652" s="2010"/>
      <c r="CR652" s="265"/>
      <c r="CS652" s="2011">
        <f t="shared" si="36"/>
        <v>0</v>
      </c>
      <c r="CT652" s="2012"/>
      <c r="CU652" s="2012"/>
      <c r="CV652" s="2012"/>
      <c r="CW652" s="2013"/>
      <c r="CX652" s="2011">
        <f t="shared" si="37"/>
        <v>0</v>
      </c>
      <c r="CY652" s="2012"/>
      <c r="CZ652" s="2012"/>
      <c r="DA652" s="2012"/>
      <c r="DB652" s="2013"/>
      <c r="DC652" s="2011">
        <f t="shared" si="38"/>
        <v>0</v>
      </c>
      <c r="DD652" s="2012"/>
      <c r="DE652" s="2012"/>
      <c r="DF652" s="2012"/>
      <c r="DG652" s="2013"/>
      <c r="DH652" s="2011">
        <f t="shared" si="39"/>
        <v>0</v>
      </c>
      <c r="DI652" s="2012"/>
      <c r="DJ652" s="2012"/>
      <c r="DK652" s="2012"/>
      <c r="DL652" s="2013"/>
      <c r="DM652" s="2011">
        <f t="shared" si="40"/>
        <v>0</v>
      </c>
      <c r="DN652" s="2012"/>
      <c r="DO652" s="2012"/>
      <c r="DP652" s="2012"/>
      <c r="DQ652" s="2013"/>
      <c r="DR652" s="2011">
        <f t="shared" si="41"/>
        <v>0</v>
      </c>
      <c r="DS652" s="2012"/>
      <c r="DT652" s="2012"/>
      <c r="DU652" s="2012"/>
      <c r="DV652" s="2013"/>
      <c r="DX652" s="2552" t="e">
        <f t="shared" si="24"/>
        <v>#VALUE!</v>
      </c>
      <c r="DY652" s="2552"/>
      <c r="DZ652" s="2552"/>
      <c r="EA652" s="2552"/>
      <c r="EB652" s="2552"/>
      <c r="EC652" s="2552" t="e">
        <f t="shared" si="25"/>
        <v>#VALUE!</v>
      </c>
      <c r="ED652" s="2552"/>
      <c r="EE652" s="2552"/>
      <c r="EF652" s="2552"/>
      <c r="EG652" s="2552"/>
      <c r="EH652" s="2552" t="e">
        <f t="shared" si="26"/>
        <v>#VALUE!</v>
      </c>
      <c r="EI652" s="2552"/>
      <c r="EJ652" s="2552"/>
      <c r="EK652" s="2552"/>
      <c r="EL652" s="2552"/>
      <c r="EM652" s="2552" t="e">
        <f t="shared" si="27"/>
        <v>#VALUE!</v>
      </c>
      <c r="EN652" s="2552"/>
      <c r="EO652" s="2552"/>
      <c r="EP652" s="2552"/>
      <c r="EQ652" s="2552"/>
      <c r="ER652" s="2552" t="e">
        <f t="shared" si="28"/>
        <v>#VALUE!</v>
      </c>
      <c r="ES652" s="2552"/>
      <c r="ET652" s="2552"/>
      <c r="EU652" s="2552"/>
      <c r="EV652" s="2552"/>
      <c r="EW652" s="2552" t="e">
        <f t="shared" si="29"/>
        <v>#VALUE!</v>
      </c>
      <c r="EX652" s="2552"/>
      <c r="EY652" s="2552"/>
      <c r="EZ652" s="2552"/>
      <c r="FA652" s="2552"/>
    </row>
    <row r="653" spans="1:157" ht="12.75">
      <c r="A653" s="87" t="s">
        <v>117</v>
      </c>
      <c r="B653" s="12" t="s">
        <v>495</v>
      </c>
      <c r="G653" s="2038" t="str">
        <f>C637</f>
        <v>Conventional Perm Loan (BofA)</v>
      </c>
      <c r="H653" s="2038"/>
      <c r="I653" s="2038"/>
      <c r="J653" s="2038"/>
      <c r="K653" s="2038"/>
      <c r="L653" s="2038"/>
      <c r="M653" s="2038"/>
      <c r="N653" s="2038"/>
      <c r="O653" s="2038"/>
      <c r="P653" s="2038"/>
      <c r="Q653" s="2038"/>
      <c r="R653" s="2038"/>
      <c r="S653" s="14"/>
      <c r="T653" s="87" t="s">
        <v>118</v>
      </c>
      <c r="U653" s="12" t="s">
        <v>495</v>
      </c>
      <c r="Z653" s="2038" t="str">
        <f>C638</f>
        <v>Glendale Housing Authority - Land</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30"/>
        <v>0</v>
      </c>
      <c r="BO653" s="2012"/>
      <c r="BP653" s="2012"/>
      <c r="BQ653" s="2012"/>
      <c r="BR653" s="2013"/>
      <c r="BS653" s="2010">
        <f t="shared" si="31"/>
        <v>0</v>
      </c>
      <c r="BT653" s="2010"/>
      <c r="BU653" s="2010"/>
      <c r="BV653" s="2010"/>
      <c r="BW653" s="2010"/>
      <c r="BX653" s="2010">
        <f t="shared" si="32"/>
        <v>0</v>
      </c>
      <c r="BY653" s="2010"/>
      <c r="BZ653" s="2010"/>
      <c r="CA653" s="2010"/>
      <c r="CB653" s="2010"/>
      <c r="CC653" s="2010">
        <f t="shared" si="33"/>
        <v>0</v>
      </c>
      <c r="CD653" s="2010"/>
      <c r="CE653" s="2010"/>
      <c r="CF653" s="2010"/>
      <c r="CG653" s="2010"/>
      <c r="CH653" s="2010">
        <f t="shared" si="34"/>
        <v>0</v>
      </c>
      <c r="CI653" s="2010"/>
      <c r="CJ653" s="2010"/>
      <c r="CK653" s="2010"/>
      <c r="CL653" s="2010"/>
      <c r="CM653" s="2010">
        <f t="shared" si="35"/>
        <v>0</v>
      </c>
      <c r="CN653" s="2010"/>
      <c r="CO653" s="2010"/>
      <c r="CP653" s="2010"/>
      <c r="CQ653" s="2010"/>
      <c r="CR653" s="265"/>
      <c r="CS653" s="2011">
        <f t="shared" si="36"/>
        <v>0</v>
      </c>
      <c r="CT653" s="2012"/>
      <c r="CU653" s="2012"/>
      <c r="CV653" s="2012"/>
      <c r="CW653" s="2013"/>
      <c r="CX653" s="2011">
        <f t="shared" si="37"/>
        <v>0</v>
      </c>
      <c r="CY653" s="2012"/>
      <c r="CZ653" s="2012"/>
      <c r="DA653" s="2012"/>
      <c r="DB653" s="2013"/>
      <c r="DC653" s="2011">
        <f t="shared" si="38"/>
        <v>0</v>
      </c>
      <c r="DD653" s="2012"/>
      <c r="DE653" s="2012"/>
      <c r="DF653" s="2012"/>
      <c r="DG653" s="2013"/>
      <c r="DH653" s="2011">
        <f t="shared" si="39"/>
        <v>0</v>
      </c>
      <c r="DI653" s="2012"/>
      <c r="DJ653" s="2012"/>
      <c r="DK653" s="2012"/>
      <c r="DL653" s="2013"/>
      <c r="DM653" s="2011">
        <f t="shared" si="40"/>
        <v>0</v>
      </c>
      <c r="DN653" s="2012"/>
      <c r="DO653" s="2012"/>
      <c r="DP653" s="2012"/>
      <c r="DQ653" s="2013"/>
      <c r="DR653" s="2011">
        <f t="shared" si="41"/>
        <v>0</v>
      </c>
      <c r="DS653" s="2012"/>
      <c r="DT653" s="2012"/>
      <c r="DU653" s="2012"/>
      <c r="DV653" s="2013"/>
      <c r="DX653" s="2552" t="e">
        <f t="shared" si="24"/>
        <v>#VALUE!</v>
      </c>
      <c r="DY653" s="2552"/>
      <c r="DZ653" s="2552"/>
      <c r="EA653" s="2552"/>
      <c r="EB653" s="2552"/>
      <c r="EC653" s="2552" t="e">
        <f t="shared" si="25"/>
        <v>#VALUE!</v>
      </c>
      <c r="ED653" s="2552"/>
      <c r="EE653" s="2552"/>
      <c r="EF653" s="2552"/>
      <c r="EG653" s="2552"/>
      <c r="EH653" s="2552" t="e">
        <f t="shared" si="26"/>
        <v>#VALUE!</v>
      </c>
      <c r="EI653" s="2552"/>
      <c r="EJ653" s="2552"/>
      <c r="EK653" s="2552"/>
      <c r="EL653" s="2552"/>
      <c r="EM653" s="2552" t="e">
        <f t="shared" si="27"/>
        <v>#VALUE!</v>
      </c>
      <c r="EN653" s="2552"/>
      <c r="EO653" s="2552"/>
      <c r="EP653" s="2552"/>
      <c r="EQ653" s="2552"/>
      <c r="ER653" s="2552" t="e">
        <f t="shared" si="28"/>
        <v>#VALUE!</v>
      </c>
      <c r="ES653" s="2552"/>
      <c r="ET653" s="2552"/>
      <c r="EU653" s="2552"/>
      <c r="EV653" s="2552"/>
      <c r="EW653" s="2552" t="e">
        <f t="shared" si="29"/>
        <v>#VALUE!</v>
      </c>
      <c r="EX653" s="2552"/>
      <c r="EY653" s="2552"/>
      <c r="EZ653" s="2552"/>
      <c r="FA653" s="2552"/>
    </row>
    <row r="654" spans="1:157" ht="12.75">
      <c r="A654" s="35"/>
      <c r="B654" s="12" t="s">
        <v>90</v>
      </c>
      <c r="G654" s="2037" t="s">
        <v>2642</v>
      </c>
      <c r="H654" s="2037"/>
      <c r="I654" s="2037"/>
      <c r="J654" s="2037"/>
      <c r="K654" s="2037"/>
      <c r="L654" s="2037"/>
      <c r="M654" s="2037"/>
      <c r="N654" s="2037"/>
      <c r="O654" s="2037"/>
      <c r="P654" s="2037"/>
      <c r="Q654" s="2037"/>
      <c r="R654" s="2037"/>
      <c r="S654" s="14"/>
      <c r="T654" s="35"/>
      <c r="U654" s="12" t="s">
        <v>90</v>
      </c>
      <c r="Z654" s="2037" t="s">
        <v>2637</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30"/>
        <v>0</v>
      </c>
      <c r="BO654" s="2012"/>
      <c r="BP654" s="2012"/>
      <c r="BQ654" s="2012"/>
      <c r="BR654" s="2013"/>
      <c r="BS654" s="2010">
        <f t="shared" si="31"/>
        <v>0</v>
      </c>
      <c r="BT654" s="2010"/>
      <c r="BU654" s="2010"/>
      <c r="BV654" s="2010"/>
      <c r="BW654" s="2010"/>
      <c r="BX654" s="2010">
        <f t="shared" si="32"/>
        <v>0</v>
      </c>
      <c r="BY654" s="2010"/>
      <c r="BZ654" s="2010"/>
      <c r="CA654" s="2010"/>
      <c r="CB654" s="2010"/>
      <c r="CC654" s="2010">
        <f t="shared" si="33"/>
        <v>0</v>
      </c>
      <c r="CD654" s="2010"/>
      <c r="CE654" s="2010"/>
      <c r="CF654" s="2010"/>
      <c r="CG654" s="2010"/>
      <c r="CH654" s="2010">
        <f t="shared" si="34"/>
        <v>0</v>
      </c>
      <c r="CI654" s="2010"/>
      <c r="CJ654" s="2010"/>
      <c r="CK654" s="2010"/>
      <c r="CL654" s="2010"/>
      <c r="CM654" s="2010">
        <f t="shared" si="35"/>
        <v>0</v>
      </c>
      <c r="CN654" s="2010"/>
      <c r="CO654" s="2010"/>
      <c r="CP654" s="2010"/>
      <c r="CQ654" s="2010"/>
      <c r="CR654" s="265"/>
      <c r="CS654" s="2011">
        <f t="shared" si="36"/>
        <v>0</v>
      </c>
      <c r="CT654" s="2012"/>
      <c r="CU654" s="2012"/>
      <c r="CV654" s="2012"/>
      <c r="CW654" s="2013"/>
      <c r="CX654" s="2011">
        <f t="shared" si="37"/>
        <v>0</v>
      </c>
      <c r="CY654" s="2012"/>
      <c r="CZ654" s="2012"/>
      <c r="DA654" s="2012"/>
      <c r="DB654" s="2013"/>
      <c r="DC654" s="2011">
        <f t="shared" si="38"/>
        <v>0</v>
      </c>
      <c r="DD654" s="2012"/>
      <c r="DE654" s="2012"/>
      <c r="DF654" s="2012"/>
      <c r="DG654" s="2013"/>
      <c r="DH654" s="2011">
        <f t="shared" si="39"/>
        <v>0</v>
      </c>
      <c r="DI654" s="2012"/>
      <c r="DJ654" s="2012"/>
      <c r="DK654" s="2012"/>
      <c r="DL654" s="2013"/>
      <c r="DM654" s="2011">
        <f t="shared" si="40"/>
        <v>0</v>
      </c>
      <c r="DN654" s="2012"/>
      <c r="DO654" s="2012"/>
      <c r="DP654" s="2012"/>
      <c r="DQ654" s="2013"/>
      <c r="DR654" s="2011">
        <f t="shared" si="41"/>
        <v>0</v>
      </c>
      <c r="DS654" s="2012"/>
      <c r="DT654" s="2012"/>
      <c r="DU654" s="2012"/>
      <c r="DV654" s="2013"/>
      <c r="DX654" s="2552" t="e">
        <f t="shared" si="24"/>
        <v>#VALUE!</v>
      </c>
      <c r="DY654" s="2552"/>
      <c r="DZ654" s="2552"/>
      <c r="EA654" s="2552"/>
      <c r="EB654" s="2552"/>
      <c r="EC654" s="2552" t="e">
        <f t="shared" si="25"/>
        <v>#VALUE!</v>
      </c>
      <c r="ED654" s="2552"/>
      <c r="EE654" s="2552"/>
      <c r="EF654" s="2552"/>
      <c r="EG654" s="2552"/>
      <c r="EH654" s="2552" t="e">
        <f t="shared" si="26"/>
        <v>#VALUE!</v>
      </c>
      <c r="EI654" s="2552"/>
      <c r="EJ654" s="2552"/>
      <c r="EK654" s="2552"/>
      <c r="EL654" s="2552"/>
      <c r="EM654" s="2552" t="e">
        <f t="shared" si="27"/>
        <v>#VALUE!</v>
      </c>
      <c r="EN654" s="2552"/>
      <c r="EO654" s="2552"/>
      <c r="EP654" s="2552"/>
      <c r="EQ654" s="2552"/>
      <c r="ER654" s="2552" t="e">
        <f t="shared" si="28"/>
        <v>#VALUE!</v>
      </c>
      <c r="ES654" s="2552"/>
      <c r="ET654" s="2552"/>
      <c r="EU654" s="2552"/>
      <c r="EV654" s="2552"/>
      <c r="EW654" s="2552" t="e">
        <f t="shared" si="29"/>
        <v>#VALUE!</v>
      </c>
      <c r="EX654" s="2552"/>
      <c r="EY654" s="2552"/>
      <c r="EZ654" s="2552"/>
      <c r="FA654" s="2552"/>
    </row>
    <row r="655" spans="1:157" ht="12.75">
      <c r="A655" s="35"/>
      <c r="B655" s="12" t="s">
        <v>614</v>
      </c>
      <c r="G655" s="2037" t="s">
        <v>2643</v>
      </c>
      <c r="H655" s="2037"/>
      <c r="I655" s="2037"/>
      <c r="J655" s="2037"/>
      <c r="K655" s="2037"/>
      <c r="L655" s="2037"/>
      <c r="M655" s="2037"/>
      <c r="N655" s="2037"/>
      <c r="O655" s="2037"/>
      <c r="P655" s="2037"/>
      <c r="Q655" s="2037"/>
      <c r="R655" s="2037"/>
      <c r="S655" s="88"/>
      <c r="T655" s="35"/>
      <c r="U655" s="12" t="s">
        <v>614</v>
      </c>
      <c r="Z655" s="2039" t="s">
        <v>2638</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30"/>
        <v>0</v>
      </c>
      <c r="BO655" s="2012"/>
      <c r="BP655" s="2012"/>
      <c r="BQ655" s="2012"/>
      <c r="BR655" s="2013"/>
      <c r="BS655" s="2010">
        <f t="shared" si="31"/>
        <v>0</v>
      </c>
      <c r="BT655" s="2010"/>
      <c r="BU655" s="2010"/>
      <c r="BV655" s="2010"/>
      <c r="BW655" s="2010"/>
      <c r="BX655" s="2010">
        <f t="shared" si="32"/>
        <v>0</v>
      </c>
      <c r="BY655" s="2010"/>
      <c r="BZ655" s="2010"/>
      <c r="CA655" s="2010"/>
      <c r="CB655" s="2010"/>
      <c r="CC655" s="2010">
        <f t="shared" si="33"/>
        <v>0</v>
      </c>
      <c r="CD655" s="2010"/>
      <c r="CE655" s="2010"/>
      <c r="CF655" s="2010"/>
      <c r="CG655" s="2010"/>
      <c r="CH655" s="2010">
        <f t="shared" si="34"/>
        <v>0</v>
      </c>
      <c r="CI655" s="2010"/>
      <c r="CJ655" s="2010"/>
      <c r="CK655" s="2010"/>
      <c r="CL655" s="2010"/>
      <c r="CM655" s="2010">
        <f t="shared" si="35"/>
        <v>0</v>
      </c>
      <c r="CN655" s="2010"/>
      <c r="CO655" s="2010"/>
      <c r="CP655" s="2010"/>
      <c r="CQ655" s="2010"/>
      <c r="CR655" s="265"/>
      <c r="CS655" s="2011">
        <f t="shared" si="36"/>
        <v>0</v>
      </c>
      <c r="CT655" s="2012"/>
      <c r="CU655" s="2012"/>
      <c r="CV655" s="2012"/>
      <c r="CW655" s="2013"/>
      <c r="CX655" s="2011">
        <f t="shared" si="37"/>
        <v>0</v>
      </c>
      <c r="CY655" s="2012"/>
      <c r="CZ655" s="2012"/>
      <c r="DA655" s="2012"/>
      <c r="DB655" s="2013"/>
      <c r="DC655" s="2011">
        <f t="shared" si="38"/>
        <v>0</v>
      </c>
      <c r="DD655" s="2012"/>
      <c r="DE655" s="2012"/>
      <c r="DF655" s="2012"/>
      <c r="DG655" s="2013"/>
      <c r="DH655" s="2011">
        <f t="shared" si="39"/>
        <v>0</v>
      </c>
      <c r="DI655" s="2012"/>
      <c r="DJ655" s="2012"/>
      <c r="DK655" s="2012"/>
      <c r="DL655" s="2013"/>
      <c r="DM655" s="2011">
        <f t="shared" si="40"/>
        <v>0</v>
      </c>
      <c r="DN655" s="2012"/>
      <c r="DO655" s="2012"/>
      <c r="DP655" s="2012"/>
      <c r="DQ655" s="2013"/>
      <c r="DR655" s="2011">
        <f t="shared" si="41"/>
        <v>0</v>
      </c>
      <c r="DS655" s="2012"/>
      <c r="DT655" s="2012"/>
      <c r="DU655" s="2012"/>
      <c r="DV655" s="2013"/>
      <c r="DX655" s="2552" t="e">
        <f t="shared" si="24"/>
        <v>#VALUE!</v>
      </c>
      <c r="DY655" s="2552"/>
      <c r="DZ655" s="2552"/>
      <c r="EA655" s="2552"/>
      <c r="EB655" s="2552"/>
      <c r="EC655" s="2552" t="e">
        <f t="shared" si="25"/>
        <v>#VALUE!</v>
      </c>
      <c r="ED655" s="2552"/>
      <c r="EE655" s="2552"/>
      <c r="EF655" s="2552"/>
      <c r="EG655" s="2552"/>
      <c r="EH655" s="2552" t="e">
        <f t="shared" si="26"/>
        <v>#VALUE!</v>
      </c>
      <c r="EI655" s="2552"/>
      <c r="EJ655" s="2552"/>
      <c r="EK655" s="2552"/>
      <c r="EL655" s="2552"/>
      <c r="EM655" s="2552" t="e">
        <f t="shared" si="27"/>
        <v>#VALUE!</v>
      </c>
      <c r="EN655" s="2552"/>
      <c r="EO655" s="2552"/>
      <c r="EP655" s="2552"/>
      <c r="EQ655" s="2552"/>
      <c r="ER655" s="2552" t="e">
        <f t="shared" si="28"/>
        <v>#VALUE!</v>
      </c>
      <c r="ES655" s="2552"/>
      <c r="ET655" s="2552"/>
      <c r="EU655" s="2552"/>
      <c r="EV655" s="2552"/>
      <c r="EW655" s="2552" t="e">
        <f t="shared" si="29"/>
        <v>#VALUE!</v>
      </c>
      <c r="EX655" s="2552"/>
      <c r="EY655" s="2552"/>
      <c r="EZ655" s="2552"/>
      <c r="FA655" s="2552"/>
    </row>
    <row r="656" spans="1:157" ht="12.75">
      <c r="A656" s="35"/>
      <c r="B656" s="12" t="s">
        <v>17</v>
      </c>
      <c r="G656" s="2037" t="s">
        <v>2652</v>
      </c>
      <c r="H656" s="2037"/>
      <c r="I656" s="2037"/>
      <c r="J656" s="2037"/>
      <c r="K656" s="2037"/>
      <c r="L656" s="2037"/>
      <c r="M656" s="2037"/>
      <c r="N656" s="2037"/>
      <c r="O656" s="2037"/>
      <c r="P656" s="2037"/>
      <c r="Q656" s="2037"/>
      <c r="R656" s="2037"/>
      <c r="S656" s="14"/>
      <c r="T656" s="35"/>
      <c r="U656" s="12" t="s">
        <v>17</v>
      </c>
      <c r="Z656" s="2039" t="s">
        <v>2639</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30"/>
        <v>0</v>
      </c>
      <c r="BO656" s="2012"/>
      <c r="BP656" s="2012"/>
      <c r="BQ656" s="2012"/>
      <c r="BR656" s="2013"/>
      <c r="BS656" s="2010">
        <f t="shared" si="31"/>
        <v>0</v>
      </c>
      <c r="BT656" s="2010"/>
      <c r="BU656" s="2010"/>
      <c r="BV656" s="2010"/>
      <c r="BW656" s="2010"/>
      <c r="BX656" s="2010">
        <f t="shared" si="32"/>
        <v>0</v>
      </c>
      <c r="BY656" s="2010"/>
      <c r="BZ656" s="2010"/>
      <c r="CA656" s="2010"/>
      <c r="CB656" s="2010"/>
      <c r="CC656" s="2010">
        <f t="shared" si="33"/>
        <v>0</v>
      </c>
      <c r="CD656" s="2010"/>
      <c r="CE656" s="2010"/>
      <c r="CF656" s="2010"/>
      <c r="CG656" s="2010"/>
      <c r="CH656" s="2010">
        <f t="shared" si="34"/>
        <v>0</v>
      </c>
      <c r="CI656" s="2010"/>
      <c r="CJ656" s="2010"/>
      <c r="CK656" s="2010"/>
      <c r="CL656" s="2010"/>
      <c r="CM656" s="2010">
        <f t="shared" si="35"/>
        <v>0</v>
      </c>
      <c r="CN656" s="2010"/>
      <c r="CO656" s="2010"/>
      <c r="CP656" s="2010"/>
      <c r="CQ656" s="2010"/>
      <c r="CR656" s="265"/>
      <c r="CS656" s="2011">
        <f t="shared" si="36"/>
        <v>0</v>
      </c>
      <c r="CT656" s="2012"/>
      <c r="CU656" s="2012"/>
      <c r="CV656" s="2012"/>
      <c r="CW656" s="2013"/>
      <c r="CX656" s="2011">
        <f t="shared" si="37"/>
        <v>0</v>
      </c>
      <c r="CY656" s="2012"/>
      <c r="CZ656" s="2012"/>
      <c r="DA656" s="2012"/>
      <c r="DB656" s="2013"/>
      <c r="DC656" s="2011">
        <f t="shared" si="38"/>
        <v>0</v>
      </c>
      <c r="DD656" s="2012"/>
      <c r="DE656" s="2012"/>
      <c r="DF656" s="2012"/>
      <c r="DG656" s="2013"/>
      <c r="DH656" s="2011">
        <f t="shared" si="39"/>
        <v>0</v>
      </c>
      <c r="DI656" s="2012"/>
      <c r="DJ656" s="2012"/>
      <c r="DK656" s="2012"/>
      <c r="DL656" s="2013"/>
      <c r="DM656" s="2011">
        <f t="shared" si="40"/>
        <v>0</v>
      </c>
      <c r="DN656" s="2012"/>
      <c r="DO656" s="2012"/>
      <c r="DP656" s="2012"/>
      <c r="DQ656" s="2013"/>
      <c r="DR656" s="2011">
        <f t="shared" si="41"/>
        <v>0</v>
      </c>
      <c r="DS656" s="2012"/>
      <c r="DT656" s="2012"/>
      <c r="DU656" s="2012"/>
      <c r="DV656" s="2013"/>
      <c r="DX656" s="2552" t="e">
        <f t="shared" si="24"/>
        <v>#VALUE!</v>
      </c>
      <c r="DY656" s="2552"/>
      <c r="DZ656" s="2552"/>
      <c r="EA656" s="2552"/>
      <c r="EB656" s="2552"/>
      <c r="EC656" s="2552" t="e">
        <f t="shared" si="25"/>
        <v>#VALUE!</v>
      </c>
      <c r="ED656" s="2552"/>
      <c r="EE656" s="2552"/>
      <c r="EF656" s="2552"/>
      <c r="EG656" s="2552"/>
      <c r="EH656" s="2552" t="e">
        <f t="shared" si="26"/>
        <v>#VALUE!</v>
      </c>
      <c r="EI656" s="2552"/>
      <c r="EJ656" s="2552"/>
      <c r="EK656" s="2552"/>
      <c r="EL656" s="2552"/>
      <c r="EM656" s="2552" t="e">
        <f t="shared" si="27"/>
        <v>#VALUE!</v>
      </c>
      <c r="EN656" s="2552"/>
      <c r="EO656" s="2552"/>
      <c r="EP656" s="2552"/>
      <c r="EQ656" s="2552"/>
      <c r="ER656" s="2552" t="e">
        <f t="shared" si="28"/>
        <v>#VALUE!</v>
      </c>
      <c r="ES656" s="2552"/>
      <c r="ET656" s="2552"/>
      <c r="EU656" s="2552"/>
      <c r="EV656" s="2552"/>
      <c r="EW656" s="2552" t="e">
        <f t="shared" si="29"/>
        <v>#VALUE!</v>
      </c>
      <c r="EX656" s="2552"/>
      <c r="EY656" s="2552"/>
      <c r="EZ656" s="2552"/>
      <c r="FA656" s="2552"/>
    </row>
    <row r="657" spans="1:157" ht="12.75">
      <c r="A657" s="35"/>
      <c r="B657" s="12" t="s">
        <v>324</v>
      </c>
      <c r="G657" s="2162" t="s">
        <v>2645</v>
      </c>
      <c r="H657" s="2063"/>
      <c r="I657" s="2063"/>
      <c r="J657" s="2063"/>
      <c r="K657" s="2063"/>
      <c r="L657" s="2063"/>
      <c r="O657" s="137" t="s">
        <v>211</v>
      </c>
      <c r="P657" s="2028"/>
      <c r="Q657" s="2028"/>
      <c r="R657" s="2028"/>
      <c r="S657" s="16"/>
      <c r="T657" s="35"/>
      <c r="U657" s="12" t="s">
        <v>324</v>
      </c>
      <c r="Z657" s="2162" t="s">
        <v>2618</v>
      </c>
      <c r="AA657" s="2063"/>
      <c r="AB657" s="2063"/>
      <c r="AC657" s="2063"/>
      <c r="AD657" s="2063"/>
      <c r="AE657" s="2063"/>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30"/>
        <v>0</v>
      </c>
      <c r="BO657" s="2012"/>
      <c r="BP657" s="2012"/>
      <c r="BQ657" s="2012"/>
      <c r="BR657" s="2013"/>
      <c r="BS657" s="2010">
        <f t="shared" si="31"/>
        <v>0</v>
      </c>
      <c r="BT657" s="2010"/>
      <c r="BU657" s="2010"/>
      <c r="BV657" s="2010"/>
      <c r="BW657" s="2010"/>
      <c r="BX657" s="2010">
        <f t="shared" si="32"/>
        <v>0</v>
      </c>
      <c r="BY657" s="2010"/>
      <c r="BZ657" s="2010"/>
      <c r="CA657" s="2010"/>
      <c r="CB657" s="2010"/>
      <c r="CC657" s="2010">
        <f t="shared" si="33"/>
        <v>0</v>
      </c>
      <c r="CD657" s="2010"/>
      <c r="CE657" s="2010"/>
      <c r="CF657" s="2010"/>
      <c r="CG657" s="2010"/>
      <c r="CH657" s="2010">
        <f t="shared" si="34"/>
        <v>0</v>
      </c>
      <c r="CI657" s="2010"/>
      <c r="CJ657" s="2010"/>
      <c r="CK657" s="2010"/>
      <c r="CL657" s="2010"/>
      <c r="CM657" s="2010">
        <f t="shared" si="35"/>
        <v>0</v>
      </c>
      <c r="CN657" s="2010"/>
      <c r="CO657" s="2010"/>
      <c r="CP657" s="2010"/>
      <c r="CQ657" s="2010"/>
      <c r="CR657" s="265"/>
      <c r="CS657" s="2011">
        <f t="shared" si="36"/>
        <v>0</v>
      </c>
      <c r="CT657" s="2012"/>
      <c r="CU657" s="2012"/>
      <c r="CV657" s="2012"/>
      <c r="CW657" s="2013"/>
      <c r="CX657" s="2011">
        <f t="shared" si="37"/>
        <v>0</v>
      </c>
      <c r="CY657" s="2012"/>
      <c r="CZ657" s="2012"/>
      <c r="DA657" s="2012"/>
      <c r="DB657" s="2013"/>
      <c r="DC657" s="2011">
        <f t="shared" si="38"/>
        <v>0</v>
      </c>
      <c r="DD657" s="2012"/>
      <c r="DE657" s="2012"/>
      <c r="DF657" s="2012"/>
      <c r="DG657" s="2013"/>
      <c r="DH657" s="2011">
        <f t="shared" si="39"/>
        <v>0</v>
      </c>
      <c r="DI657" s="2012"/>
      <c r="DJ657" s="2012"/>
      <c r="DK657" s="2012"/>
      <c r="DL657" s="2013"/>
      <c r="DM657" s="2011">
        <f t="shared" si="40"/>
        <v>0</v>
      </c>
      <c r="DN657" s="2012"/>
      <c r="DO657" s="2012"/>
      <c r="DP657" s="2012"/>
      <c r="DQ657" s="2013"/>
      <c r="DR657" s="2011">
        <f t="shared" si="41"/>
        <v>0</v>
      </c>
      <c r="DS657" s="2012"/>
      <c r="DT657" s="2012"/>
      <c r="DU657" s="2012"/>
      <c r="DV657" s="2013"/>
      <c r="DX657" s="2552" t="e">
        <f t="shared" si="24"/>
        <v>#VALUE!</v>
      </c>
      <c r="DY657" s="2552"/>
      <c r="DZ657" s="2552"/>
      <c r="EA657" s="2552"/>
      <c r="EB657" s="2552"/>
      <c r="EC657" s="2552" t="e">
        <f t="shared" si="25"/>
        <v>#VALUE!</v>
      </c>
      <c r="ED657" s="2552"/>
      <c r="EE657" s="2552"/>
      <c r="EF657" s="2552"/>
      <c r="EG657" s="2552"/>
      <c r="EH657" s="2552" t="e">
        <f t="shared" si="26"/>
        <v>#VALUE!</v>
      </c>
      <c r="EI657" s="2552"/>
      <c r="EJ657" s="2552"/>
      <c r="EK657" s="2552"/>
      <c r="EL657" s="2552"/>
      <c r="EM657" s="2552" t="e">
        <f t="shared" si="27"/>
        <v>#VALUE!</v>
      </c>
      <c r="EN657" s="2552"/>
      <c r="EO657" s="2552"/>
      <c r="EP657" s="2552"/>
      <c r="EQ657" s="2552"/>
      <c r="ER657" s="2552" t="e">
        <f t="shared" si="28"/>
        <v>#VALUE!</v>
      </c>
      <c r="ES657" s="2552"/>
      <c r="ET657" s="2552"/>
      <c r="EU657" s="2552"/>
      <c r="EV657" s="2552"/>
      <c r="EW657" s="2552" t="e">
        <f t="shared" si="29"/>
        <v>#VALUE!</v>
      </c>
      <c r="EX657" s="2552"/>
      <c r="EY657" s="2552"/>
      <c r="EZ657" s="2552"/>
      <c r="FA657" s="2552"/>
    </row>
    <row r="658" spans="1:157" ht="12.75">
      <c r="A658" s="35"/>
      <c r="B658" s="12" t="s">
        <v>18</v>
      </c>
      <c r="H658" s="2037" t="s">
        <v>2653</v>
      </c>
      <c r="I658" s="2037"/>
      <c r="J658" s="2037"/>
      <c r="K658" s="2037"/>
      <c r="L658" s="2037"/>
      <c r="M658" s="2037"/>
      <c r="N658" s="2037"/>
      <c r="O658" s="2037"/>
      <c r="P658" s="2037"/>
      <c r="Q658" s="2037"/>
      <c r="R658" s="2037"/>
      <c r="S658" s="14"/>
      <c r="T658" s="35"/>
      <c r="U658" s="12" t="s">
        <v>18</v>
      </c>
      <c r="AA658" s="2037" t="s">
        <v>2654</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2" t="e">
        <f t="shared" si="24"/>
        <v>#VALUE!</v>
      </c>
      <c r="DY658" s="2552"/>
      <c r="DZ658" s="2552"/>
      <c r="EA658" s="2552"/>
      <c r="EB658" s="2552"/>
      <c r="EC658" s="2552" t="e">
        <f t="shared" si="25"/>
        <v>#VALUE!</v>
      </c>
      <c r="ED658" s="2552"/>
      <c r="EE658" s="2552"/>
      <c r="EF658" s="2552"/>
      <c r="EG658" s="2552"/>
      <c r="EH658" s="2552" t="e">
        <f t="shared" si="26"/>
        <v>#VALUE!</v>
      </c>
      <c r="EI658" s="2552"/>
      <c r="EJ658" s="2552"/>
      <c r="EK658" s="2552"/>
      <c r="EL658" s="2552"/>
      <c r="EM658" s="2552" t="e">
        <f t="shared" si="27"/>
        <v>#VALUE!</v>
      </c>
      <c r="EN658" s="2552"/>
      <c r="EO658" s="2552"/>
      <c r="EP658" s="2552"/>
      <c r="EQ658" s="2552"/>
      <c r="ER658" s="2552" t="e">
        <f t="shared" si="28"/>
        <v>#VALUE!</v>
      </c>
      <c r="ES658" s="2552"/>
      <c r="ET658" s="2552"/>
      <c r="EU658" s="2552"/>
      <c r="EV658" s="2552"/>
      <c r="EW658" s="2552" t="e">
        <f t="shared" si="29"/>
        <v>#VALUE!</v>
      </c>
      <c r="EX658" s="2552"/>
      <c r="EY658" s="2552"/>
      <c r="EZ658" s="2552"/>
      <c r="FA658" s="2552"/>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4"/>
        <v>#VALUE!</v>
      </c>
      <c r="DY659" s="2552"/>
      <c r="DZ659" s="2552"/>
      <c r="EA659" s="2552"/>
      <c r="EB659" s="2552"/>
      <c r="EC659" s="2552" t="e">
        <f t="shared" si="25"/>
        <v>#VALUE!</v>
      </c>
      <c r="ED659" s="2552"/>
      <c r="EE659" s="2552"/>
      <c r="EF659" s="2552"/>
      <c r="EG659" s="2552"/>
      <c r="EH659" s="2552" t="e">
        <f t="shared" si="26"/>
        <v>#VALUE!</v>
      </c>
      <c r="EI659" s="2552"/>
      <c r="EJ659" s="2552"/>
      <c r="EK659" s="2552"/>
      <c r="EL659" s="2552"/>
      <c r="EM659" s="2552" t="e">
        <f t="shared" si="27"/>
        <v>#VALUE!</v>
      </c>
      <c r="EN659" s="2552"/>
      <c r="EO659" s="2552"/>
      <c r="EP659" s="2552"/>
      <c r="EQ659" s="2552"/>
      <c r="ER659" s="2552" t="e">
        <f t="shared" si="28"/>
        <v>#VALUE!</v>
      </c>
      <c r="ES659" s="2552"/>
      <c r="ET659" s="2552"/>
      <c r="EU659" s="2552"/>
      <c r="EV659" s="2552"/>
      <c r="EW659" s="2552" t="e">
        <f t="shared" si="29"/>
        <v>#VALUE!</v>
      </c>
      <c r="EX659" s="2552"/>
      <c r="EY659" s="2552"/>
      <c r="EZ659" s="2552"/>
      <c r="FA659" s="255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2">
        <f>SUM(CS658:DV658)</f>
        <v>0</v>
      </c>
      <c r="DS660" s="2552"/>
      <c r="DT660" s="2552"/>
      <c r="DU660" s="2552"/>
      <c r="DV660" s="2552"/>
      <c r="DX660" s="2552" t="e">
        <f t="shared" si="24"/>
        <v>#VALUE!</v>
      </c>
      <c r="DY660" s="2552"/>
      <c r="DZ660" s="2552"/>
      <c r="EA660" s="2552"/>
      <c r="EB660" s="2552"/>
      <c r="EC660" s="2552" t="e">
        <f t="shared" si="25"/>
        <v>#VALUE!</v>
      </c>
      <c r="ED660" s="2552"/>
      <c r="EE660" s="2552"/>
      <c r="EF660" s="2552"/>
      <c r="EG660" s="2552"/>
      <c r="EH660" s="2552" t="e">
        <f t="shared" si="26"/>
        <v>#VALUE!</v>
      </c>
      <c r="EI660" s="2552"/>
      <c r="EJ660" s="2552"/>
      <c r="EK660" s="2552"/>
      <c r="EL660" s="2552"/>
      <c r="EM660" s="2552" t="e">
        <f t="shared" si="27"/>
        <v>#VALUE!</v>
      </c>
      <c r="EN660" s="2552"/>
      <c r="EO660" s="2552"/>
      <c r="EP660" s="2552"/>
      <c r="EQ660" s="2552"/>
      <c r="ER660" s="2552" t="e">
        <f t="shared" si="28"/>
        <v>#VALUE!</v>
      </c>
      <c r="ES660" s="2552"/>
      <c r="ET660" s="2552"/>
      <c r="EU660" s="2552"/>
      <c r="EV660" s="2552"/>
      <c r="EW660" s="2552" t="e">
        <f t="shared" si="29"/>
        <v>#VALUE!</v>
      </c>
      <c r="EX660" s="2552"/>
      <c r="EY660" s="2552"/>
      <c r="EZ660" s="2552"/>
      <c r="FA660" s="2552"/>
    </row>
    <row r="661" spans="1:157" ht="12.75">
      <c r="A661" s="87" t="s">
        <v>124</v>
      </c>
      <c r="B661" s="12" t="s">
        <v>495</v>
      </c>
      <c r="G661" s="2038" t="str">
        <f>C639</f>
        <v>Glendale Housing Authority - Dev Funds</v>
      </c>
      <c r="H661" s="2038"/>
      <c r="I661" s="2038"/>
      <c r="J661" s="2038"/>
      <c r="K661" s="2038"/>
      <c r="L661" s="2038"/>
      <c r="M661" s="2038"/>
      <c r="N661" s="2038"/>
      <c r="O661" s="2038"/>
      <c r="P661" s="2038"/>
      <c r="Q661" s="2038"/>
      <c r="R661" s="2038"/>
      <c r="T661" s="87" t="s">
        <v>615</v>
      </c>
      <c r="U661" s="12" t="s">
        <v>495</v>
      </c>
      <c r="Z661" s="2038" t="str">
        <f>C640</f>
        <v>Accrued and Deferred Soft Loan Interest</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2" t="e">
        <f t="shared" si="24"/>
        <v>#VALUE!</v>
      </c>
      <c r="DY661" s="2552"/>
      <c r="DZ661" s="2552"/>
      <c r="EA661" s="2552"/>
      <c r="EB661" s="2552"/>
      <c r="EC661" s="2552" t="e">
        <f t="shared" si="25"/>
        <v>#VALUE!</v>
      </c>
      <c r="ED661" s="2552"/>
      <c r="EE661" s="2552"/>
      <c r="EF661" s="2552"/>
      <c r="EG661" s="2552"/>
      <c r="EH661" s="2552" t="e">
        <f t="shared" si="26"/>
        <v>#VALUE!</v>
      </c>
      <c r="EI661" s="2552"/>
      <c r="EJ661" s="2552"/>
      <c r="EK661" s="2552"/>
      <c r="EL661" s="2552"/>
      <c r="EM661" s="2552" t="e">
        <f t="shared" si="27"/>
        <v>#VALUE!</v>
      </c>
      <c r="EN661" s="2552"/>
      <c r="EO661" s="2552"/>
      <c r="EP661" s="2552"/>
      <c r="EQ661" s="2552"/>
      <c r="ER661" s="2552" t="e">
        <f t="shared" si="28"/>
        <v>#VALUE!</v>
      </c>
      <c r="ES661" s="2552"/>
      <c r="ET661" s="2552"/>
      <c r="EU661" s="2552"/>
      <c r="EV661" s="2552"/>
      <c r="EW661" s="2552" t="e">
        <f t="shared" si="29"/>
        <v>#VALUE!</v>
      </c>
      <c r="EX661" s="2552"/>
      <c r="EY661" s="2552"/>
      <c r="EZ661" s="2552"/>
      <c r="FA661" s="2552"/>
    </row>
    <row r="662" spans="1:157" ht="12.75">
      <c r="A662" s="35"/>
      <c r="B662" s="12" t="s">
        <v>90</v>
      </c>
      <c r="G662" s="2037" t="s">
        <v>2637</v>
      </c>
      <c r="H662" s="2037"/>
      <c r="I662" s="2037"/>
      <c r="J662" s="2037"/>
      <c r="K662" s="2037"/>
      <c r="L662" s="2037"/>
      <c r="M662" s="2037"/>
      <c r="N662" s="2037"/>
      <c r="O662" s="2037"/>
      <c r="P662" s="2037"/>
      <c r="Q662" s="2037"/>
      <c r="R662" s="2037"/>
      <c r="T662" s="35"/>
      <c r="U662" s="12" t="s">
        <v>90</v>
      </c>
      <c r="Z662" s="2037" t="s">
        <v>2637</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4"/>
        <v>#VALUE!</v>
      </c>
      <c r="DY662" s="2552"/>
      <c r="DZ662" s="2552"/>
      <c r="EA662" s="2552"/>
      <c r="EB662" s="2552"/>
      <c r="EC662" s="2552" t="e">
        <f t="shared" si="25"/>
        <v>#VALUE!</v>
      </c>
      <c r="ED662" s="2552"/>
      <c r="EE662" s="2552"/>
      <c r="EF662" s="2552"/>
      <c r="EG662" s="2552"/>
      <c r="EH662" s="2552" t="e">
        <f t="shared" si="26"/>
        <v>#VALUE!</v>
      </c>
      <c r="EI662" s="2552"/>
      <c r="EJ662" s="2552"/>
      <c r="EK662" s="2552"/>
      <c r="EL662" s="2552"/>
      <c r="EM662" s="2552" t="e">
        <f t="shared" si="27"/>
        <v>#VALUE!</v>
      </c>
      <c r="EN662" s="2552"/>
      <c r="EO662" s="2552"/>
      <c r="EP662" s="2552"/>
      <c r="EQ662" s="2552"/>
      <c r="ER662" s="2552" t="e">
        <f t="shared" si="28"/>
        <v>#VALUE!</v>
      </c>
      <c r="ES662" s="2552"/>
      <c r="ET662" s="2552"/>
      <c r="EU662" s="2552"/>
      <c r="EV662" s="2552"/>
      <c r="EW662" s="2552" t="e">
        <f t="shared" si="29"/>
        <v>#VALUE!</v>
      </c>
      <c r="EX662" s="2552"/>
      <c r="EY662" s="2552"/>
      <c r="EZ662" s="2552"/>
      <c r="FA662" s="2552"/>
    </row>
    <row r="663" spans="1:157" ht="12.75">
      <c r="A663" s="35"/>
      <c r="B663" s="12" t="s">
        <v>614</v>
      </c>
      <c r="G663" s="2039" t="s">
        <v>2638</v>
      </c>
      <c r="H663" s="2039"/>
      <c r="I663" s="2039"/>
      <c r="J663" s="2039"/>
      <c r="K663" s="2039"/>
      <c r="L663" s="2039"/>
      <c r="M663" s="2039"/>
      <c r="N663" s="2039"/>
      <c r="O663" s="2039"/>
      <c r="P663" s="2039"/>
      <c r="Q663" s="2039"/>
      <c r="R663" s="2039"/>
      <c r="T663" s="35"/>
      <c r="U663" s="12" t="s">
        <v>614</v>
      </c>
      <c r="Z663" s="2039" t="s">
        <v>2638</v>
      </c>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32</v>
      </c>
      <c r="BO663" s="2008"/>
      <c r="BP663" s="2008"/>
      <c r="BQ663" s="2008"/>
      <c r="BR663" s="2009"/>
      <c r="BS663" s="2007">
        <f>BS635+BS644+BS658</f>
        <v>260</v>
      </c>
      <c r="BT663" s="2008"/>
      <c r="BU663" s="2008"/>
      <c r="BV663" s="2008"/>
      <c r="BW663" s="2009"/>
      <c r="BX663" s="2007">
        <f>BX635+BX644+BX658</f>
        <v>48</v>
      </c>
      <c r="BY663" s="2008"/>
      <c r="BZ663" s="2008"/>
      <c r="CA663" s="2008"/>
      <c r="CB663" s="2009"/>
      <c r="CC663" s="2007">
        <f>CC635+CC644+CC658</f>
        <v>0</v>
      </c>
      <c r="CD663" s="2008"/>
      <c r="CE663" s="2008"/>
      <c r="CF663" s="2008"/>
      <c r="CG663" s="2009"/>
      <c r="CH663" s="2007">
        <f>CH635+CH644+CH658</f>
        <v>0</v>
      </c>
      <c r="CI663" s="2008"/>
      <c r="CJ663" s="2008"/>
      <c r="CK663" s="2008"/>
      <c r="CL663" s="2009"/>
      <c r="CM663" s="2017">
        <f>CM658+CM644+CM635</f>
        <v>0</v>
      </c>
      <c r="CN663" s="2180"/>
      <c r="CO663" s="2180"/>
      <c r="CP663" s="2180"/>
      <c r="CQ663" s="2018"/>
      <c r="CR663" s="177"/>
      <c r="CS663" s="1470">
        <f>CS637+CS661</f>
        <v>382</v>
      </c>
      <c r="CT663" s="134" t="s">
        <v>2391</v>
      </c>
      <c r="CU663" s="58"/>
      <c r="CV663" s="58"/>
      <c r="CW663" s="58"/>
      <c r="CX663" s="58"/>
      <c r="CY663" s="58"/>
      <c r="CZ663" s="58"/>
      <c r="DA663" s="58"/>
      <c r="DB663" s="58"/>
      <c r="DC663" s="58"/>
      <c r="DD663" s="58"/>
      <c r="DE663" s="58"/>
      <c r="DF663" s="58"/>
      <c r="DX663" s="2552">
        <f>SUMIF(DX638:EB662,"&gt;0")</f>
        <v>476.0625</v>
      </c>
      <c r="DY663" s="2552"/>
      <c r="DZ663" s="2552"/>
      <c r="EA663" s="2552"/>
      <c r="EB663" s="2552"/>
      <c r="EC663" s="2552">
        <f>SUMIF(EC638:EG662,"&gt;0")</f>
        <v>1235.7230769230769</v>
      </c>
      <c r="ED663" s="2552"/>
      <c r="EE663" s="2552"/>
      <c r="EF663" s="2552"/>
      <c r="EG663" s="2552"/>
      <c r="EH663" s="2552">
        <f>SUMIF(EH638:EL662,"&gt;0")</f>
        <v>1947.333333333333</v>
      </c>
      <c r="EI663" s="2552"/>
      <c r="EJ663" s="2552"/>
      <c r="EK663" s="2552"/>
      <c r="EL663" s="2552"/>
      <c r="EM663" s="2552">
        <f>SUMIF(EM638:EQ662,"&gt;0")</f>
        <v>0</v>
      </c>
      <c r="EN663" s="2552"/>
      <c r="EO663" s="2552"/>
      <c r="EP663" s="2552"/>
      <c r="EQ663" s="2552"/>
      <c r="ER663" s="2552">
        <f>SUMIF(ER638:EV662,"&gt;0")</f>
        <v>0</v>
      </c>
      <c r="ES663" s="2552"/>
      <c r="ET663" s="2552"/>
      <c r="EU663" s="2552"/>
      <c r="EV663" s="2552"/>
      <c r="EW663" s="2552">
        <f>SUMIF(EW638:FA662,"&gt;0")</f>
        <v>0</v>
      </c>
      <c r="EX663" s="2552"/>
      <c r="EY663" s="2552"/>
      <c r="EZ663" s="2552"/>
      <c r="FA663" s="2552"/>
    </row>
    <row r="664" spans="1:157" ht="12.75">
      <c r="A664" s="35"/>
      <c r="B664" s="12" t="s">
        <v>17</v>
      </c>
      <c r="G664" s="2039" t="s">
        <v>2639</v>
      </c>
      <c r="H664" s="2039"/>
      <c r="I664" s="2039"/>
      <c r="J664" s="2039"/>
      <c r="K664" s="2039"/>
      <c r="L664" s="2039"/>
      <c r="M664" s="2039"/>
      <c r="N664" s="2039"/>
      <c r="O664" s="2039"/>
      <c r="P664" s="2039"/>
      <c r="Q664" s="2039"/>
      <c r="R664" s="2039"/>
      <c r="T664" s="35"/>
      <c r="U664" s="12" t="s">
        <v>17</v>
      </c>
      <c r="Z664" s="2039" t="s">
        <v>2639</v>
      </c>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62" t="s">
        <v>2618</v>
      </c>
      <c r="H665" s="2063"/>
      <c r="I665" s="2063"/>
      <c r="J665" s="2063"/>
      <c r="K665" s="2063"/>
      <c r="L665" s="2063"/>
      <c r="O665" s="137" t="s">
        <v>211</v>
      </c>
      <c r="P665" s="2028"/>
      <c r="Q665" s="2028"/>
      <c r="R665" s="2028"/>
      <c r="T665" s="35"/>
      <c r="U665" s="12" t="s">
        <v>324</v>
      </c>
      <c r="Z665" s="2162" t="s">
        <v>2618</v>
      </c>
      <c r="AA665" s="2063"/>
      <c r="AB665" s="2063"/>
      <c r="AC665" s="2063"/>
      <c r="AD665" s="2063"/>
      <c r="AE665" s="2063"/>
      <c r="AH665" s="137" t="s">
        <v>211</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7" t="s">
        <v>2654</v>
      </c>
      <c r="I666" s="2037"/>
      <c r="J666" s="2037"/>
      <c r="K666" s="2037"/>
      <c r="L666" s="2037"/>
      <c r="M666" s="2037"/>
      <c r="N666" s="2037"/>
      <c r="O666" s="2037"/>
      <c r="P666" s="2037"/>
      <c r="Q666" s="2037"/>
      <c r="R666" s="2037"/>
      <c r="T666" s="35"/>
      <c r="U666" s="12" t="s">
        <v>18</v>
      </c>
      <c r="AA666" s="2037" t="s">
        <v>2641</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8" t="str">
        <f>C641</f>
        <v>GP Equity</v>
      </c>
      <c r="H669" s="2038"/>
      <c r="I669" s="2038"/>
      <c r="J669" s="2038"/>
      <c r="K669" s="2038"/>
      <c r="L669" s="2038"/>
      <c r="M669" s="2038"/>
      <c r="N669" s="2038"/>
      <c r="O669" s="2038"/>
      <c r="P669" s="2038"/>
      <c r="Q669" s="2038"/>
      <c r="R669" s="2038"/>
      <c r="T669" s="87" t="s">
        <v>618</v>
      </c>
      <c r="U669" s="12" t="s">
        <v>495</v>
      </c>
      <c r="Z669" s="2038" t="str">
        <f>C642</f>
        <v>Deferred Developer Fee</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t="s">
        <v>2534</v>
      </c>
      <c r="H670" s="2037"/>
      <c r="I670" s="2037"/>
      <c r="J670" s="2037"/>
      <c r="K670" s="2037"/>
      <c r="L670" s="2037"/>
      <c r="M670" s="2037"/>
      <c r="N670" s="2037"/>
      <c r="O670" s="2037"/>
      <c r="P670" s="2037"/>
      <c r="Q670" s="2037"/>
      <c r="R670" s="2037"/>
      <c r="T670" s="35"/>
      <c r="U670" s="12" t="s">
        <v>90</v>
      </c>
      <c r="Z670" s="2037" t="s">
        <v>2534</v>
      </c>
      <c r="AA670" s="2037"/>
      <c r="AB670" s="2037"/>
      <c r="AC670" s="2037"/>
      <c r="AD670" s="2037"/>
      <c r="AE670" s="2037"/>
      <c r="AF670" s="2037"/>
      <c r="AG670" s="2037"/>
      <c r="AH670" s="2037"/>
      <c r="AI670" s="2037"/>
      <c r="AJ670" s="2037"/>
      <c r="AK670" s="2037"/>
      <c r="AZ670" s="58"/>
      <c r="BA670" s="446">
        <f t="shared" ref="BA670:BA694" si="42">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7" t="s">
        <v>2553</v>
      </c>
      <c r="H671" s="2037"/>
      <c r="I671" s="2037"/>
      <c r="J671" s="2037"/>
      <c r="K671" s="2037"/>
      <c r="L671" s="2037"/>
      <c r="M671" s="2037"/>
      <c r="N671" s="2037"/>
      <c r="O671" s="2037"/>
      <c r="P671" s="2037"/>
      <c r="Q671" s="2037"/>
      <c r="R671" s="2037"/>
      <c r="T671" s="35"/>
      <c r="U671" s="12" t="s">
        <v>614</v>
      </c>
      <c r="Z671" s="2039" t="s">
        <v>2553</v>
      </c>
      <c r="AA671" s="2039"/>
      <c r="AB671" s="2039"/>
      <c r="AC671" s="2039"/>
      <c r="AD671" s="2039"/>
      <c r="AE671" s="2039"/>
      <c r="AF671" s="2039"/>
      <c r="AG671" s="2039"/>
      <c r="AH671" s="2039"/>
      <c r="AI671" s="2039"/>
      <c r="AJ671" s="2039"/>
      <c r="AK671" s="2039"/>
      <c r="AZ671" s="58"/>
      <c r="BA671" s="446">
        <f t="shared" si="42"/>
        <v>2070</v>
      </c>
      <c r="BB671" s="58"/>
      <c r="BC671" s="58"/>
      <c r="BD671" s="58"/>
      <c r="BE671" s="58"/>
      <c r="BF671" s="382"/>
      <c r="BG671" s="456">
        <f t="shared" ref="BG671:BG695" si="43">G728</f>
        <v>14</v>
      </c>
      <c r="BH671" s="460">
        <f>BG671/$BG$696</f>
        <v>4.1543026706231452E-2</v>
      </c>
      <c r="BI671" s="461">
        <f t="shared" ref="BI671:BI695" si="44">IF(BH671=0," ",BH671*AH728)</f>
        <v>1.2462908011869436E-2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t="s">
        <v>2646</v>
      </c>
      <c r="H672" s="2037"/>
      <c r="I672" s="2037"/>
      <c r="J672" s="2037"/>
      <c r="K672" s="2037"/>
      <c r="L672" s="2037"/>
      <c r="M672" s="2037"/>
      <c r="N672" s="2037"/>
      <c r="O672" s="2037"/>
      <c r="P672" s="2037"/>
      <c r="Q672" s="2037"/>
      <c r="R672" s="2037"/>
      <c r="T672" s="35"/>
      <c r="U672" s="12" t="s">
        <v>17</v>
      </c>
      <c r="Z672" s="2039" t="s">
        <v>2646</v>
      </c>
      <c r="AA672" s="2039"/>
      <c r="AB672" s="2039"/>
      <c r="AC672" s="2039"/>
      <c r="AD672" s="2039"/>
      <c r="AE672" s="2039"/>
      <c r="AF672" s="2039"/>
      <c r="AG672" s="2039"/>
      <c r="AH672" s="2039"/>
      <c r="AI672" s="2039"/>
      <c r="AJ672" s="2039"/>
      <c r="AK672" s="2039"/>
      <c r="AZ672" s="58"/>
      <c r="BA672" s="446">
        <f t="shared" si="42"/>
        <v>2216</v>
      </c>
      <c r="BB672" s="58"/>
      <c r="BC672" s="58"/>
      <c r="BD672" s="58"/>
      <c r="BE672" s="58"/>
      <c r="BF672" s="382"/>
      <c r="BG672" s="457">
        <f t="shared" si="43"/>
        <v>18</v>
      </c>
      <c r="BH672" s="460">
        <f t="shared" ref="BH672:BH695" si="45">BG672/$BG$696</f>
        <v>5.3412462908011868E-2</v>
      </c>
      <c r="BI672" s="461">
        <f t="shared" si="44"/>
        <v>1.6023738872403558E-2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62" t="s">
        <v>2647</v>
      </c>
      <c r="H673" s="2063"/>
      <c r="I673" s="2063"/>
      <c r="J673" s="2063"/>
      <c r="K673" s="2063"/>
      <c r="L673" s="2063"/>
      <c r="O673" s="137" t="s">
        <v>211</v>
      </c>
      <c r="P673" s="2028"/>
      <c r="Q673" s="2028"/>
      <c r="R673" s="2028"/>
      <c r="T673" s="35"/>
      <c r="U673" s="12" t="s">
        <v>324</v>
      </c>
      <c r="Z673" s="2162" t="s">
        <v>2647</v>
      </c>
      <c r="AA673" s="2063"/>
      <c r="AB673" s="2063"/>
      <c r="AC673" s="2063"/>
      <c r="AD673" s="2063"/>
      <c r="AE673" s="2063"/>
      <c r="AH673" s="137" t="s">
        <v>211</v>
      </c>
      <c r="AI673" s="2028"/>
      <c r="AJ673" s="2028"/>
      <c r="AK673" s="2028"/>
      <c r="AZ673" s="58"/>
      <c r="BA673" s="446">
        <f t="shared" si="42"/>
        <v>2216</v>
      </c>
      <c r="BB673" s="58"/>
      <c r="BC673" s="58"/>
      <c r="BD673" s="58"/>
      <c r="BE673" s="58"/>
      <c r="BF673" s="382"/>
      <c r="BG673" s="457">
        <f t="shared" si="43"/>
        <v>2</v>
      </c>
      <c r="BH673" s="460">
        <f t="shared" si="45"/>
        <v>5.9347181008902079E-3</v>
      </c>
      <c r="BI673" s="461">
        <f t="shared" si="44"/>
        <v>1.7804154302670622E-3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7" t="s">
        <v>2649</v>
      </c>
      <c r="I674" s="2037"/>
      <c r="J674" s="2037"/>
      <c r="K674" s="2037"/>
      <c r="L674" s="2037"/>
      <c r="M674" s="2037"/>
      <c r="N674" s="2037"/>
      <c r="O674" s="2037"/>
      <c r="P674" s="2037"/>
      <c r="Q674" s="2037"/>
      <c r="R674" s="2037"/>
      <c r="T674" s="35"/>
      <c r="U674" s="12" t="s">
        <v>18</v>
      </c>
      <c r="AA674" s="2037" t="s">
        <v>2126</v>
      </c>
      <c r="AB674" s="2037"/>
      <c r="AC674" s="2037"/>
      <c r="AD674" s="2037"/>
      <c r="AE674" s="2037"/>
      <c r="AF674" s="2037"/>
      <c r="AG674" s="2037"/>
      <c r="AH674" s="2037"/>
      <c r="AI674" s="2037"/>
      <c r="AJ674" s="2037"/>
      <c r="AK674" s="2037"/>
      <c r="AZ674" s="58"/>
      <c r="BA674" s="446">
        <f t="shared" si="42"/>
        <v>2216</v>
      </c>
      <c r="BB674" s="58"/>
      <c r="BC674" s="58"/>
      <c r="BD674" s="58"/>
      <c r="BE674" s="58"/>
      <c r="BF674" s="382"/>
      <c r="BG674" s="457">
        <f t="shared" si="43"/>
        <v>48</v>
      </c>
      <c r="BH674" s="460">
        <f t="shared" si="45"/>
        <v>0.14243323442136499</v>
      </c>
      <c r="BI674" s="461">
        <f t="shared" si="44"/>
        <v>5.6973293768545999E-2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577</v>
      </c>
      <c r="O675" s="2036"/>
      <c r="T675" s="35"/>
      <c r="U675" s="12" t="s">
        <v>20</v>
      </c>
      <c r="AG675" s="2036" t="s">
        <v>577</v>
      </c>
      <c r="AH675" s="2036"/>
      <c r="AZ675" s="58"/>
      <c r="BA675" s="446">
        <f t="shared" si="42"/>
        <v>2216</v>
      </c>
      <c r="BB675" s="58"/>
      <c r="BC675" s="58"/>
      <c r="BD675" s="58"/>
      <c r="BE675" s="58"/>
      <c r="BF675" s="382"/>
      <c r="BG675" s="457">
        <f t="shared" si="43"/>
        <v>29</v>
      </c>
      <c r="BH675" s="460">
        <f t="shared" si="45"/>
        <v>8.6053412462908013E-2</v>
      </c>
      <c r="BI675" s="461">
        <f t="shared" si="44"/>
        <v>4.3026706231454007E-2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2216</v>
      </c>
      <c r="BB676" s="58"/>
      <c r="BC676" s="58"/>
      <c r="BD676" s="58"/>
      <c r="BE676" s="58"/>
      <c r="BF676" s="382"/>
      <c r="BG676" s="457">
        <f t="shared" si="43"/>
        <v>131</v>
      </c>
      <c r="BH676" s="460">
        <f t="shared" si="45"/>
        <v>0.38872403560830859</v>
      </c>
      <c r="BI676" s="461">
        <f t="shared" si="44"/>
        <v>0.23323442136498515</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38">
        <f>C643</f>
        <v>0</v>
      </c>
      <c r="H677" s="2038"/>
      <c r="I677" s="2038"/>
      <c r="J677" s="2038"/>
      <c r="K677" s="2038"/>
      <c r="L677" s="2038"/>
      <c r="M677" s="2038"/>
      <c r="N677" s="2038"/>
      <c r="O677" s="2038"/>
      <c r="P677" s="2038"/>
      <c r="Q677" s="2038"/>
      <c r="R677" s="2038"/>
      <c r="T677" s="87" t="s">
        <v>487</v>
      </c>
      <c r="U677" s="12" t="s">
        <v>495</v>
      </c>
      <c r="Z677" s="2038">
        <f>C644</f>
        <v>0</v>
      </c>
      <c r="AA677" s="2038"/>
      <c r="AB677" s="2038"/>
      <c r="AC677" s="2038"/>
      <c r="AD677" s="2038"/>
      <c r="AE677" s="2038"/>
      <c r="AF677" s="2038"/>
      <c r="AG677" s="2038"/>
      <c r="AH677" s="2038"/>
      <c r="AI677" s="2038"/>
      <c r="AJ677" s="2038"/>
      <c r="AK677" s="2038"/>
      <c r="AZ677" s="58"/>
      <c r="BA677" s="446">
        <f t="shared" si="42"/>
        <v>2660</v>
      </c>
      <c r="BB677" s="58"/>
      <c r="BC677" s="58"/>
      <c r="BD677" s="58"/>
      <c r="BE677" s="58"/>
      <c r="BF677" s="382"/>
      <c r="BG677" s="457">
        <f t="shared" si="43"/>
        <v>50</v>
      </c>
      <c r="BH677" s="460">
        <f t="shared" si="45"/>
        <v>0.14836795252225518</v>
      </c>
      <c r="BI677" s="461">
        <f t="shared" si="44"/>
        <v>0.11869436201780414</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f t="shared" si="42"/>
        <v>2660</v>
      </c>
      <c r="BB678" s="58"/>
      <c r="BC678" s="58"/>
      <c r="BD678" s="58"/>
      <c r="BE678" s="58"/>
      <c r="BF678" s="382"/>
      <c r="BG678" s="457">
        <f t="shared" si="43"/>
        <v>5</v>
      </c>
      <c r="BH678" s="460">
        <f t="shared" si="45"/>
        <v>1.483679525222552E-2</v>
      </c>
      <c r="BI678" s="461">
        <f t="shared" si="44"/>
        <v>7.4183976261127599E-3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7"/>
      <c r="H679" s="2037"/>
      <c r="I679" s="2037"/>
      <c r="J679" s="2037"/>
      <c r="K679" s="2037"/>
      <c r="L679" s="2037"/>
      <c r="M679" s="2037"/>
      <c r="N679" s="2037"/>
      <c r="O679" s="2037"/>
      <c r="P679" s="2037"/>
      <c r="Q679" s="2037"/>
      <c r="R679" s="2037"/>
      <c r="T679" s="35"/>
      <c r="U679" s="12" t="s">
        <v>614</v>
      </c>
      <c r="Z679" s="2039"/>
      <c r="AA679" s="2039"/>
      <c r="AB679" s="2039"/>
      <c r="AC679" s="2039"/>
      <c r="AD679" s="2039"/>
      <c r="AE679" s="2039"/>
      <c r="AF679" s="2039"/>
      <c r="AG679" s="2039"/>
      <c r="AH679" s="2039"/>
      <c r="AI679" s="2039"/>
      <c r="AJ679" s="2039"/>
      <c r="AK679" s="2039"/>
      <c r="AZ679" s="58"/>
      <c r="BA679" s="446" t="str">
        <f t="shared" si="42"/>
        <v>N/A</v>
      </c>
      <c r="BB679" s="58"/>
      <c r="BC679" s="58"/>
      <c r="BD679" s="58"/>
      <c r="BE679" s="58"/>
      <c r="BF679" s="382"/>
      <c r="BG679" s="457">
        <f t="shared" si="43"/>
        <v>40</v>
      </c>
      <c r="BH679" s="460">
        <f t="shared" si="45"/>
        <v>0.11869436201780416</v>
      </c>
      <c r="BI679" s="461">
        <f t="shared" si="44"/>
        <v>9.4955489614243327E-2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63"/>
      <c r="H681" s="2063"/>
      <c r="I681" s="2063"/>
      <c r="J681" s="2063"/>
      <c r="K681" s="2063"/>
      <c r="L681" s="2063"/>
      <c r="O681" s="137" t="s">
        <v>211</v>
      </c>
      <c r="P681" s="2028"/>
      <c r="Q681" s="2028"/>
      <c r="R681" s="2028"/>
      <c r="T681" s="35"/>
      <c r="U681" s="12" t="s">
        <v>324</v>
      </c>
      <c r="Z681" s="2063"/>
      <c r="AA681" s="2063"/>
      <c r="AB681" s="2063"/>
      <c r="AC681" s="2063"/>
      <c r="AD681" s="2063"/>
      <c r="AE681" s="2063"/>
      <c r="AH681" s="137" t="s">
        <v>211</v>
      </c>
      <c r="AI681" s="2028"/>
      <c r="AJ681" s="2028"/>
      <c r="AK681" s="2028"/>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705</v>
      </c>
      <c r="O683" s="2036"/>
      <c r="T683" s="35"/>
      <c r="U683" s="12" t="s">
        <v>20</v>
      </c>
      <c r="AG683" s="2036" t="s">
        <v>705</v>
      </c>
      <c r="AH683" s="2036"/>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38">
        <f>C645</f>
        <v>0</v>
      </c>
      <c r="H685" s="2038"/>
      <c r="I685" s="2038"/>
      <c r="J685" s="2038"/>
      <c r="K685" s="2038"/>
      <c r="L685" s="2038"/>
      <c r="M685" s="2038"/>
      <c r="N685" s="2038"/>
      <c r="O685" s="2038"/>
      <c r="P685" s="2038"/>
      <c r="Q685" s="2038"/>
      <c r="R685" s="2038"/>
      <c r="T685" s="87" t="s">
        <v>680</v>
      </c>
      <c r="U685" s="12" t="s">
        <v>495</v>
      </c>
      <c r="Z685" s="2038">
        <f>C646</f>
        <v>0</v>
      </c>
      <c r="AA685" s="2038"/>
      <c r="AB685" s="2038"/>
      <c r="AC685" s="2038"/>
      <c r="AD685" s="2038"/>
      <c r="AE685" s="2038"/>
      <c r="AF685" s="2038"/>
      <c r="AG685" s="2038"/>
      <c r="AH685" s="2038"/>
      <c r="AI685" s="2038"/>
      <c r="AJ685" s="2038"/>
      <c r="AK685" s="2038"/>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7"/>
      <c r="H687" s="2037"/>
      <c r="I687" s="2037"/>
      <c r="J687" s="2037"/>
      <c r="K687" s="2037"/>
      <c r="L687" s="2037"/>
      <c r="M687" s="2037"/>
      <c r="N687" s="2037"/>
      <c r="O687" s="2037"/>
      <c r="P687" s="2037"/>
      <c r="Q687" s="2037"/>
      <c r="R687" s="2037"/>
      <c r="T687" s="35"/>
      <c r="U687" s="12" t="s">
        <v>614</v>
      </c>
      <c r="Z687" s="2039"/>
      <c r="AA687" s="2039"/>
      <c r="AB687" s="2039"/>
      <c r="AC687" s="2039"/>
      <c r="AD687" s="2039"/>
      <c r="AE687" s="2039"/>
      <c r="AF687" s="2039"/>
      <c r="AG687" s="2039"/>
      <c r="AH687" s="2039"/>
      <c r="AI687" s="2039"/>
      <c r="AJ687" s="2039"/>
      <c r="AK687" s="2039"/>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3"/>
      <c r="H689" s="2063"/>
      <c r="I689" s="2063"/>
      <c r="J689" s="2063"/>
      <c r="K689" s="2063"/>
      <c r="L689" s="2063"/>
      <c r="O689" s="137" t="s">
        <v>211</v>
      </c>
      <c r="P689" s="2028"/>
      <c r="Q689" s="2028"/>
      <c r="R689" s="2028"/>
      <c r="T689" s="35"/>
      <c r="U689" s="12" t="s">
        <v>324</v>
      </c>
      <c r="Z689" s="2063"/>
      <c r="AA689" s="2063"/>
      <c r="AB689" s="2063"/>
      <c r="AC689" s="2063"/>
      <c r="AD689" s="2063"/>
      <c r="AE689" s="2063"/>
      <c r="AH689" s="137" t="s">
        <v>211</v>
      </c>
      <c r="AI689" s="2028"/>
      <c r="AJ689" s="2028"/>
      <c r="AK689" s="2028"/>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705</v>
      </c>
      <c r="O691" s="2036"/>
      <c r="T691" s="35"/>
      <c r="U691" s="12" t="s">
        <v>20</v>
      </c>
      <c r="AG691" s="2036" t="s">
        <v>705</v>
      </c>
      <c r="AH691" s="2036"/>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38">
        <f>C647</f>
        <v>0</v>
      </c>
      <c r="H693" s="2038"/>
      <c r="I693" s="2038"/>
      <c r="J693" s="2038"/>
      <c r="K693" s="2038"/>
      <c r="L693" s="2038"/>
      <c r="M693" s="2038"/>
      <c r="N693" s="2038"/>
      <c r="O693" s="2038"/>
      <c r="P693" s="2038"/>
      <c r="Q693" s="2038"/>
      <c r="R693" s="2038"/>
      <c r="T693" s="87" t="s">
        <v>372</v>
      </c>
      <c r="U693" s="12" t="s">
        <v>495</v>
      </c>
      <c r="Z693" s="2038">
        <f>C648</f>
        <v>0</v>
      </c>
      <c r="AA693" s="2038"/>
      <c r="AB693" s="2038"/>
      <c r="AC693" s="2038"/>
      <c r="AD693" s="2038"/>
      <c r="AE693" s="2038"/>
      <c r="AF693" s="2038"/>
      <c r="AG693" s="2038"/>
      <c r="AH693" s="2038"/>
      <c r="AI693" s="2038"/>
      <c r="AJ693" s="2038"/>
      <c r="AK693" s="2038"/>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7"/>
      <c r="H695" s="2037"/>
      <c r="I695" s="2037"/>
      <c r="J695" s="2037"/>
      <c r="K695" s="2037"/>
      <c r="L695" s="2037"/>
      <c r="M695" s="2037"/>
      <c r="N695" s="2037"/>
      <c r="O695" s="2037"/>
      <c r="P695" s="2037"/>
      <c r="Q695" s="2037"/>
      <c r="R695" s="2037"/>
      <c r="U695" s="12" t="s">
        <v>614</v>
      </c>
      <c r="Z695" s="2039"/>
      <c r="AA695" s="2039"/>
      <c r="AB695" s="2039"/>
      <c r="AC695" s="2039"/>
      <c r="AD695" s="2039"/>
      <c r="AE695" s="2039"/>
      <c r="AF695" s="2039"/>
      <c r="AG695" s="2039"/>
      <c r="AH695" s="2039"/>
      <c r="AI695" s="2039"/>
      <c r="AJ695" s="2039"/>
      <c r="AK695" s="2039"/>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337</v>
      </c>
      <c r="BH696" s="463">
        <f>SUM(BH671:BH695)</f>
        <v>1</v>
      </c>
      <c r="BI696" s="463">
        <f>SUM(BI671:BI695)</f>
        <v>0.58456973293768533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3"/>
      <c r="H697" s="2063"/>
      <c r="I697" s="2063"/>
      <c r="J697" s="2063"/>
      <c r="K697" s="2063"/>
      <c r="L697" s="2063"/>
      <c r="O697" s="137" t="s">
        <v>211</v>
      </c>
      <c r="P697" s="2028"/>
      <c r="Q697" s="2028"/>
      <c r="R697" s="2028"/>
      <c r="U697" s="12" t="s">
        <v>324</v>
      </c>
      <c r="Z697" s="2063"/>
      <c r="AA697" s="2063"/>
      <c r="AB697" s="2063"/>
      <c r="AC697" s="2063"/>
      <c r="AD697" s="2063"/>
      <c r="AE697" s="2063"/>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14</v>
      </c>
      <c r="BH703" s="460">
        <f>BG703/$BG$728</f>
        <v>4.1543026706231452E-2</v>
      </c>
      <c r="BI703" s="461">
        <f t="shared" ref="BI703:BI727" si="47">IF(BH703=0," ",BH703*AM728)</f>
        <v>8.4290199114092808E-3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705</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18</v>
      </c>
      <c r="BH704" s="460">
        <f t="shared" ref="BH704:BH727" si="48">BG704/$BG$728</f>
        <v>5.3412462908011868E-2</v>
      </c>
      <c r="BI704" s="461">
        <f t="shared" si="47"/>
        <v>1.6023738872403558E-2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44448</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2</v>
      </c>
      <c r="BH705" s="460">
        <f t="shared" si="48"/>
        <v>5.9347181008902079E-3</v>
      </c>
      <c r="BI705" s="461">
        <f t="shared" si="47"/>
        <v>1.7809510546443991E-3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44538</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48</v>
      </c>
      <c r="BH706" s="460">
        <f t="shared" si="48"/>
        <v>0.14243323442136499</v>
      </c>
      <c r="BI706" s="461">
        <f t="shared" si="47"/>
        <v>5.701185872371424E-2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29</v>
      </c>
      <c r="BH707" s="460">
        <f t="shared" si="48"/>
        <v>8.6053412462908013E-2</v>
      </c>
      <c r="BI707" s="461">
        <f t="shared" si="47"/>
        <v>4.3026706231454007E-2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44712</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131</v>
      </c>
      <c r="BH708" s="460">
        <f t="shared" si="48"/>
        <v>0.38872403560830859</v>
      </c>
      <c r="BI708" s="461">
        <f t="shared" si="47"/>
        <v>0.23330458815841626</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5">
        <v>0.52</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50</v>
      </c>
      <c r="BH709" s="460">
        <f t="shared" si="48"/>
        <v>0.14836795252225518</v>
      </c>
      <c r="BI709" s="461">
        <f t="shared" si="47"/>
        <v>0.11877470567440465</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California Municipal Finance Authority</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5</v>
      </c>
      <c r="BH710" s="460">
        <f t="shared" si="48"/>
        <v>1.483679525222552E-2</v>
      </c>
      <c r="BI710" s="461">
        <f t="shared" si="47"/>
        <v>7.4183976261127599E-3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40</v>
      </c>
      <c r="BH711" s="460">
        <f t="shared" si="48"/>
        <v>0.11869436201780416</v>
      </c>
      <c r="BI711" s="461">
        <f t="shared" si="47"/>
        <v>9.4955489614243327E-2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3"/>
      <c r="K715" s="2063"/>
      <c r="L715" s="2063"/>
      <c r="M715" s="2063"/>
      <c r="N715" s="2063"/>
      <c r="O715" s="2063"/>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406</v>
      </c>
      <c r="C724" s="2113"/>
      <c r="D724" s="2113"/>
      <c r="E724" s="2113"/>
      <c r="F724" s="2114"/>
      <c r="G724" s="2112" t="s">
        <v>290</v>
      </c>
      <c r="H724" s="2113"/>
      <c r="I724" s="2113"/>
      <c r="J724" s="2114"/>
      <c r="K724" s="2287" t="s">
        <v>2156</v>
      </c>
      <c r="L724" s="2288"/>
      <c r="M724" s="2288"/>
      <c r="N724" s="2289"/>
      <c r="O724" s="2112" t="s">
        <v>477</v>
      </c>
      <c r="P724" s="2113"/>
      <c r="Q724" s="2113"/>
      <c r="R724" s="2113"/>
      <c r="S724" s="2114"/>
      <c r="T724" s="2112" t="s">
        <v>291</v>
      </c>
      <c r="U724" s="2113"/>
      <c r="V724" s="2113"/>
      <c r="W724" s="2113"/>
      <c r="X724" s="2114"/>
      <c r="Y724" s="2112" t="s">
        <v>292</v>
      </c>
      <c r="Z724" s="2113"/>
      <c r="AA724" s="2113"/>
      <c r="AB724" s="2114"/>
      <c r="AC724" s="2112" t="s">
        <v>293</v>
      </c>
      <c r="AD724" s="2113"/>
      <c r="AE724" s="2113"/>
      <c r="AF724" s="2113"/>
      <c r="AG724" s="2114"/>
      <c r="AH724" s="2112" t="s">
        <v>407</v>
      </c>
      <c r="AI724" s="2113"/>
      <c r="AJ724" s="2113"/>
      <c r="AK724" s="2113"/>
      <c r="AL724" s="2114"/>
      <c r="AM724" s="2112" t="s">
        <v>681</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5"/>
      <c r="C725" s="2116"/>
      <c r="D725" s="2116"/>
      <c r="E725" s="2116"/>
      <c r="F725" s="2117"/>
      <c r="G725" s="2115"/>
      <c r="H725" s="2116"/>
      <c r="I725" s="2116"/>
      <c r="J725" s="2117"/>
      <c r="K725" s="2290"/>
      <c r="L725" s="2291"/>
      <c r="M725" s="2291"/>
      <c r="N725" s="2292"/>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5"/>
      <c r="C726" s="2116"/>
      <c r="D726" s="2116"/>
      <c r="E726" s="2116"/>
      <c r="F726" s="2117"/>
      <c r="G726" s="2115"/>
      <c r="H726" s="2116"/>
      <c r="I726" s="2116"/>
      <c r="J726" s="2117"/>
      <c r="K726" s="2290"/>
      <c r="L726" s="2291"/>
      <c r="M726" s="2291"/>
      <c r="N726" s="2292"/>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8"/>
      <c r="C727" s="2119"/>
      <c r="D727" s="2119"/>
      <c r="E727" s="2119"/>
      <c r="F727" s="2120"/>
      <c r="G727" s="2118"/>
      <c r="H727" s="2119"/>
      <c r="I727" s="2119"/>
      <c r="J727" s="2120"/>
      <c r="K727" s="2290"/>
      <c r="L727" s="2291"/>
      <c r="M727" s="2291"/>
      <c r="N727" s="2292"/>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3" t="s">
        <v>332</v>
      </c>
      <c r="C728" s="2044"/>
      <c r="D728" s="2044"/>
      <c r="E728" s="2044"/>
      <c r="F728" s="2045"/>
      <c r="G728" s="2276">
        <v>14</v>
      </c>
      <c r="H728" s="2277"/>
      <c r="I728" s="2277"/>
      <c r="J728" s="2278"/>
      <c r="K728" s="2075">
        <v>360</v>
      </c>
      <c r="L728" s="2076"/>
      <c r="M728" s="2076"/>
      <c r="N728" s="2077"/>
      <c r="O728" s="2066">
        <v>363</v>
      </c>
      <c r="P728" s="2067"/>
      <c r="Q728" s="2067"/>
      <c r="R728" s="2067"/>
      <c r="S728" s="2068"/>
      <c r="T728" s="2142">
        <f t="shared" ref="T728:T752" si="49">G728*O728</f>
        <v>5082</v>
      </c>
      <c r="U728" s="2143"/>
      <c r="V728" s="2143"/>
      <c r="W728" s="2143"/>
      <c r="X728" s="2144"/>
      <c r="Y728" s="2066">
        <v>57</v>
      </c>
      <c r="Z728" s="2067"/>
      <c r="AA728" s="2067"/>
      <c r="AB728" s="2068"/>
      <c r="AC728" s="2142">
        <f t="shared" ref="AC728:AC752" si="50">O728+Y728</f>
        <v>420</v>
      </c>
      <c r="AD728" s="2143"/>
      <c r="AE728" s="2143"/>
      <c r="AF728" s="2143"/>
      <c r="AG728" s="2144"/>
      <c r="AH728" s="2269">
        <v>0.3</v>
      </c>
      <c r="AI728" s="2270"/>
      <c r="AJ728" s="2270"/>
      <c r="AK728" s="2270"/>
      <c r="AL728" s="2271"/>
      <c r="AM728" s="2361">
        <f t="shared" ref="AM728:AM752" si="51">IF($AH728&gt;0,($AC728/$BA670), " ")</f>
        <v>0.20289855072463769</v>
      </c>
      <c r="AN728" s="2362"/>
      <c r="AO728" s="2363"/>
      <c r="AP728" s="239"/>
      <c r="AQ728" s="239"/>
      <c r="AR728" s="239"/>
      <c r="AS728" s="239"/>
      <c r="AT728" s="239"/>
      <c r="AU728" s="239"/>
      <c r="AV728" s="239"/>
      <c r="AW728" s="239"/>
      <c r="AX728" s="239"/>
      <c r="AY728" s="239"/>
      <c r="AZ728" s="58"/>
      <c r="BA728" s="58"/>
      <c r="BB728" s="58"/>
      <c r="BC728" s="58"/>
      <c r="BD728" s="58"/>
      <c r="BE728" s="58"/>
      <c r="BF728" s="58"/>
      <c r="BG728" s="1420">
        <f>SUM(BG703:BG727)</f>
        <v>337</v>
      </c>
      <c r="BH728" s="463">
        <f>SUM(BH703:BH727)</f>
        <v>1</v>
      </c>
      <c r="BI728" s="463">
        <f>SUM(BI703:BI727)</f>
        <v>0.58072545586680246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t="s">
        <v>332</v>
      </c>
      <c r="C729" s="2044"/>
      <c r="D729" s="2044"/>
      <c r="E729" s="2044"/>
      <c r="F729" s="2045"/>
      <c r="G729" s="2276">
        <v>18</v>
      </c>
      <c r="H729" s="2277"/>
      <c r="I729" s="2277"/>
      <c r="J729" s="2278"/>
      <c r="K729" s="2075">
        <v>360</v>
      </c>
      <c r="L729" s="2076"/>
      <c r="M729" s="2076"/>
      <c r="N729" s="2077"/>
      <c r="O729" s="2066">
        <v>564</v>
      </c>
      <c r="P729" s="2067"/>
      <c r="Q729" s="2067"/>
      <c r="R729" s="2067"/>
      <c r="S729" s="2068"/>
      <c r="T729" s="2142">
        <f t="shared" si="49"/>
        <v>10152</v>
      </c>
      <c r="U729" s="2143"/>
      <c r="V729" s="2143"/>
      <c r="W729" s="2143"/>
      <c r="X729" s="2144"/>
      <c r="Y729" s="2066">
        <v>57</v>
      </c>
      <c r="Z729" s="2067"/>
      <c r="AA729" s="2067"/>
      <c r="AB729" s="2068"/>
      <c r="AC729" s="2142">
        <f t="shared" si="50"/>
        <v>621</v>
      </c>
      <c r="AD729" s="2143"/>
      <c r="AE729" s="2143"/>
      <c r="AF729" s="2143"/>
      <c r="AG729" s="2144"/>
      <c r="AH729" s="2269">
        <v>0.3</v>
      </c>
      <c r="AI729" s="2270"/>
      <c r="AJ729" s="2270"/>
      <c r="AK729" s="2270"/>
      <c r="AL729" s="2271"/>
      <c r="AM729" s="2361">
        <f t="shared" si="51"/>
        <v>0.3</v>
      </c>
      <c r="AN729" s="2362"/>
      <c r="AO729" s="23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t="s">
        <v>333</v>
      </c>
      <c r="C730" s="2044"/>
      <c r="D730" s="2044"/>
      <c r="E730" s="2044"/>
      <c r="F730" s="2045"/>
      <c r="G730" s="2276">
        <v>2</v>
      </c>
      <c r="H730" s="2277"/>
      <c r="I730" s="2277"/>
      <c r="J730" s="2278"/>
      <c r="K730" s="2075">
        <v>530</v>
      </c>
      <c r="L730" s="2076"/>
      <c r="M730" s="2076"/>
      <c r="N730" s="2077"/>
      <c r="O730" s="2066">
        <v>597</v>
      </c>
      <c r="P730" s="2067"/>
      <c r="Q730" s="2067"/>
      <c r="R730" s="2067"/>
      <c r="S730" s="2068"/>
      <c r="T730" s="2142">
        <f t="shared" si="49"/>
        <v>1194</v>
      </c>
      <c r="U730" s="2143"/>
      <c r="V730" s="2143"/>
      <c r="W730" s="2143"/>
      <c r="X730" s="2144"/>
      <c r="Y730" s="2066">
        <v>68</v>
      </c>
      <c r="Z730" s="2067"/>
      <c r="AA730" s="2067"/>
      <c r="AB730" s="2068"/>
      <c r="AC730" s="2142">
        <f t="shared" si="50"/>
        <v>665</v>
      </c>
      <c r="AD730" s="2143"/>
      <c r="AE730" s="2143"/>
      <c r="AF730" s="2143"/>
      <c r="AG730" s="2144"/>
      <c r="AH730" s="2269">
        <v>0.3</v>
      </c>
      <c r="AI730" s="2270"/>
      <c r="AJ730" s="2270"/>
      <c r="AK730" s="2270"/>
      <c r="AL730" s="2271"/>
      <c r="AM730" s="2361">
        <f t="shared" si="51"/>
        <v>0.30009025270758122</v>
      </c>
      <c r="AN730" s="2362"/>
      <c r="AO730" s="23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t="s">
        <v>333</v>
      </c>
      <c r="C731" s="2044"/>
      <c r="D731" s="2044"/>
      <c r="E731" s="2044"/>
      <c r="F731" s="2045"/>
      <c r="G731" s="2276">
        <v>48</v>
      </c>
      <c r="H731" s="2277"/>
      <c r="I731" s="2277"/>
      <c r="J731" s="2278"/>
      <c r="K731" s="2075">
        <v>530</v>
      </c>
      <c r="L731" s="2076"/>
      <c r="M731" s="2076"/>
      <c r="N731" s="2077"/>
      <c r="O731" s="2066">
        <v>819</v>
      </c>
      <c r="P731" s="2067"/>
      <c r="Q731" s="2067"/>
      <c r="R731" s="2067"/>
      <c r="S731" s="2068"/>
      <c r="T731" s="2142">
        <f t="shared" si="49"/>
        <v>39312</v>
      </c>
      <c r="U731" s="2143"/>
      <c r="V731" s="2143"/>
      <c r="W731" s="2143"/>
      <c r="X731" s="2144"/>
      <c r="Y731" s="2066">
        <v>68</v>
      </c>
      <c r="Z731" s="2067"/>
      <c r="AA731" s="2067"/>
      <c r="AB731" s="2068"/>
      <c r="AC731" s="2142">
        <f t="shared" si="50"/>
        <v>887</v>
      </c>
      <c r="AD731" s="2143"/>
      <c r="AE731" s="2143"/>
      <c r="AF731" s="2143"/>
      <c r="AG731" s="2144"/>
      <c r="AH731" s="2269">
        <v>0.4</v>
      </c>
      <c r="AI731" s="2270"/>
      <c r="AJ731" s="2270"/>
      <c r="AK731" s="2270"/>
      <c r="AL731" s="2271"/>
      <c r="AM731" s="2361">
        <f t="shared" si="51"/>
        <v>0.40027075812274371</v>
      </c>
      <c r="AN731" s="2362"/>
      <c r="AO731" s="23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t="s">
        <v>333</v>
      </c>
      <c r="C732" s="2044"/>
      <c r="D732" s="2044"/>
      <c r="E732" s="2044"/>
      <c r="F732" s="2045"/>
      <c r="G732" s="2276">
        <v>29</v>
      </c>
      <c r="H732" s="2277"/>
      <c r="I732" s="2277"/>
      <c r="J732" s="2278"/>
      <c r="K732" s="2075">
        <v>530</v>
      </c>
      <c r="L732" s="2076"/>
      <c r="M732" s="2076"/>
      <c r="N732" s="2077"/>
      <c r="O732" s="2066">
        <v>1040</v>
      </c>
      <c r="P732" s="2067"/>
      <c r="Q732" s="2067"/>
      <c r="R732" s="2067"/>
      <c r="S732" s="2068"/>
      <c r="T732" s="2142">
        <f t="shared" si="49"/>
        <v>30160</v>
      </c>
      <c r="U732" s="2143"/>
      <c r="V732" s="2143"/>
      <c r="W732" s="2143"/>
      <c r="X732" s="2144"/>
      <c r="Y732" s="2066">
        <v>68</v>
      </c>
      <c r="Z732" s="2067"/>
      <c r="AA732" s="2067"/>
      <c r="AB732" s="2068"/>
      <c r="AC732" s="2142">
        <f t="shared" si="50"/>
        <v>1108</v>
      </c>
      <c r="AD732" s="2143"/>
      <c r="AE732" s="2143"/>
      <c r="AF732" s="2143"/>
      <c r="AG732" s="2144"/>
      <c r="AH732" s="2269">
        <v>0.5</v>
      </c>
      <c r="AI732" s="2270"/>
      <c r="AJ732" s="2270"/>
      <c r="AK732" s="2270"/>
      <c r="AL732" s="2271"/>
      <c r="AM732" s="2361">
        <f t="shared" si="51"/>
        <v>0.5</v>
      </c>
      <c r="AN732" s="2362"/>
      <c r="AO732" s="23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t="s">
        <v>333</v>
      </c>
      <c r="C733" s="2044"/>
      <c r="D733" s="2044"/>
      <c r="E733" s="2044"/>
      <c r="F733" s="2045"/>
      <c r="G733" s="2276">
        <v>131</v>
      </c>
      <c r="H733" s="2277"/>
      <c r="I733" s="2277"/>
      <c r="J733" s="2278"/>
      <c r="K733" s="2075">
        <v>530</v>
      </c>
      <c r="L733" s="2076"/>
      <c r="M733" s="2076"/>
      <c r="N733" s="2077"/>
      <c r="O733" s="2066">
        <v>1262</v>
      </c>
      <c r="P733" s="2067"/>
      <c r="Q733" s="2067"/>
      <c r="R733" s="2067"/>
      <c r="S733" s="2068"/>
      <c r="T733" s="2142">
        <f t="shared" si="49"/>
        <v>165322</v>
      </c>
      <c r="U733" s="2143"/>
      <c r="V733" s="2143"/>
      <c r="W733" s="2143"/>
      <c r="X733" s="2144"/>
      <c r="Y733" s="2066">
        <v>68</v>
      </c>
      <c r="Z733" s="2067"/>
      <c r="AA733" s="2067"/>
      <c r="AB733" s="2068"/>
      <c r="AC733" s="2142">
        <f t="shared" si="50"/>
        <v>1330</v>
      </c>
      <c r="AD733" s="2143"/>
      <c r="AE733" s="2143"/>
      <c r="AF733" s="2143"/>
      <c r="AG733" s="2144"/>
      <c r="AH733" s="2269">
        <v>0.6</v>
      </c>
      <c r="AI733" s="2270"/>
      <c r="AJ733" s="2270"/>
      <c r="AK733" s="2270"/>
      <c r="AL733" s="2271"/>
      <c r="AM733" s="2361">
        <f t="shared" si="51"/>
        <v>0.60018050541516244</v>
      </c>
      <c r="AN733" s="2362"/>
      <c r="AO733" s="23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3" t="s">
        <v>333</v>
      </c>
      <c r="C734" s="2044"/>
      <c r="D734" s="2044"/>
      <c r="E734" s="2044"/>
      <c r="F734" s="2045"/>
      <c r="G734" s="2276">
        <v>50</v>
      </c>
      <c r="H734" s="2277"/>
      <c r="I734" s="2277"/>
      <c r="J734" s="2278"/>
      <c r="K734" s="2075">
        <v>530</v>
      </c>
      <c r="L734" s="2076"/>
      <c r="M734" s="2076"/>
      <c r="N734" s="2077"/>
      <c r="O734" s="2066">
        <v>1706</v>
      </c>
      <c r="P734" s="2067"/>
      <c r="Q734" s="2067"/>
      <c r="R734" s="2067"/>
      <c r="S734" s="2068"/>
      <c r="T734" s="2142">
        <f t="shared" si="49"/>
        <v>85300</v>
      </c>
      <c r="U734" s="2143"/>
      <c r="V734" s="2143"/>
      <c r="W734" s="2143"/>
      <c r="X734" s="2144"/>
      <c r="Y734" s="2066">
        <v>68</v>
      </c>
      <c r="Z734" s="2067"/>
      <c r="AA734" s="2067"/>
      <c r="AB734" s="2068"/>
      <c r="AC734" s="2142">
        <f t="shared" si="50"/>
        <v>1774</v>
      </c>
      <c r="AD734" s="2143"/>
      <c r="AE734" s="2143"/>
      <c r="AF734" s="2143"/>
      <c r="AG734" s="2144"/>
      <c r="AH734" s="2269">
        <v>0.8</v>
      </c>
      <c r="AI734" s="2270"/>
      <c r="AJ734" s="2270"/>
      <c r="AK734" s="2270"/>
      <c r="AL734" s="2271"/>
      <c r="AM734" s="2361">
        <f t="shared" si="51"/>
        <v>0.80054151624548742</v>
      </c>
      <c r="AN734" s="2362"/>
      <c r="AO734" s="23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3" t="s">
        <v>168</v>
      </c>
      <c r="C735" s="2044"/>
      <c r="D735" s="2044"/>
      <c r="E735" s="2044"/>
      <c r="F735" s="2045"/>
      <c r="G735" s="2276">
        <v>5</v>
      </c>
      <c r="H735" s="2277"/>
      <c r="I735" s="2277"/>
      <c r="J735" s="2278"/>
      <c r="K735" s="2075">
        <v>750</v>
      </c>
      <c r="L735" s="2076"/>
      <c r="M735" s="2076"/>
      <c r="N735" s="2077"/>
      <c r="O735" s="2066">
        <v>1238</v>
      </c>
      <c r="P735" s="2067"/>
      <c r="Q735" s="2067"/>
      <c r="R735" s="2067"/>
      <c r="S735" s="2068"/>
      <c r="T735" s="2142">
        <f t="shared" si="49"/>
        <v>6190</v>
      </c>
      <c r="U735" s="2143"/>
      <c r="V735" s="2143"/>
      <c r="W735" s="2143"/>
      <c r="X735" s="2144"/>
      <c r="Y735" s="2066">
        <v>92</v>
      </c>
      <c r="Z735" s="2067"/>
      <c r="AA735" s="2067"/>
      <c r="AB735" s="2068"/>
      <c r="AC735" s="2142">
        <f t="shared" si="50"/>
        <v>1330</v>
      </c>
      <c r="AD735" s="2143"/>
      <c r="AE735" s="2143"/>
      <c r="AF735" s="2143"/>
      <c r="AG735" s="2144"/>
      <c r="AH735" s="2269">
        <v>0.5</v>
      </c>
      <c r="AI735" s="2270"/>
      <c r="AJ735" s="2270"/>
      <c r="AK735" s="2270"/>
      <c r="AL735" s="2271"/>
      <c r="AM735" s="2361">
        <f t="shared" si="51"/>
        <v>0.5</v>
      </c>
      <c r="AN735" s="2362"/>
      <c r="AO735" s="23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3" t="s">
        <v>168</v>
      </c>
      <c r="C736" s="2044"/>
      <c r="D736" s="2044"/>
      <c r="E736" s="2044"/>
      <c r="F736" s="2045"/>
      <c r="G736" s="2276">
        <v>40</v>
      </c>
      <c r="H736" s="2277"/>
      <c r="I736" s="2277"/>
      <c r="J736" s="2278"/>
      <c r="K736" s="2075">
        <v>750</v>
      </c>
      <c r="L736" s="2076"/>
      <c r="M736" s="2076"/>
      <c r="N736" s="2077"/>
      <c r="O736" s="2066">
        <v>2036</v>
      </c>
      <c r="P736" s="2067"/>
      <c r="Q736" s="2067"/>
      <c r="R736" s="2067"/>
      <c r="S736" s="2068"/>
      <c r="T736" s="2142">
        <f t="shared" si="49"/>
        <v>81440</v>
      </c>
      <c r="U736" s="2143"/>
      <c r="V736" s="2143"/>
      <c r="W736" s="2143"/>
      <c r="X736" s="2144"/>
      <c r="Y736" s="2066">
        <v>92</v>
      </c>
      <c r="Z736" s="2067"/>
      <c r="AA736" s="2067"/>
      <c r="AB736" s="2068"/>
      <c r="AC736" s="2142">
        <f t="shared" si="50"/>
        <v>2128</v>
      </c>
      <c r="AD736" s="2143"/>
      <c r="AE736" s="2143"/>
      <c r="AF736" s="2143"/>
      <c r="AG736" s="2144"/>
      <c r="AH736" s="2269">
        <v>0.8</v>
      </c>
      <c r="AI736" s="2270"/>
      <c r="AJ736" s="2270"/>
      <c r="AK736" s="2270"/>
      <c r="AL736" s="2271"/>
      <c r="AM736" s="2361">
        <f t="shared" si="51"/>
        <v>0.8</v>
      </c>
      <c r="AN736" s="2362"/>
      <c r="AO736" s="23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c r="C737" s="2044"/>
      <c r="D737" s="2044"/>
      <c r="E737" s="2044"/>
      <c r="F737" s="2045"/>
      <c r="G737" s="2276"/>
      <c r="H737" s="2277"/>
      <c r="I737" s="2277"/>
      <c r="J737" s="2278"/>
      <c r="K737" s="2075"/>
      <c r="L737" s="2076"/>
      <c r="M737" s="2076"/>
      <c r="N737" s="2077"/>
      <c r="O737" s="2066"/>
      <c r="P737" s="2067"/>
      <c r="Q737" s="2067"/>
      <c r="R737" s="2067"/>
      <c r="S737" s="2068"/>
      <c r="T737" s="2142">
        <f t="shared" si="49"/>
        <v>0</v>
      </c>
      <c r="U737" s="2143"/>
      <c r="V737" s="2143"/>
      <c r="W737" s="2143"/>
      <c r="X737" s="2144"/>
      <c r="Y737" s="2066"/>
      <c r="Z737" s="2067"/>
      <c r="AA737" s="2067"/>
      <c r="AB737" s="2068"/>
      <c r="AC737" s="2142">
        <f t="shared" si="50"/>
        <v>0</v>
      </c>
      <c r="AD737" s="2143"/>
      <c r="AE737" s="2143"/>
      <c r="AF737" s="2143"/>
      <c r="AG737" s="2144"/>
      <c r="AH737" s="2269"/>
      <c r="AI737" s="2270"/>
      <c r="AJ737" s="2270"/>
      <c r="AK737" s="2270"/>
      <c r="AL737" s="2271"/>
      <c r="AM737" s="2361" t="str">
        <f t="shared" si="51"/>
        <v xml:space="preserve"> </v>
      </c>
      <c r="AN737" s="2362"/>
      <c r="AO737" s="23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c r="C738" s="2044"/>
      <c r="D738" s="2044"/>
      <c r="E738" s="2044"/>
      <c r="F738" s="2045"/>
      <c r="G738" s="2276"/>
      <c r="H738" s="2277"/>
      <c r="I738" s="2277"/>
      <c r="J738" s="2278"/>
      <c r="K738" s="2075"/>
      <c r="L738" s="2076"/>
      <c r="M738" s="2076"/>
      <c r="N738" s="2077"/>
      <c r="O738" s="2066"/>
      <c r="P738" s="2067"/>
      <c r="Q738" s="2067"/>
      <c r="R738" s="2067"/>
      <c r="S738" s="2068"/>
      <c r="T738" s="2142">
        <f t="shared" si="49"/>
        <v>0</v>
      </c>
      <c r="U738" s="2143"/>
      <c r="V738" s="2143"/>
      <c r="W738" s="2143"/>
      <c r="X738" s="2144"/>
      <c r="Y738" s="2066"/>
      <c r="Z738" s="2067"/>
      <c r="AA738" s="2067"/>
      <c r="AB738" s="2068"/>
      <c r="AC738" s="2142">
        <f t="shared" si="50"/>
        <v>0</v>
      </c>
      <c r="AD738" s="2143"/>
      <c r="AE738" s="2143"/>
      <c r="AF738" s="2143"/>
      <c r="AG738" s="2144"/>
      <c r="AH738" s="2269"/>
      <c r="AI738" s="2270"/>
      <c r="AJ738" s="2270"/>
      <c r="AK738" s="2270"/>
      <c r="AL738" s="2271"/>
      <c r="AM738" s="2361" t="str">
        <f t="shared" si="51"/>
        <v xml:space="preserve"> </v>
      </c>
      <c r="AN738" s="2362"/>
      <c r="AO738" s="23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c r="C739" s="2044"/>
      <c r="D739" s="2044"/>
      <c r="E739" s="2044"/>
      <c r="F739" s="2045"/>
      <c r="G739" s="2276"/>
      <c r="H739" s="2277"/>
      <c r="I739" s="2277"/>
      <c r="J739" s="2278"/>
      <c r="K739" s="2075"/>
      <c r="L739" s="2076"/>
      <c r="M739" s="2076"/>
      <c r="N739" s="2077"/>
      <c r="O739" s="2066"/>
      <c r="P739" s="2067"/>
      <c r="Q739" s="2067"/>
      <c r="R739" s="2067"/>
      <c r="S739" s="2068"/>
      <c r="T739" s="2142">
        <f t="shared" si="49"/>
        <v>0</v>
      </c>
      <c r="U739" s="2143"/>
      <c r="V739" s="2143"/>
      <c r="W739" s="2143"/>
      <c r="X739" s="2144"/>
      <c r="Y739" s="2066">
        <v>0</v>
      </c>
      <c r="Z739" s="2067"/>
      <c r="AA739" s="2067"/>
      <c r="AB739" s="2068"/>
      <c r="AC739" s="2142">
        <f t="shared" si="50"/>
        <v>0</v>
      </c>
      <c r="AD739" s="2143"/>
      <c r="AE739" s="2143"/>
      <c r="AF739" s="2143"/>
      <c r="AG739" s="2144"/>
      <c r="AH739" s="2269">
        <v>0</v>
      </c>
      <c r="AI739" s="2270"/>
      <c r="AJ739" s="2270"/>
      <c r="AK739" s="2270"/>
      <c r="AL739" s="2271"/>
      <c r="AM739" s="2361" t="str">
        <f t="shared" si="51"/>
        <v xml:space="preserve"> </v>
      </c>
      <c r="AN739" s="2362"/>
      <c r="AO739" s="23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c r="C740" s="2044"/>
      <c r="D740" s="2044"/>
      <c r="E740" s="2044"/>
      <c r="F740" s="2045"/>
      <c r="G740" s="2276"/>
      <c r="H740" s="2277"/>
      <c r="I740" s="2277"/>
      <c r="J740" s="2278"/>
      <c r="K740" s="2075"/>
      <c r="L740" s="2076"/>
      <c r="M740" s="2076"/>
      <c r="N740" s="2077"/>
      <c r="O740" s="2066"/>
      <c r="P740" s="2067"/>
      <c r="Q740" s="2067"/>
      <c r="R740" s="2067"/>
      <c r="S740" s="2068"/>
      <c r="T740" s="2142">
        <f t="shared" si="49"/>
        <v>0</v>
      </c>
      <c r="U740" s="2143"/>
      <c r="V740" s="2143"/>
      <c r="W740" s="2143"/>
      <c r="X740" s="2144"/>
      <c r="Y740" s="2066">
        <v>0</v>
      </c>
      <c r="Z740" s="2067"/>
      <c r="AA740" s="2067"/>
      <c r="AB740" s="2068"/>
      <c r="AC740" s="2142">
        <f t="shared" si="50"/>
        <v>0</v>
      </c>
      <c r="AD740" s="2143"/>
      <c r="AE740" s="2143"/>
      <c r="AF740" s="2143"/>
      <c r="AG740" s="2144"/>
      <c r="AH740" s="2269">
        <v>0</v>
      </c>
      <c r="AI740" s="2270"/>
      <c r="AJ740" s="2270"/>
      <c r="AK740" s="2270"/>
      <c r="AL740" s="2271"/>
      <c r="AM740" s="2361" t="str">
        <f t="shared" si="51"/>
        <v xml:space="preserve"> </v>
      </c>
      <c r="AN740" s="2362"/>
      <c r="AO740" s="23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76"/>
      <c r="H741" s="2277"/>
      <c r="I741" s="2277"/>
      <c r="J741" s="2278"/>
      <c r="K741" s="2075"/>
      <c r="L741" s="2076"/>
      <c r="M741" s="2076"/>
      <c r="N741" s="2077"/>
      <c r="O741" s="2066"/>
      <c r="P741" s="2067"/>
      <c r="Q741" s="2067"/>
      <c r="R741" s="2067"/>
      <c r="S741" s="2068"/>
      <c r="T741" s="2142">
        <f t="shared" si="49"/>
        <v>0</v>
      </c>
      <c r="U741" s="2143"/>
      <c r="V741" s="2143"/>
      <c r="W741" s="2143"/>
      <c r="X741" s="2144"/>
      <c r="Y741" s="2066">
        <v>0</v>
      </c>
      <c r="Z741" s="2067"/>
      <c r="AA741" s="2067"/>
      <c r="AB741" s="2068"/>
      <c r="AC741" s="2142">
        <f t="shared" si="50"/>
        <v>0</v>
      </c>
      <c r="AD741" s="2143"/>
      <c r="AE741" s="2143"/>
      <c r="AF741" s="2143"/>
      <c r="AG741" s="2144"/>
      <c r="AH741" s="2269">
        <v>0</v>
      </c>
      <c r="AI741" s="2270"/>
      <c r="AJ741" s="2270"/>
      <c r="AK741" s="2270"/>
      <c r="AL741" s="2271"/>
      <c r="AM741" s="2361" t="str">
        <f t="shared" si="51"/>
        <v xml:space="preserve"> </v>
      </c>
      <c r="AN741" s="2362"/>
      <c r="AO741" s="23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c r="C742" s="2044"/>
      <c r="D742" s="2044"/>
      <c r="E742" s="2044"/>
      <c r="F742" s="2045"/>
      <c r="G742" s="2276"/>
      <c r="H742" s="2277"/>
      <c r="I742" s="2277"/>
      <c r="J742" s="2278"/>
      <c r="K742" s="2075"/>
      <c r="L742" s="2076"/>
      <c r="M742" s="2076"/>
      <c r="N742" s="2077"/>
      <c r="O742" s="2066"/>
      <c r="P742" s="2067"/>
      <c r="Q742" s="2067"/>
      <c r="R742" s="2067"/>
      <c r="S742" s="2068"/>
      <c r="T742" s="2142">
        <f t="shared" si="49"/>
        <v>0</v>
      </c>
      <c r="U742" s="2143"/>
      <c r="V742" s="2143"/>
      <c r="W742" s="2143"/>
      <c r="X742" s="2144"/>
      <c r="Y742" s="2066">
        <v>0</v>
      </c>
      <c r="Z742" s="2067"/>
      <c r="AA742" s="2067"/>
      <c r="AB742" s="2068"/>
      <c r="AC742" s="2142">
        <f t="shared" si="50"/>
        <v>0</v>
      </c>
      <c r="AD742" s="2143"/>
      <c r="AE742" s="2143"/>
      <c r="AF742" s="2143"/>
      <c r="AG742" s="2144"/>
      <c r="AH742" s="2269">
        <v>0</v>
      </c>
      <c r="AI742" s="2270"/>
      <c r="AJ742" s="2270"/>
      <c r="AK742" s="2270"/>
      <c r="AL742" s="2271"/>
      <c r="AM742" s="2361" t="str">
        <f t="shared" si="51"/>
        <v xml:space="preserve"> </v>
      </c>
      <c r="AN742" s="2362"/>
      <c r="AO742" s="23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c r="C743" s="2044"/>
      <c r="D743" s="2044"/>
      <c r="E743" s="2044"/>
      <c r="F743" s="2045"/>
      <c r="G743" s="2276"/>
      <c r="H743" s="2277"/>
      <c r="I743" s="2277"/>
      <c r="J743" s="2278"/>
      <c r="K743" s="2075"/>
      <c r="L743" s="2076"/>
      <c r="M743" s="2076"/>
      <c r="N743" s="2077"/>
      <c r="O743" s="2066"/>
      <c r="P743" s="2067"/>
      <c r="Q743" s="2067"/>
      <c r="R743" s="2067"/>
      <c r="S743" s="2068"/>
      <c r="T743" s="2142">
        <f t="shared" si="49"/>
        <v>0</v>
      </c>
      <c r="U743" s="2143"/>
      <c r="V743" s="2143"/>
      <c r="W743" s="2143"/>
      <c r="X743" s="2144"/>
      <c r="Y743" s="2066">
        <v>0</v>
      </c>
      <c r="Z743" s="2067"/>
      <c r="AA743" s="2067"/>
      <c r="AB743" s="2068"/>
      <c r="AC743" s="2142">
        <f t="shared" si="50"/>
        <v>0</v>
      </c>
      <c r="AD743" s="2143"/>
      <c r="AE743" s="2143"/>
      <c r="AF743" s="2143"/>
      <c r="AG743" s="2144"/>
      <c r="AH743" s="2269">
        <v>0</v>
      </c>
      <c r="AI743" s="2270"/>
      <c r="AJ743" s="2270"/>
      <c r="AK743" s="2270"/>
      <c r="AL743" s="2271"/>
      <c r="AM743" s="2361" t="str">
        <f t="shared" si="51"/>
        <v xml:space="preserve"> </v>
      </c>
      <c r="AN743" s="2362"/>
      <c r="AO743" s="23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c r="C744" s="2044"/>
      <c r="D744" s="2044"/>
      <c r="E744" s="2044"/>
      <c r="F744" s="2045"/>
      <c r="G744" s="2276"/>
      <c r="H744" s="2277"/>
      <c r="I744" s="2277"/>
      <c r="J744" s="2278"/>
      <c r="K744" s="2075"/>
      <c r="L744" s="2076"/>
      <c r="M744" s="2076"/>
      <c r="N744" s="2077"/>
      <c r="O744" s="2066"/>
      <c r="P744" s="2067"/>
      <c r="Q744" s="2067"/>
      <c r="R744" s="2067"/>
      <c r="S744" s="2068"/>
      <c r="T744" s="2142">
        <f t="shared" si="49"/>
        <v>0</v>
      </c>
      <c r="U744" s="2143"/>
      <c r="V744" s="2143"/>
      <c r="W744" s="2143"/>
      <c r="X744" s="2144"/>
      <c r="Y744" s="2066">
        <v>0</v>
      </c>
      <c r="Z744" s="2067"/>
      <c r="AA744" s="2067"/>
      <c r="AB744" s="2068"/>
      <c r="AC744" s="2142">
        <f t="shared" si="50"/>
        <v>0</v>
      </c>
      <c r="AD744" s="2143"/>
      <c r="AE744" s="2143"/>
      <c r="AF744" s="2143"/>
      <c r="AG744" s="2144"/>
      <c r="AH744" s="2269">
        <v>0</v>
      </c>
      <c r="AI744" s="2270"/>
      <c r="AJ744" s="2270"/>
      <c r="AK744" s="2270"/>
      <c r="AL744" s="2271"/>
      <c r="AM744" s="2361" t="str">
        <f t="shared" si="51"/>
        <v xml:space="preserve"> </v>
      </c>
      <c r="AN744" s="2362"/>
      <c r="AO744" s="23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c r="C745" s="2044"/>
      <c r="D745" s="2044"/>
      <c r="E745" s="2044"/>
      <c r="F745" s="2045"/>
      <c r="G745" s="2276"/>
      <c r="H745" s="2277"/>
      <c r="I745" s="2277"/>
      <c r="J745" s="2278"/>
      <c r="K745" s="2075"/>
      <c r="L745" s="2076"/>
      <c r="M745" s="2076"/>
      <c r="N745" s="2077"/>
      <c r="O745" s="2066"/>
      <c r="P745" s="2067"/>
      <c r="Q745" s="2067"/>
      <c r="R745" s="2067"/>
      <c r="S745" s="2068"/>
      <c r="T745" s="2142">
        <f t="shared" si="49"/>
        <v>0</v>
      </c>
      <c r="U745" s="2143"/>
      <c r="V745" s="2143"/>
      <c r="W745" s="2143"/>
      <c r="X745" s="2144"/>
      <c r="Y745" s="2066">
        <v>0</v>
      </c>
      <c r="Z745" s="2067"/>
      <c r="AA745" s="2067"/>
      <c r="AB745" s="2068"/>
      <c r="AC745" s="2142">
        <f t="shared" si="50"/>
        <v>0</v>
      </c>
      <c r="AD745" s="2143"/>
      <c r="AE745" s="2143"/>
      <c r="AF745" s="2143"/>
      <c r="AG745" s="2144"/>
      <c r="AH745" s="2269">
        <v>0</v>
      </c>
      <c r="AI745" s="2270"/>
      <c r="AJ745" s="2270"/>
      <c r="AK745" s="2270"/>
      <c r="AL745" s="2271"/>
      <c r="AM745" s="2361" t="str">
        <f t="shared" si="51"/>
        <v xml:space="preserve"> </v>
      </c>
      <c r="AN745" s="2362"/>
      <c r="AO745" s="23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c r="C746" s="2044"/>
      <c r="D746" s="2044"/>
      <c r="E746" s="2044"/>
      <c r="F746" s="2045"/>
      <c r="G746" s="2276"/>
      <c r="H746" s="2277"/>
      <c r="I746" s="2277"/>
      <c r="J746" s="2278"/>
      <c r="K746" s="2075"/>
      <c r="L746" s="2076"/>
      <c r="M746" s="2076"/>
      <c r="N746" s="2077"/>
      <c r="O746" s="2066"/>
      <c r="P746" s="2067"/>
      <c r="Q746" s="2067"/>
      <c r="R746" s="2067"/>
      <c r="S746" s="2068"/>
      <c r="T746" s="2142">
        <f t="shared" si="49"/>
        <v>0</v>
      </c>
      <c r="U746" s="2143"/>
      <c r="V746" s="2143"/>
      <c r="W746" s="2143"/>
      <c r="X746" s="2144"/>
      <c r="Y746" s="2066">
        <v>0</v>
      </c>
      <c r="Z746" s="2067"/>
      <c r="AA746" s="2067"/>
      <c r="AB746" s="2068"/>
      <c r="AC746" s="2142">
        <f t="shared" si="50"/>
        <v>0</v>
      </c>
      <c r="AD746" s="2143"/>
      <c r="AE746" s="2143"/>
      <c r="AF746" s="2143"/>
      <c r="AG746" s="2144"/>
      <c r="AH746" s="2269">
        <v>0</v>
      </c>
      <c r="AI746" s="2270"/>
      <c r="AJ746" s="2270"/>
      <c r="AK746" s="2270"/>
      <c r="AL746" s="2271"/>
      <c r="AM746" s="2361" t="str">
        <f t="shared" si="51"/>
        <v xml:space="preserve"> </v>
      </c>
      <c r="AN746" s="2362"/>
      <c r="AO746" s="23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c r="C747" s="2044"/>
      <c r="D747" s="2044"/>
      <c r="E747" s="2044"/>
      <c r="F747" s="2045"/>
      <c r="G747" s="2276"/>
      <c r="H747" s="2277"/>
      <c r="I747" s="2277"/>
      <c r="J747" s="2278"/>
      <c r="K747" s="2075"/>
      <c r="L747" s="2076"/>
      <c r="M747" s="2076"/>
      <c r="N747" s="2077"/>
      <c r="O747" s="2066"/>
      <c r="P747" s="2067"/>
      <c r="Q747" s="2067"/>
      <c r="R747" s="2067"/>
      <c r="S747" s="2068"/>
      <c r="T747" s="2142">
        <f t="shared" si="49"/>
        <v>0</v>
      </c>
      <c r="U747" s="2143"/>
      <c r="V747" s="2143"/>
      <c r="W747" s="2143"/>
      <c r="X747" s="2144"/>
      <c r="Y747" s="2066">
        <v>0</v>
      </c>
      <c r="Z747" s="2067"/>
      <c r="AA747" s="2067"/>
      <c r="AB747" s="2068"/>
      <c r="AC747" s="2142">
        <f t="shared" si="50"/>
        <v>0</v>
      </c>
      <c r="AD747" s="2143"/>
      <c r="AE747" s="2143"/>
      <c r="AF747" s="2143"/>
      <c r="AG747" s="2144"/>
      <c r="AH747" s="2269">
        <v>0</v>
      </c>
      <c r="AI747" s="2270"/>
      <c r="AJ747" s="2270"/>
      <c r="AK747" s="2270"/>
      <c r="AL747" s="2271"/>
      <c r="AM747" s="2361" t="str">
        <f t="shared" si="51"/>
        <v xml:space="preserve"> </v>
      </c>
      <c r="AN747" s="2362"/>
      <c r="AO747" s="23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76"/>
      <c r="H748" s="2277"/>
      <c r="I748" s="2277"/>
      <c r="J748" s="2278"/>
      <c r="K748" s="2075"/>
      <c r="L748" s="2076"/>
      <c r="M748" s="2076"/>
      <c r="N748" s="2077"/>
      <c r="O748" s="2066"/>
      <c r="P748" s="2067"/>
      <c r="Q748" s="2067"/>
      <c r="R748" s="2067"/>
      <c r="S748" s="2068"/>
      <c r="T748" s="2142">
        <f t="shared" si="49"/>
        <v>0</v>
      </c>
      <c r="U748" s="2143"/>
      <c r="V748" s="2143"/>
      <c r="W748" s="2143"/>
      <c r="X748" s="2144"/>
      <c r="Y748" s="2066">
        <v>0</v>
      </c>
      <c r="Z748" s="2067"/>
      <c r="AA748" s="2067"/>
      <c r="AB748" s="2068"/>
      <c r="AC748" s="2142">
        <f t="shared" si="50"/>
        <v>0</v>
      </c>
      <c r="AD748" s="2143"/>
      <c r="AE748" s="2143"/>
      <c r="AF748" s="2143"/>
      <c r="AG748" s="2144"/>
      <c r="AH748" s="2269">
        <v>0</v>
      </c>
      <c r="AI748" s="2270"/>
      <c r="AJ748" s="2270"/>
      <c r="AK748" s="2270"/>
      <c r="AL748" s="2271"/>
      <c r="AM748" s="2361" t="str">
        <f t="shared" si="51"/>
        <v xml:space="preserve"> </v>
      </c>
      <c r="AN748" s="2362"/>
      <c r="AO748" s="23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c r="C749" s="2044"/>
      <c r="D749" s="2044"/>
      <c r="E749" s="2044"/>
      <c r="F749" s="2045"/>
      <c r="G749" s="2276"/>
      <c r="H749" s="2277"/>
      <c r="I749" s="2277"/>
      <c r="J749" s="2278"/>
      <c r="K749" s="2075"/>
      <c r="L749" s="2076"/>
      <c r="M749" s="2076"/>
      <c r="N749" s="2077"/>
      <c r="O749" s="2066"/>
      <c r="P749" s="2067"/>
      <c r="Q749" s="2067"/>
      <c r="R749" s="2067"/>
      <c r="S749" s="2068"/>
      <c r="T749" s="2142">
        <f t="shared" si="49"/>
        <v>0</v>
      </c>
      <c r="U749" s="2143"/>
      <c r="V749" s="2143"/>
      <c r="W749" s="2143"/>
      <c r="X749" s="2144"/>
      <c r="Y749" s="2066">
        <v>0</v>
      </c>
      <c r="Z749" s="2067"/>
      <c r="AA749" s="2067"/>
      <c r="AB749" s="2068"/>
      <c r="AC749" s="2142">
        <f t="shared" si="50"/>
        <v>0</v>
      </c>
      <c r="AD749" s="2143"/>
      <c r="AE749" s="2143"/>
      <c r="AF749" s="2143"/>
      <c r="AG749" s="2144"/>
      <c r="AH749" s="2269">
        <v>0</v>
      </c>
      <c r="AI749" s="2270"/>
      <c r="AJ749" s="2270"/>
      <c r="AK749" s="2270"/>
      <c r="AL749" s="2271"/>
      <c r="AM749" s="2361" t="str">
        <f t="shared" si="51"/>
        <v xml:space="preserve"> </v>
      </c>
      <c r="AN749" s="2362"/>
      <c r="AO749" s="23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76"/>
      <c r="H750" s="2277"/>
      <c r="I750" s="2277"/>
      <c r="J750" s="2278"/>
      <c r="K750" s="2075"/>
      <c r="L750" s="2076"/>
      <c r="M750" s="2076"/>
      <c r="N750" s="2077"/>
      <c r="O750" s="2066"/>
      <c r="P750" s="2067"/>
      <c r="Q750" s="2067"/>
      <c r="R750" s="2067"/>
      <c r="S750" s="2068"/>
      <c r="T750" s="2142">
        <f t="shared" si="49"/>
        <v>0</v>
      </c>
      <c r="U750" s="2143"/>
      <c r="V750" s="2143"/>
      <c r="W750" s="2143"/>
      <c r="X750" s="2144"/>
      <c r="Y750" s="2066">
        <v>0</v>
      </c>
      <c r="Z750" s="2067"/>
      <c r="AA750" s="2067"/>
      <c r="AB750" s="2068"/>
      <c r="AC750" s="2142">
        <f t="shared" si="50"/>
        <v>0</v>
      </c>
      <c r="AD750" s="2143"/>
      <c r="AE750" s="2143"/>
      <c r="AF750" s="2143"/>
      <c r="AG750" s="2144"/>
      <c r="AH750" s="2269">
        <v>0</v>
      </c>
      <c r="AI750" s="2270"/>
      <c r="AJ750" s="2270"/>
      <c r="AK750" s="2270"/>
      <c r="AL750" s="2271"/>
      <c r="AM750" s="2361" t="str">
        <f t="shared" si="51"/>
        <v xml:space="preserve"> </v>
      </c>
      <c r="AN750" s="2362"/>
      <c r="AO750" s="23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76"/>
      <c r="H751" s="2277"/>
      <c r="I751" s="2277"/>
      <c r="J751" s="2278"/>
      <c r="K751" s="2075"/>
      <c r="L751" s="2076"/>
      <c r="M751" s="2076"/>
      <c r="N751" s="2077"/>
      <c r="O751" s="2066"/>
      <c r="P751" s="2067"/>
      <c r="Q751" s="2067"/>
      <c r="R751" s="2067"/>
      <c r="S751" s="2068"/>
      <c r="T751" s="2142">
        <f t="shared" si="49"/>
        <v>0</v>
      </c>
      <c r="U751" s="2143"/>
      <c r="V751" s="2143"/>
      <c r="W751" s="2143"/>
      <c r="X751" s="2144"/>
      <c r="Y751" s="2066">
        <v>0</v>
      </c>
      <c r="Z751" s="2067"/>
      <c r="AA751" s="2067"/>
      <c r="AB751" s="2068"/>
      <c r="AC751" s="2142">
        <f t="shared" si="50"/>
        <v>0</v>
      </c>
      <c r="AD751" s="2143"/>
      <c r="AE751" s="2143"/>
      <c r="AF751" s="2143"/>
      <c r="AG751" s="2144"/>
      <c r="AH751" s="2269">
        <v>0</v>
      </c>
      <c r="AI751" s="2270"/>
      <c r="AJ751" s="2270"/>
      <c r="AK751" s="2270"/>
      <c r="AL751" s="2271"/>
      <c r="AM751" s="2361" t="str">
        <f t="shared" si="51"/>
        <v xml:space="preserve"> </v>
      </c>
      <c r="AN751" s="2362"/>
      <c r="AO751" s="23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76"/>
      <c r="H752" s="2277"/>
      <c r="I752" s="2277"/>
      <c r="J752" s="2278"/>
      <c r="K752" s="2075"/>
      <c r="L752" s="2076"/>
      <c r="M752" s="2076"/>
      <c r="N752" s="2077"/>
      <c r="O752" s="2066"/>
      <c r="P752" s="2067"/>
      <c r="Q752" s="2067"/>
      <c r="R752" s="2067"/>
      <c r="S752" s="2068"/>
      <c r="T752" s="2142">
        <f t="shared" si="49"/>
        <v>0</v>
      </c>
      <c r="U752" s="2143"/>
      <c r="V752" s="2143"/>
      <c r="W752" s="2143"/>
      <c r="X752" s="2144"/>
      <c r="Y752" s="2066">
        <v>0</v>
      </c>
      <c r="Z752" s="2067"/>
      <c r="AA752" s="2067"/>
      <c r="AB752" s="2068"/>
      <c r="AC752" s="2142">
        <f t="shared" si="50"/>
        <v>0</v>
      </c>
      <c r="AD752" s="2143"/>
      <c r="AE752" s="2143"/>
      <c r="AF752" s="2143"/>
      <c r="AG752" s="2144"/>
      <c r="AH752" s="2269">
        <v>0</v>
      </c>
      <c r="AI752" s="2270"/>
      <c r="AJ752" s="2270"/>
      <c r="AK752" s="2270"/>
      <c r="AL752" s="2271"/>
      <c r="AM752" s="2361" t="str">
        <f t="shared" si="51"/>
        <v xml:space="preserve"> </v>
      </c>
      <c r="AN752" s="2362"/>
      <c r="AO752" s="23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3" t="s">
        <v>130</v>
      </c>
      <c r="C753" s="2184"/>
      <c r="D753" s="2184"/>
      <c r="E753" s="2184"/>
      <c r="F753" s="2186"/>
      <c r="G753" s="2260">
        <f>SUM(G728:J752)</f>
        <v>337</v>
      </c>
      <c r="H753" s="2261"/>
      <c r="I753" s="2261"/>
      <c r="J753" s="2262"/>
      <c r="O753" s="1585" t="s">
        <v>129</v>
      </c>
      <c r="P753" s="1586"/>
      <c r="Q753" s="1586"/>
      <c r="R753" s="1586"/>
      <c r="S753" s="1587"/>
      <c r="T753" s="2142">
        <f>SUM(T728:X752)</f>
        <v>424152</v>
      </c>
      <c r="U753" s="2143"/>
      <c r="V753" s="2143"/>
      <c r="W753" s="2143"/>
      <c r="X753" s="2144"/>
      <c r="AC753" s="1589" t="s">
        <v>968</v>
      </c>
      <c r="AD753" s="1588"/>
      <c r="AE753" s="1588"/>
      <c r="AF753" s="1588"/>
      <c r="AG753" s="1590"/>
      <c r="AH753" s="2364">
        <f>BI696</f>
        <v>0.58456973293768533</v>
      </c>
      <c r="AI753" s="2365"/>
      <c r="AJ753" s="2365"/>
      <c r="AK753" s="2365"/>
      <c r="AL753" s="2366"/>
      <c r="AM753" s="2364">
        <f>BI728</f>
        <v>0.58072545586680246</v>
      </c>
      <c r="AN753" s="2365"/>
      <c r="AO753" s="236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625</v>
      </c>
      <c r="AG755" s="2432"/>
      <c r="AH755" s="243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406</v>
      </c>
      <c r="K768" s="2113"/>
      <c r="L768" s="2113"/>
      <c r="M768" s="2113"/>
      <c r="N768" s="2114"/>
      <c r="O768" s="2301" t="s">
        <v>290</v>
      </c>
      <c r="P768" s="2301"/>
      <c r="Q768" s="2301"/>
      <c r="R768" s="2301"/>
      <c r="S768" s="2301"/>
      <c r="T768" s="2287" t="s">
        <v>2156</v>
      </c>
      <c r="U768" s="2288"/>
      <c r="V768" s="2288"/>
      <c r="W768" s="2289"/>
      <c r="X768" s="2112" t="s">
        <v>477</v>
      </c>
      <c r="Y768" s="2113"/>
      <c r="Z768" s="2113"/>
      <c r="AA768" s="2113"/>
      <c r="AB768" s="2114"/>
      <c r="AC768" s="2112" t="s">
        <v>291</v>
      </c>
      <c r="AD768" s="2113"/>
      <c r="AE768" s="2113"/>
      <c r="AF768" s="2113"/>
      <c r="AG768" s="211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301"/>
      <c r="P769" s="2301"/>
      <c r="Q769" s="2301"/>
      <c r="R769" s="2301"/>
      <c r="S769" s="2301"/>
      <c r="T769" s="2290"/>
      <c r="U769" s="2291"/>
      <c r="V769" s="2291"/>
      <c r="W769" s="2292"/>
      <c r="X769" s="2115"/>
      <c r="Y769" s="2116"/>
      <c r="Z769" s="2116"/>
      <c r="AA769" s="2116"/>
      <c r="AB769" s="2117"/>
      <c r="AC769" s="2115"/>
      <c r="AD769" s="2116"/>
      <c r="AE769" s="2116"/>
      <c r="AF769" s="2116"/>
      <c r="AG769" s="211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301"/>
      <c r="P770" s="2301"/>
      <c r="Q770" s="2301"/>
      <c r="R770" s="2301"/>
      <c r="S770" s="2301"/>
      <c r="T770" s="2290"/>
      <c r="U770" s="2291"/>
      <c r="V770" s="2291"/>
      <c r="W770" s="2292"/>
      <c r="X770" s="2115"/>
      <c r="Y770" s="2116"/>
      <c r="Z770" s="2116"/>
      <c r="AA770" s="2116"/>
      <c r="AB770" s="2117"/>
      <c r="AC770" s="2115"/>
      <c r="AD770" s="2116"/>
      <c r="AE770" s="2116"/>
      <c r="AF770" s="2116"/>
      <c r="AG770" s="211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301"/>
      <c r="P771" s="2301"/>
      <c r="Q771" s="2301"/>
      <c r="R771" s="2301"/>
      <c r="S771" s="2301"/>
      <c r="T771" s="2293"/>
      <c r="U771" s="2294"/>
      <c r="V771" s="2294"/>
      <c r="W771" s="2295"/>
      <c r="X771" s="2118"/>
      <c r="Y771" s="2119"/>
      <c r="Z771" s="2119"/>
      <c r="AA771" s="2119"/>
      <c r="AB771" s="2120"/>
      <c r="AC771" s="2118"/>
      <c r="AD771" s="2119"/>
      <c r="AE771" s="2119"/>
      <c r="AF771" s="2119"/>
      <c r="AG771" s="212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082">
        <v>3</v>
      </c>
      <c r="P772" s="2082"/>
      <c r="Q772" s="2082"/>
      <c r="R772" s="2082"/>
      <c r="S772" s="2082"/>
      <c r="T772" s="2075">
        <v>750</v>
      </c>
      <c r="U772" s="2076"/>
      <c r="V772" s="2076"/>
      <c r="W772" s="2077"/>
      <c r="X772" s="2066">
        <v>0</v>
      </c>
      <c r="Y772" s="2067"/>
      <c r="Z772" s="2067"/>
      <c r="AA772" s="2067"/>
      <c r="AB772" s="2068"/>
      <c r="AC772" s="2142">
        <f>X772*O772</f>
        <v>0</v>
      </c>
      <c r="AD772" s="2143"/>
      <c r="AE772" s="2143"/>
      <c r="AF772" s="2143"/>
      <c r="AG772" s="214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2"/>
      <c r="P773" s="2082"/>
      <c r="Q773" s="2082"/>
      <c r="R773" s="2082"/>
      <c r="S773" s="2082"/>
      <c r="T773" s="2075"/>
      <c r="U773" s="2076"/>
      <c r="V773" s="2076"/>
      <c r="W773" s="2077"/>
      <c r="X773" s="2066"/>
      <c r="Y773" s="2067"/>
      <c r="Z773" s="2067"/>
      <c r="AA773" s="2067"/>
      <c r="AB773" s="2068"/>
      <c r="AC773" s="2142">
        <f>X773*O773</f>
        <v>0</v>
      </c>
      <c r="AD773" s="2143"/>
      <c r="AE773" s="2143"/>
      <c r="AF773" s="2143"/>
      <c r="AG773" s="214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2"/>
      <c r="P774" s="2082"/>
      <c r="Q774" s="2082"/>
      <c r="R774" s="2082"/>
      <c r="S774" s="2082"/>
      <c r="T774" s="2075"/>
      <c r="U774" s="2076"/>
      <c r="V774" s="2076"/>
      <c r="W774" s="2077"/>
      <c r="X774" s="2066"/>
      <c r="Y774" s="2067"/>
      <c r="Z774" s="2067"/>
      <c r="AA774" s="2067"/>
      <c r="AB774" s="2068"/>
      <c r="AC774" s="2142">
        <f>X774*O774</f>
        <v>0</v>
      </c>
      <c r="AD774" s="2143"/>
      <c r="AE774" s="2143"/>
      <c r="AF774" s="2143"/>
      <c r="AG774" s="214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2"/>
      <c r="P775" s="2082"/>
      <c r="Q775" s="2082"/>
      <c r="R775" s="2082"/>
      <c r="S775" s="2082"/>
      <c r="T775" s="2075"/>
      <c r="U775" s="2076"/>
      <c r="V775" s="2076"/>
      <c r="W775" s="2077"/>
      <c r="X775" s="2066"/>
      <c r="Y775" s="2067"/>
      <c r="Z775" s="2067"/>
      <c r="AA775" s="2067"/>
      <c r="AB775" s="2068"/>
      <c r="AC775" s="2142">
        <f>X775*O775</f>
        <v>0</v>
      </c>
      <c r="AD775" s="2143"/>
      <c r="AE775" s="2143"/>
      <c r="AF775" s="2143"/>
      <c r="AG775" s="214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303">
        <f>SUM(O772:S775)</f>
        <v>3</v>
      </c>
      <c r="P776" s="2304"/>
      <c r="Q776" s="2304"/>
      <c r="R776" s="2304"/>
      <c r="S776" s="2305"/>
      <c r="X776" s="2384" t="s">
        <v>129</v>
      </c>
      <c r="Y776" s="2385"/>
      <c r="Z776" s="2385"/>
      <c r="AA776" s="2385"/>
      <c r="AB776" s="2386"/>
      <c r="AC776" s="2142">
        <f>SUM(AC772:AG775)</f>
        <v>0</v>
      </c>
      <c r="AD776" s="2143"/>
      <c r="AE776" s="2143"/>
      <c r="AF776" s="2143"/>
      <c r="AG776" s="214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577</v>
      </c>
      <c r="K778" s="206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406</v>
      </c>
      <c r="K782" s="2113"/>
      <c r="L782" s="2113"/>
      <c r="M782" s="2113"/>
      <c r="N782" s="2114"/>
      <c r="O782" s="2301" t="s">
        <v>290</v>
      </c>
      <c r="P782" s="2301"/>
      <c r="Q782" s="2301"/>
      <c r="R782" s="2301"/>
      <c r="S782" s="2301"/>
      <c r="T782" s="2287" t="s">
        <v>2156</v>
      </c>
      <c r="U782" s="2288"/>
      <c r="V782" s="2288"/>
      <c r="W782" s="2289"/>
      <c r="X782" s="2112" t="s">
        <v>477</v>
      </c>
      <c r="Y782" s="2113"/>
      <c r="Z782" s="2113"/>
      <c r="AA782" s="2113"/>
      <c r="AB782" s="2114"/>
      <c r="AC782" s="2112" t="s">
        <v>291</v>
      </c>
      <c r="AD782" s="2113"/>
      <c r="AE782" s="2113"/>
      <c r="AF782" s="2113"/>
      <c r="AG782" s="2114"/>
      <c r="AH782" s="2268" t="s">
        <v>2396</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301"/>
      <c r="P783" s="2301"/>
      <c r="Q783" s="2301"/>
      <c r="R783" s="2301"/>
      <c r="S783" s="2301"/>
      <c r="T783" s="2290"/>
      <c r="U783" s="2291"/>
      <c r="V783" s="2291"/>
      <c r="W783" s="2292"/>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301"/>
      <c r="P784" s="2301"/>
      <c r="Q784" s="2301"/>
      <c r="R784" s="2301"/>
      <c r="S784" s="2301"/>
      <c r="T784" s="2290"/>
      <c r="U784" s="2291"/>
      <c r="V784" s="2291"/>
      <c r="W784" s="2292"/>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301"/>
      <c r="P785" s="2301"/>
      <c r="Q785" s="2301"/>
      <c r="R785" s="2301"/>
      <c r="S785" s="2301"/>
      <c r="T785" s="2293"/>
      <c r="U785" s="2294"/>
      <c r="V785" s="2294"/>
      <c r="W785" s="2295"/>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2"/>
      <c r="P786" s="2082"/>
      <c r="Q786" s="2082"/>
      <c r="R786" s="2082"/>
      <c r="S786" s="2082"/>
      <c r="T786" s="2075"/>
      <c r="U786" s="2076"/>
      <c r="V786" s="2076"/>
      <c r="W786" s="2077"/>
      <c r="X786" s="2066"/>
      <c r="Y786" s="2067"/>
      <c r="Z786" s="2067"/>
      <c r="AA786" s="2067"/>
      <c r="AB786" s="2068"/>
      <c r="AC786" s="2142">
        <f t="shared" ref="AC786:AC795" si="52">X786*O786</f>
        <v>0</v>
      </c>
      <c r="AD786" s="2143"/>
      <c r="AE786" s="2143"/>
      <c r="AF786" s="2143"/>
      <c r="AG786" s="2144"/>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2"/>
      <c r="P787" s="2082"/>
      <c r="Q787" s="2082"/>
      <c r="R787" s="2082"/>
      <c r="S787" s="2082"/>
      <c r="T787" s="2075"/>
      <c r="U787" s="2076"/>
      <c r="V787" s="2076"/>
      <c r="W787" s="2077"/>
      <c r="X787" s="2066"/>
      <c r="Y787" s="2067"/>
      <c r="Z787" s="2067"/>
      <c r="AA787" s="2067"/>
      <c r="AB787" s="2068"/>
      <c r="AC787" s="2142">
        <f t="shared" si="52"/>
        <v>0</v>
      </c>
      <c r="AD787" s="2143"/>
      <c r="AE787" s="2143"/>
      <c r="AF787" s="2143"/>
      <c r="AG787" s="2144"/>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2"/>
      <c r="P788" s="2082"/>
      <c r="Q788" s="2082"/>
      <c r="R788" s="2082"/>
      <c r="S788" s="2082"/>
      <c r="T788" s="2075"/>
      <c r="U788" s="2076"/>
      <c r="V788" s="2076"/>
      <c r="W788" s="2077"/>
      <c r="X788" s="2066"/>
      <c r="Y788" s="2067"/>
      <c r="Z788" s="2067"/>
      <c r="AA788" s="2067"/>
      <c r="AB788" s="2068"/>
      <c r="AC788" s="2142">
        <f t="shared" si="52"/>
        <v>0</v>
      </c>
      <c r="AD788" s="2143"/>
      <c r="AE788" s="2143"/>
      <c r="AF788" s="2143"/>
      <c r="AG788" s="2144"/>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2"/>
      <c r="P789" s="2082"/>
      <c r="Q789" s="2082"/>
      <c r="R789" s="2082"/>
      <c r="S789" s="2082"/>
      <c r="T789" s="2075"/>
      <c r="U789" s="2076"/>
      <c r="V789" s="2076"/>
      <c r="W789" s="2077"/>
      <c r="X789" s="2066"/>
      <c r="Y789" s="2067"/>
      <c r="Z789" s="2067"/>
      <c r="AA789" s="2067"/>
      <c r="AB789" s="2068"/>
      <c r="AC789" s="2142">
        <f t="shared" si="52"/>
        <v>0</v>
      </c>
      <c r="AD789" s="2143"/>
      <c r="AE789" s="2143"/>
      <c r="AF789" s="2143"/>
      <c r="AG789" s="2144"/>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2"/>
      <c r="P790" s="2082"/>
      <c r="Q790" s="2082"/>
      <c r="R790" s="2082"/>
      <c r="S790" s="2082"/>
      <c r="T790" s="2075"/>
      <c r="U790" s="2076"/>
      <c r="V790" s="2076"/>
      <c r="W790" s="2077"/>
      <c r="X790" s="2066"/>
      <c r="Y790" s="2067"/>
      <c r="Z790" s="2067"/>
      <c r="AA790" s="2067"/>
      <c r="AB790" s="2068"/>
      <c r="AC790" s="2142">
        <f t="shared" si="52"/>
        <v>0</v>
      </c>
      <c r="AD790" s="2143"/>
      <c r="AE790" s="2143"/>
      <c r="AF790" s="2143"/>
      <c r="AG790" s="2144"/>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2"/>
      <c r="P791" s="2082"/>
      <c r="Q791" s="2082"/>
      <c r="R791" s="2082"/>
      <c r="S791" s="2082"/>
      <c r="T791" s="2075"/>
      <c r="U791" s="2076"/>
      <c r="V791" s="2076"/>
      <c r="W791" s="2077"/>
      <c r="X791" s="2066"/>
      <c r="Y791" s="2067"/>
      <c r="Z791" s="2067"/>
      <c r="AA791" s="2067"/>
      <c r="AB791" s="2068"/>
      <c r="AC791" s="2142">
        <f t="shared" si="52"/>
        <v>0</v>
      </c>
      <c r="AD791" s="2143"/>
      <c r="AE791" s="2143"/>
      <c r="AF791" s="2143"/>
      <c r="AG791" s="2144"/>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2"/>
      <c r="P792" s="2082"/>
      <c r="Q792" s="2082"/>
      <c r="R792" s="2082"/>
      <c r="S792" s="2082"/>
      <c r="T792" s="2075"/>
      <c r="U792" s="2076"/>
      <c r="V792" s="2076"/>
      <c r="W792" s="2077"/>
      <c r="X792" s="2066"/>
      <c r="Y792" s="2067"/>
      <c r="Z792" s="2067"/>
      <c r="AA792" s="2067"/>
      <c r="AB792" s="2068"/>
      <c r="AC792" s="2142">
        <f t="shared" si="52"/>
        <v>0</v>
      </c>
      <c r="AD792" s="2143"/>
      <c r="AE792" s="2143"/>
      <c r="AF792" s="2143"/>
      <c r="AG792" s="2144"/>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2"/>
      <c r="P793" s="2082"/>
      <c r="Q793" s="2082"/>
      <c r="R793" s="2082"/>
      <c r="S793" s="2082"/>
      <c r="T793" s="2075"/>
      <c r="U793" s="2076"/>
      <c r="V793" s="2076"/>
      <c r="W793" s="2077"/>
      <c r="X793" s="2066"/>
      <c r="Y793" s="2067"/>
      <c r="Z793" s="2067"/>
      <c r="AA793" s="2067"/>
      <c r="AB793" s="2068"/>
      <c r="AC793" s="2142">
        <f t="shared" si="52"/>
        <v>0</v>
      </c>
      <c r="AD793" s="2143"/>
      <c r="AE793" s="2143"/>
      <c r="AF793" s="2143"/>
      <c r="AG793" s="2144"/>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2"/>
      <c r="P794" s="2082"/>
      <c r="Q794" s="2082"/>
      <c r="R794" s="2082"/>
      <c r="S794" s="2082"/>
      <c r="T794" s="2075"/>
      <c r="U794" s="2076"/>
      <c r="V794" s="2076"/>
      <c r="W794" s="2077"/>
      <c r="X794" s="2066"/>
      <c r="Y794" s="2067"/>
      <c r="Z794" s="2067"/>
      <c r="AA794" s="2067"/>
      <c r="AB794" s="2068"/>
      <c r="AC794" s="2142">
        <f t="shared" si="52"/>
        <v>0</v>
      </c>
      <c r="AD794" s="2143"/>
      <c r="AE794" s="2143"/>
      <c r="AF794" s="2143"/>
      <c r="AG794" s="2144"/>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2"/>
      <c r="P795" s="2082"/>
      <c r="Q795" s="2082"/>
      <c r="R795" s="2082"/>
      <c r="S795" s="2082"/>
      <c r="T795" s="2075"/>
      <c r="U795" s="2076"/>
      <c r="V795" s="2076"/>
      <c r="W795" s="2077"/>
      <c r="X795" s="2066"/>
      <c r="Y795" s="2067"/>
      <c r="Z795" s="2067"/>
      <c r="AA795" s="2067"/>
      <c r="AB795" s="2068"/>
      <c r="AC795" s="2142">
        <f t="shared" si="52"/>
        <v>0</v>
      </c>
      <c r="AD795" s="2143"/>
      <c r="AE795" s="2143"/>
      <c r="AF795" s="2143"/>
      <c r="AG795" s="2144"/>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302">
        <f>SUM(O786:S795)</f>
        <v>0</v>
      </c>
      <c r="P796" s="2302"/>
      <c r="Q796" s="2302"/>
      <c r="R796" s="2302"/>
      <c r="S796" s="2302"/>
      <c r="X796" s="1602" t="s">
        <v>129</v>
      </c>
      <c r="Y796" s="1603"/>
      <c r="Z796" s="1603"/>
      <c r="AA796" s="1603"/>
      <c r="AB796" s="1604"/>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424152</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5089824</v>
      </c>
      <c r="Z799" s="2135"/>
      <c r="AA799" s="2135"/>
      <c r="AB799" s="2135"/>
      <c r="AC799" s="2135"/>
      <c r="AZ799" s="58"/>
      <c r="BA799" s="51" t="s">
        <v>666</v>
      </c>
      <c r="BB799" s="51"/>
      <c r="BC799" s="51"/>
      <c r="BD799" s="51"/>
      <c r="BE799" s="51"/>
      <c r="BF799" s="51"/>
      <c r="BG799" s="51"/>
      <c r="BH799" s="51"/>
      <c r="BI799" s="51"/>
      <c r="BJ799" s="51"/>
      <c r="BK799" s="51"/>
      <c r="BL799" s="51"/>
      <c r="BM799" s="51"/>
      <c r="BN799" s="2359" t="s">
        <v>501</v>
      </c>
      <c r="BO799" s="2360"/>
      <c r="BP799" s="58"/>
      <c r="BQ799" s="58"/>
      <c r="BR799" s="58"/>
      <c r="BS799" s="51" t="s">
        <v>668</v>
      </c>
      <c r="BT799" s="51"/>
      <c r="BU799" s="51"/>
      <c r="BV799" s="51"/>
      <c r="BW799" s="51"/>
      <c r="BX799" s="51"/>
      <c r="BY799" s="51"/>
      <c r="BZ799" s="51"/>
      <c r="CA799" s="51"/>
      <c r="CB799" s="2356" t="str">
        <f>T189</f>
        <v>Los Angeles</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0</v>
      </c>
      <c r="AA806" s="2326"/>
      <c r="AB806" s="2326"/>
      <c r="AC806" s="2326"/>
      <c r="AD806" s="2326"/>
      <c r="AE806" s="23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0</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20400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6" t="s">
        <v>342</v>
      </c>
      <c r="Q814" s="2307"/>
      <c r="R814" s="2307"/>
      <c r="S814" s="2307"/>
      <c r="T814" s="2307"/>
      <c r="U814" s="2307"/>
      <c r="V814" s="2307"/>
      <c r="W814" s="2307"/>
      <c r="X814" s="2307"/>
      <c r="Y814" s="2308"/>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20400</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6">
        <f>Z815+Y799+Z807</f>
        <v>5110224</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2" t="s">
        <v>131</v>
      </c>
      <c r="N821" s="2272"/>
      <c r="O821" s="2272"/>
      <c r="P821" s="2273"/>
      <c r="Q821" s="2279" t="s">
        <v>297</v>
      </c>
      <c r="R821" s="2279"/>
      <c r="S821" s="2279"/>
      <c r="T821" s="2279"/>
      <c r="U821" s="2279" t="s">
        <v>298</v>
      </c>
      <c r="V821" s="2279"/>
      <c r="W821" s="2279"/>
      <c r="X821" s="2279"/>
      <c r="Y821" s="2279" t="s">
        <v>299</v>
      </c>
      <c r="Z821" s="2279"/>
      <c r="AA821" s="2279"/>
      <c r="AB821" s="2279"/>
      <c r="AC821" s="2279" t="s">
        <v>370</v>
      </c>
      <c r="AD821" s="2279"/>
      <c r="AE821" s="2279"/>
      <c r="AF821" s="2279"/>
      <c r="AG821" s="2428" t="s">
        <v>343</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4"/>
      <c r="N822" s="2274"/>
      <c r="O822" s="2274"/>
      <c r="P822" s="2275"/>
      <c r="Q822" s="2279"/>
      <c r="R822" s="2279"/>
      <c r="S822" s="2279"/>
      <c r="T822" s="2279"/>
      <c r="U822" s="2279"/>
      <c r="V822" s="2279"/>
      <c r="W822" s="2279"/>
      <c r="X822" s="2279"/>
      <c r="Y822" s="2279"/>
      <c r="Z822" s="2279"/>
      <c r="AA822" s="2279"/>
      <c r="AB822" s="2279"/>
      <c r="AC822" s="2279"/>
      <c r="AD822" s="2279"/>
      <c r="AE822" s="2279"/>
      <c r="AF822" s="2279"/>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3">
        <v>11</v>
      </c>
      <c r="N823" s="2263"/>
      <c r="O823" s="2263"/>
      <c r="P823" s="2263"/>
      <c r="Q823" s="2263">
        <v>13</v>
      </c>
      <c r="R823" s="2263"/>
      <c r="S823" s="2263"/>
      <c r="T823" s="2263"/>
      <c r="U823" s="2263">
        <v>15</v>
      </c>
      <c r="V823" s="2263"/>
      <c r="W823" s="2263"/>
      <c r="X823" s="2263"/>
      <c r="Y823" s="2263"/>
      <c r="Z823" s="2263"/>
      <c r="AA823" s="2263"/>
      <c r="AB823" s="2263"/>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3"/>
      <c r="N824" s="2263"/>
      <c r="O824" s="2263"/>
      <c r="P824" s="2263"/>
      <c r="Q824" s="2263"/>
      <c r="R824" s="2263"/>
      <c r="S824" s="2263"/>
      <c r="T824" s="2263"/>
      <c r="U824" s="2263"/>
      <c r="V824" s="2263"/>
      <c r="W824" s="2263"/>
      <c r="X824" s="2263"/>
      <c r="Y824" s="2263"/>
      <c r="Z824" s="2263"/>
      <c r="AA824" s="2263"/>
      <c r="AB824" s="2263"/>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3">
        <v>7</v>
      </c>
      <c r="N825" s="2263"/>
      <c r="O825" s="2263"/>
      <c r="P825" s="2263"/>
      <c r="Q825" s="2263">
        <v>8</v>
      </c>
      <c r="R825" s="2263"/>
      <c r="S825" s="2263"/>
      <c r="T825" s="2263"/>
      <c r="U825" s="2263">
        <v>12</v>
      </c>
      <c r="V825" s="2263"/>
      <c r="W825" s="2263"/>
      <c r="X825" s="2263"/>
      <c r="Y825" s="2263"/>
      <c r="Z825" s="2263"/>
      <c r="AA825" s="2263"/>
      <c r="AB825" s="2263"/>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819</v>
      </c>
      <c r="D826" s="2069"/>
      <c r="E826" s="2069"/>
      <c r="F826" s="2069"/>
      <c r="G826" s="2069"/>
      <c r="H826" s="2069"/>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491</v>
      </c>
      <c r="D827" s="2069"/>
      <c r="E827" s="2069"/>
      <c r="F827" s="2069"/>
      <c r="G827" s="2069"/>
      <c r="H827" s="2069"/>
      <c r="I827" s="96"/>
      <c r="J827" s="96"/>
      <c r="K827" s="96"/>
      <c r="L827" s="97"/>
      <c r="M827" s="2263">
        <v>26</v>
      </c>
      <c r="N827" s="2263"/>
      <c r="O827" s="2263"/>
      <c r="P827" s="2263"/>
      <c r="Q827" s="2263">
        <v>31</v>
      </c>
      <c r="R827" s="2263"/>
      <c r="S827" s="2263"/>
      <c r="T827" s="2263"/>
      <c r="U827" s="2263">
        <v>43</v>
      </c>
      <c r="V827" s="2263"/>
      <c r="W827" s="2263"/>
      <c r="X827" s="2263"/>
      <c r="Y827" s="2263"/>
      <c r="Z827" s="2263"/>
      <c r="AA827" s="2263"/>
      <c r="AB827" s="2263"/>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840</v>
      </c>
      <c r="D828" s="2069"/>
      <c r="E828" s="2069"/>
      <c r="F828" s="2069"/>
      <c r="G828" s="2069"/>
      <c r="H828" s="2069"/>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90" t="s">
        <v>2568</v>
      </c>
      <c r="G829" s="2285"/>
      <c r="H829" s="2285"/>
      <c r="I829" s="2285"/>
      <c r="J829" s="2285"/>
      <c r="K829" s="2285"/>
      <c r="L829" s="2286"/>
      <c r="M829" s="2263">
        <v>13</v>
      </c>
      <c r="N829" s="2263"/>
      <c r="O829" s="2263"/>
      <c r="P829" s="2263"/>
      <c r="Q829" s="2263">
        <v>16</v>
      </c>
      <c r="R829" s="2263"/>
      <c r="S829" s="2263"/>
      <c r="T829" s="2263"/>
      <c r="U829" s="2263">
        <v>22</v>
      </c>
      <c r="V829" s="2263"/>
      <c r="W829" s="2263"/>
      <c r="X829" s="2263"/>
      <c r="Y829" s="2263"/>
      <c r="Z829" s="2263"/>
      <c r="AA829" s="2263"/>
      <c r="AB829" s="2263"/>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281">
        <f>SUM(M823:P829)</f>
        <v>57</v>
      </c>
      <c r="N830" s="2281"/>
      <c r="O830" s="2281"/>
      <c r="P830" s="2281"/>
      <c r="Q830" s="2281">
        <f>SUM(Q823:T829)</f>
        <v>68</v>
      </c>
      <c r="R830" s="2281"/>
      <c r="S830" s="2281"/>
      <c r="T830" s="2281"/>
      <c r="U830" s="2281">
        <f>SUM(U823:X829)</f>
        <v>92</v>
      </c>
      <c r="V830" s="2281"/>
      <c r="W830" s="2281"/>
      <c r="X830" s="2281"/>
      <c r="Y830" s="2281">
        <f>SUM(Y823:AB829)</f>
        <v>0</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2569</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4">
        <v>8500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4">
        <v>34000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4">
        <v>12000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4">
        <v>18700</v>
      </c>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90" t="s">
        <v>2570</v>
      </c>
      <c r="N844" s="2285"/>
      <c r="O844" s="2285"/>
      <c r="P844" s="2285"/>
      <c r="Q844" s="2285"/>
      <c r="R844" s="2285"/>
      <c r="S844" s="2285"/>
      <c r="T844" s="2285"/>
      <c r="U844" s="2285"/>
      <c r="V844" s="2286"/>
      <c r="W844" s="2134">
        <f>49300+74800</f>
        <v>124100</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6">
        <f>SUM(W840:AC844)</f>
        <v>197300</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3" t="s">
        <v>354</v>
      </c>
      <c r="K847" s="2184"/>
      <c r="L847" s="2184"/>
      <c r="M847" s="2184"/>
      <c r="N847" s="2184"/>
      <c r="O847" s="2184"/>
      <c r="P847" s="2184"/>
      <c r="Q847" s="2184"/>
      <c r="R847" s="2184"/>
      <c r="S847" s="2184"/>
      <c r="T847" s="2184"/>
      <c r="U847" s="2184"/>
      <c r="V847" s="2186"/>
      <c r="W847" s="2030">
        <v>244800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2"/>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2">
        <v>51000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2">
        <v>85000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9"/>
      <c r="BH851" s="2309"/>
      <c r="BI851" s="2309"/>
      <c r="BJ851" s="2309"/>
      <c r="BK851" s="2309"/>
      <c r="BL851" s="230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2">
        <v>170000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96">
        <f>SUM(W849:AC852)</f>
        <v>306000</v>
      </c>
      <c r="X853" s="2296"/>
      <c r="Y853" s="2296"/>
      <c r="Z853" s="2296"/>
      <c r="AA853" s="2296"/>
      <c r="AB853" s="2296"/>
      <c r="AC853" s="22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3">
        <f>SUM(AZ821:AZ849)</f>
        <v>7.5000000000000011E-2</v>
      </c>
      <c r="BA854" s="228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9">
        <v>329700</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42">
        <v>6</v>
      </c>
      <c r="U856" s="2187"/>
      <c r="V856" s="234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9">
        <v>177580</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42"/>
      <c r="U858" s="2187"/>
      <c r="V858" s="234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84" t="s">
        <v>342</v>
      </c>
      <c r="N859" s="2285"/>
      <c r="O859" s="2285"/>
      <c r="P859" s="2285"/>
      <c r="Q859" s="2285"/>
      <c r="R859" s="2285"/>
      <c r="S859" s="2285"/>
      <c r="T859" s="2285"/>
      <c r="U859" s="2285"/>
      <c r="V859" s="2286"/>
      <c r="W859" s="2139"/>
      <c r="X859" s="2140"/>
      <c r="Y859" s="2140"/>
      <c r="Z859" s="2140"/>
      <c r="AA859" s="2140"/>
      <c r="AB859" s="2140"/>
      <c r="AC859" s="214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9">
        <f>SUM(W855:AC859)</f>
        <v>507280</v>
      </c>
      <c r="X860" s="2430"/>
      <c r="Y860" s="2430"/>
      <c r="Z860" s="2430"/>
      <c r="AA860" s="2430"/>
      <c r="AB860" s="2430"/>
      <c r="AC860" s="243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9">
        <v>88400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4">
        <v>170000</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4">
        <v>170000</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4">
        <v>170000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4">
        <v>136000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4">
        <v>68000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4">
        <v>68000</v>
      </c>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4" t="s">
        <v>342</v>
      </c>
      <c r="N869" s="2285"/>
      <c r="O869" s="2285"/>
      <c r="P869" s="2285"/>
      <c r="Q869" s="2285"/>
      <c r="R869" s="2285"/>
      <c r="S869" s="2285"/>
      <c r="T869" s="2285"/>
      <c r="U869" s="2285"/>
      <c r="V869" s="2286"/>
      <c r="W869" s="2134"/>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5">
        <f>SUM(W863:AC869)</f>
        <v>782000</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284" t="s">
        <v>342</v>
      </c>
      <c r="N872" s="2285"/>
      <c r="O872" s="2285"/>
      <c r="P872" s="2285"/>
      <c r="Q872" s="2285"/>
      <c r="R872" s="2285"/>
      <c r="S872" s="2285"/>
      <c r="T872" s="2285"/>
      <c r="U872" s="2285"/>
      <c r="V872" s="2286"/>
      <c r="W872" s="2030"/>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284" t="s">
        <v>342</v>
      </c>
      <c r="N873" s="2285"/>
      <c r="O873" s="2285"/>
      <c r="P873" s="2285"/>
      <c r="Q873" s="2285"/>
      <c r="R873" s="2285"/>
      <c r="S873" s="2285"/>
      <c r="T873" s="2285"/>
      <c r="U873" s="2285"/>
      <c r="V873" s="2286"/>
      <c r="W873" s="2030"/>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4" t="s">
        <v>342</v>
      </c>
      <c r="N874" s="2285"/>
      <c r="O874" s="2285"/>
      <c r="P874" s="2285"/>
      <c r="Q874" s="2285"/>
      <c r="R874" s="2285"/>
      <c r="S874" s="2285"/>
      <c r="T874" s="2285"/>
      <c r="U874" s="2285"/>
      <c r="V874" s="228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4" t="s">
        <v>342</v>
      </c>
      <c r="N875" s="2285"/>
      <c r="O875" s="2285"/>
      <c r="P875" s="2285"/>
      <c r="Q875" s="2285"/>
      <c r="R875" s="2285"/>
      <c r="S875" s="2285"/>
      <c r="T875" s="2285"/>
      <c r="U875" s="2285"/>
      <c r="V875" s="228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4" t="s">
        <v>342</v>
      </c>
      <c r="N876" s="2285"/>
      <c r="O876" s="2285"/>
      <c r="P876" s="2285"/>
      <c r="Q876" s="2285"/>
      <c r="R876" s="2285"/>
      <c r="S876" s="2285"/>
      <c r="T876" s="2285"/>
      <c r="U876" s="2285"/>
      <c r="V876" s="228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6">
        <f>SUM(W872:AC876)</f>
        <v>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7">
        <f>W845+W853+W860+W861+W870+W877+W847</f>
        <v>2125780</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0">
        <f>O796+O776+G753</f>
        <v>340</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135">
        <f>IF(ISERROR((ROUNDDOWN(AC881/AC882,0))),0,(ROUNDDOWN(AC881/AC882,0)))</f>
        <v>6252</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25">
        <f>'Sources and Uses Budget'!B75</f>
        <v>1139487</v>
      </c>
      <c r="AD884" s="2426"/>
      <c r="AE884" s="2426"/>
      <c r="AF884" s="2426"/>
      <c r="AG884" s="2426"/>
      <c r="AH884" s="24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2"/>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1">
        <v>200000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102000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31">
        <v>50550</v>
      </c>
      <c r="AD888" s="2031"/>
      <c r="AE888" s="2031"/>
      <c r="AF888" s="2031"/>
      <c r="AG888" s="2031"/>
      <c r="AH888" s="20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54400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2571</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v>46796</v>
      </c>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1034</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6">
        <f>Z896-(Z897+Z898)</f>
        <v>0</v>
      </c>
      <c r="AA899" s="2137"/>
      <c r="AB899" s="2137"/>
      <c r="AC899" s="2137"/>
      <c r="AD899" s="2137"/>
      <c r="AE899" s="21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8"/>
      <c r="BE901" s="229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0"/>
      <c r="BE902" s="230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9"/>
      <c r="BE903" s="229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9"/>
      <c r="BE904" s="229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9"/>
      <c r="BE905" s="229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8"/>
      <c r="BE906" s="229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7"/>
      <c r="BD907" s="2297"/>
      <c r="BE907" s="2297"/>
      <c r="BF907" s="229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7"/>
      <c r="BD908" s="2280"/>
      <c r="BE908" s="2280"/>
      <c r="BF908" s="228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9"/>
      <c r="BE909" s="229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8"/>
      <c r="BE910" s="229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42" t="s">
        <v>32</v>
      </c>
      <c r="V912" s="2166"/>
      <c r="W912" s="2166"/>
      <c r="X912" s="2166"/>
      <c r="Y912" s="2166"/>
      <c r="Z912" s="2166"/>
      <c r="AA912" s="73"/>
      <c r="AB912" s="161"/>
      <c r="AC912" s="161"/>
      <c r="AD912" s="161"/>
      <c r="AE912" s="161"/>
      <c r="AF912" s="162"/>
      <c r="AZ912" s="61"/>
      <c r="BA912" s="1606"/>
      <c r="BB912" s="127"/>
      <c r="BC912" s="127"/>
      <c r="BD912" s="2298"/>
      <c r="BE912" s="229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3" t="s">
        <v>878</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28" t="s">
        <v>409</v>
      </c>
      <c r="AC914" s="2328"/>
      <c r="AD914" s="2328"/>
      <c r="AE914" s="232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5" t="s">
        <v>577</v>
      </c>
      <c r="V915" s="2056"/>
      <c r="W915" s="2056"/>
      <c r="X915" s="2056"/>
      <c r="Y915" s="2056"/>
      <c r="Z915" s="2057"/>
      <c r="AA915" s="2310">
        <f>AM564</f>
        <v>74937576</v>
      </c>
      <c r="AB915" s="2040"/>
      <c r="AC915" s="2040"/>
      <c r="AD915" s="2040"/>
      <c r="AE915" s="2040"/>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5" t="s">
        <v>577</v>
      </c>
      <c r="V916" s="2056"/>
      <c r="W916" s="2056"/>
      <c r="X916" s="2056"/>
      <c r="Y916" s="2056"/>
      <c r="Z916" s="2057"/>
      <c r="AA916" s="2310">
        <f>AM565</f>
        <v>3782299</v>
      </c>
      <c r="AB916" s="2040"/>
      <c r="AC916" s="2040"/>
      <c r="AD916" s="2040"/>
      <c r="AE916" s="2040"/>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5" t="s">
        <v>625</v>
      </c>
      <c r="V917" s="2056"/>
      <c r="W917" s="2056"/>
      <c r="X917" s="2056"/>
      <c r="Y917" s="2056"/>
      <c r="Z917" s="2057"/>
      <c r="AA917" s="2310"/>
      <c r="AB917" s="2040"/>
      <c r="AC917" s="2040"/>
      <c r="AD917" s="2040"/>
      <c r="AE917" s="2040"/>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5" t="s">
        <v>625</v>
      </c>
      <c r="V918" s="2056"/>
      <c r="W918" s="2056"/>
      <c r="X918" s="2056"/>
      <c r="Y918" s="2056"/>
      <c r="Z918" s="2057"/>
      <c r="AA918" s="2310"/>
      <c r="AB918" s="2040"/>
      <c r="AC918" s="2040"/>
      <c r="AD918" s="2040"/>
      <c r="AE918" s="2040"/>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5" t="s">
        <v>625</v>
      </c>
      <c r="V919" s="2056"/>
      <c r="W919" s="2056"/>
      <c r="X919" s="2056"/>
      <c r="Y919" s="2056"/>
      <c r="Z919" s="2057"/>
      <c r="AA919" s="2310"/>
      <c r="AB919" s="2040"/>
      <c r="AC919" s="2040"/>
      <c r="AD919" s="2040"/>
      <c r="AE919" s="2040"/>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5" t="s">
        <v>625</v>
      </c>
      <c r="V920" s="2056"/>
      <c r="W920" s="2056"/>
      <c r="X920" s="2056"/>
      <c r="Y920" s="2056"/>
      <c r="Z920" s="2057"/>
      <c r="AA920" s="2310"/>
      <c r="AB920" s="2040"/>
      <c r="AC920" s="2040"/>
      <c r="AD920" s="2040"/>
      <c r="AE920" s="2040"/>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5" t="s">
        <v>625</v>
      </c>
      <c r="V921" s="2056"/>
      <c r="W921" s="2056"/>
      <c r="X921" s="2056"/>
      <c r="Y921" s="2056"/>
      <c r="Z921" s="2057"/>
      <c r="AA921" s="2310"/>
      <c r="AB921" s="2040"/>
      <c r="AC921" s="2040"/>
      <c r="AD921" s="2040"/>
      <c r="AE921" s="2040"/>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5" t="s">
        <v>625</v>
      </c>
      <c r="V922" s="2056"/>
      <c r="W922" s="2056"/>
      <c r="X922" s="2056"/>
      <c r="Y922" s="2056"/>
      <c r="Z922" s="2057"/>
      <c r="AA922" s="2310"/>
      <c r="AB922" s="2040"/>
      <c r="AC922" s="2040"/>
      <c r="AD922" s="2040"/>
      <c r="AE922" s="2040"/>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5" t="s">
        <v>625</v>
      </c>
      <c r="V923" s="2056"/>
      <c r="W923" s="2056"/>
      <c r="X923" s="2056"/>
      <c r="Y923" s="2056"/>
      <c r="Z923" s="2057"/>
      <c r="AA923" s="2310"/>
      <c r="AB923" s="2040"/>
      <c r="AC923" s="2040"/>
      <c r="AD923" s="2040"/>
      <c r="AE923" s="2040"/>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5" t="s">
        <v>625</v>
      </c>
      <c r="V924" s="2056"/>
      <c r="W924" s="2056"/>
      <c r="X924" s="2056"/>
      <c r="Y924" s="2056"/>
      <c r="Z924" s="2057"/>
      <c r="AA924" s="2310"/>
      <c r="AB924" s="2040"/>
      <c r="AC924" s="2040"/>
      <c r="AD924" s="2040"/>
      <c r="AE924" s="2040"/>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5" t="s">
        <v>625</v>
      </c>
      <c r="V925" s="2056"/>
      <c r="W925" s="2056"/>
      <c r="X925" s="2056"/>
      <c r="Y925" s="2056"/>
      <c r="Z925" s="2057"/>
      <c r="AA925" s="2310"/>
      <c r="AB925" s="2040"/>
      <c r="AC925" s="2040"/>
      <c r="AD925" s="2040"/>
      <c r="AE925" s="2040"/>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5" t="s">
        <v>625</v>
      </c>
      <c r="V926" s="2056"/>
      <c r="W926" s="2056"/>
      <c r="X926" s="2056"/>
      <c r="Y926" s="2056"/>
      <c r="Z926" s="2057"/>
      <c r="AA926" s="2310"/>
      <c r="AB926" s="2040"/>
      <c r="AC926" s="2040"/>
      <c r="AD926" s="2040"/>
      <c r="AE926" s="2040"/>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5" t="s">
        <v>625</v>
      </c>
      <c r="V927" s="2056"/>
      <c r="W927" s="2056"/>
      <c r="X927" s="2056"/>
      <c r="Y927" s="2056"/>
      <c r="Z927" s="2057"/>
      <c r="AA927" s="2310"/>
      <c r="AB927" s="2040"/>
      <c r="AC927" s="2040"/>
      <c r="AD927" s="2040"/>
      <c r="AE927" s="2040"/>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5" t="s">
        <v>625</v>
      </c>
      <c r="V928" s="2056"/>
      <c r="W928" s="2056"/>
      <c r="X928" s="2056"/>
      <c r="Y928" s="2056"/>
      <c r="Z928" s="2057"/>
      <c r="AA928" s="2310"/>
      <c r="AB928" s="2040"/>
      <c r="AC928" s="2040"/>
      <c r="AD928" s="2040"/>
      <c r="AE928" s="2040"/>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5" t="s">
        <v>625</v>
      </c>
      <c r="V929" s="2056"/>
      <c r="W929" s="2056"/>
      <c r="X929" s="2056"/>
      <c r="Y929" s="2056"/>
      <c r="Z929" s="2057"/>
      <c r="AA929" s="2310"/>
      <c r="AB929" s="2040"/>
      <c r="AC929" s="2040"/>
      <c r="AD929" s="2040"/>
      <c r="AE929" s="2040"/>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5" t="s">
        <v>705</v>
      </c>
      <c r="Q930" s="2056"/>
      <c r="R930" s="2056"/>
      <c r="S930" s="2056"/>
      <c r="T930" s="2057"/>
      <c r="U930" s="2315" t="s">
        <v>625</v>
      </c>
      <c r="V930" s="2056"/>
      <c r="W930" s="2056"/>
      <c r="X930" s="2056"/>
      <c r="Y930" s="2056"/>
      <c r="Z930" s="2057"/>
      <c r="AA930" s="2310"/>
      <c r="AB930" s="2040"/>
      <c r="AC930" s="2040"/>
      <c r="AD930" s="2040"/>
      <c r="AE930" s="2040"/>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1" t="s">
        <v>342</v>
      </c>
      <c r="J931" s="2496"/>
      <c r="K931" s="2496"/>
      <c r="L931" s="2496"/>
      <c r="M931" s="2496"/>
      <c r="N931" s="2496"/>
      <c r="O931" s="2496"/>
      <c r="P931" s="2496"/>
      <c r="Q931" s="2496"/>
      <c r="R931" s="2496"/>
      <c r="S931" s="2496"/>
      <c r="T931" s="2497"/>
      <c r="U931" s="2315" t="s">
        <v>625</v>
      </c>
      <c r="V931" s="2056"/>
      <c r="W931" s="2056"/>
      <c r="X931" s="2056"/>
      <c r="Y931" s="2056"/>
      <c r="Z931" s="2057"/>
      <c r="AA931" s="2310"/>
      <c r="AB931" s="2040"/>
      <c r="AC931" s="2040"/>
      <c r="AD931" s="2040"/>
      <c r="AE931" s="2040"/>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1" t="s">
        <v>2669</v>
      </c>
      <c r="J932" s="2307"/>
      <c r="K932" s="2307"/>
      <c r="L932" s="2307"/>
      <c r="M932" s="2307"/>
      <c r="N932" s="2307"/>
      <c r="O932" s="2307"/>
      <c r="P932" s="2307"/>
      <c r="Q932" s="2307"/>
      <c r="R932" s="2307"/>
      <c r="S932" s="2307"/>
      <c r="T932" s="2308"/>
      <c r="U932" s="2315" t="s">
        <v>577</v>
      </c>
      <c r="V932" s="2056"/>
      <c r="W932" s="2056"/>
      <c r="X932" s="2056"/>
      <c r="Y932" s="2056"/>
      <c r="Z932" s="2057"/>
      <c r="AA932" s="2310">
        <f>AO638</f>
        <v>12400000</v>
      </c>
      <c r="AB932" s="2040"/>
      <c r="AC932" s="2040"/>
      <c r="AD932" s="2040"/>
      <c r="AE932" s="2040"/>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1" t="s">
        <v>2670</v>
      </c>
      <c r="J933" s="2307"/>
      <c r="K933" s="2307"/>
      <c r="L933" s="2307"/>
      <c r="M933" s="2307"/>
      <c r="N933" s="2307"/>
      <c r="O933" s="2307"/>
      <c r="P933" s="2307"/>
      <c r="Q933" s="2307"/>
      <c r="R933" s="2307"/>
      <c r="S933" s="2307"/>
      <c r="T933" s="2308"/>
      <c r="U933" s="2315" t="s">
        <v>577</v>
      </c>
      <c r="V933" s="2056"/>
      <c r="W933" s="2056"/>
      <c r="X933" s="2056"/>
      <c r="Y933" s="2056"/>
      <c r="Z933" s="2057"/>
      <c r="AA933" s="2310">
        <v>10000000</v>
      </c>
      <c r="AB933" s="2040"/>
      <c r="AC933" s="2040"/>
      <c r="AD933" s="2040"/>
      <c r="AE933" s="2040"/>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6" t="s">
        <v>342</v>
      </c>
      <c r="J934" s="2307"/>
      <c r="K934" s="2307"/>
      <c r="L934" s="2307"/>
      <c r="M934" s="2307"/>
      <c r="N934" s="2307"/>
      <c r="O934" s="2307"/>
      <c r="P934" s="2307"/>
      <c r="Q934" s="2307"/>
      <c r="R934" s="2307"/>
      <c r="S934" s="2307"/>
      <c r="T934" s="2308"/>
      <c r="U934" s="2315" t="s">
        <v>625</v>
      </c>
      <c r="V934" s="2056"/>
      <c r="W934" s="2056"/>
      <c r="X934" s="2056"/>
      <c r="Y934" s="2056"/>
      <c r="Z934" s="2057"/>
      <c r="AA934" s="2310"/>
      <c r="AB934" s="2040"/>
      <c r="AC934" s="2040"/>
      <c r="AD934" s="2040"/>
      <c r="AE934" s="2040"/>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326"/>
      <c r="O939" s="2326"/>
      <c r="P939" s="2326"/>
      <c r="Q939" s="2326"/>
      <c r="R939" s="2326"/>
      <c r="S939" s="2327"/>
      <c r="U939" s="103" t="s">
        <v>11</v>
      </c>
      <c r="V939" s="77"/>
      <c r="W939" s="77"/>
      <c r="X939" s="77"/>
      <c r="Y939" s="77"/>
      <c r="Z939" s="77"/>
      <c r="AA939" s="77"/>
      <c r="AB939" s="77"/>
      <c r="AC939" s="77"/>
      <c r="AD939" s="78"/>
      <c r="AE939" s="2325"/>
      <c r="AF939" s="2326"/>
      <c r="AG939" s="2326"/>
      <c r="AH939" s="2326"/>
      <c r="AI939" s="2326"/>
      <c r="AJ939" s="2326"/>
      <c r="AK939" s="23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2"/>
      <c r="N940" s="2313"/>
      <c r="O940" s="2313"/>
      <c r="P940" s="2313"/>
      <c r="Q940" s="2313"/>
      <c r="R940" s="2313"/>
      <c r="S940" s="2314"/>
      <c r="U940" s="103" t="s">
        <v>12</v>
      </c>
      <c r="V940" s="77"/>
      <c r="W940" s="77"/>
      <c r="X940" s="77"/>
      <c r="Y940" s="77"/>
      <c r="Z940" s="77"/>
      <c r="AA940" s="77"/>
      <c r="AB940" s="77"/>
      <c r="AC940" s="77"/>
      <c r="AD940" s="78"/>
      <c r="AE940" s="2312"/>
      <c r="AF940" s="2313"/>
      <c r="AG940" s="2313"/>
      <c r="AH940" s="2313"/>
      <c r="AI940" s="2313"/>
      <c r="AJ940" s="2313"/>
      <c r="AK940" s="23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16" t="s">
        <v>315</v>
      </c>
      <c r="K941" s="2317"/>
      <c r="L941" s="2317"/>
      <c r="M941" s="2317"/>
      <c r="N941" s="2317"/>
      <c r="O941" s="2317"/>
      <c r="P941" s="2317"/>
      <c r="Q941" s="2317"/>
      <c r="R941" s="2317"/>
      <c r="S941" s="2318"/>
      <c r="U941" s="103" t="s">
        <v>944</v>
      </c>
      <c r="V941" s="77"/>
      <c r="W941" s="77"/>
      <c r="AB941" s="2316" t="s">
        <v>315</v>
      </c>
      <c r="AC941" s="2317"/>
      <c r="AD941" s="2317"/>
      <c r="AE941" s="2317"/>
      <c r="AF941" s="2317"/>
      <c r="AG941" s="2317"/>
      <c r="AH941" s="2317"/>
      <c r="AI941" s="2317"/>
      <c r="AJ941" s="2317"/>
      <c r="AK941" s="231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c r="N942" s="2348"/>
      <c r="O942" s="2348"/>
      <c r="P942" s="2348"/>
      <c r="Q942" s="2348"/>
      <c r="R942" s="2348"/>
      <c r="S942" s="2349"/>
      <c r="U942" s="103" t="s">
        <v>13</v>
      </c>
      <c r="V942" s="77"/>
      <c r="W942" s="77"/>
      <c r="X942" s="77"/>
      <c r="Y942" s="77"/>
      <c r="Z942" s="77"/>
      <c r="AA942" s="77"/>
      <c r="AB942" s="77"/>
      <c r="AC942" s="77"/>
      <c r="AD942" s="78"/>
      <c r="AE942" s="2347"/>
      <c r="AF942" s="2348"/>
      <c r="AG942" s="2348"/>
      <c r="AH942" s="2348"/>
      <c r="AI942" s="2348"/>
      <c r="AJ942" s="2348"/>
      <c r="AK942" s="234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4"/>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c r="N944" s="2040"/>
      <c r="O944" s="2040"/>
      <c r="P944" s="2040"/>
      <c r="Q944" s="2040"/>
      <c r="R944" s="2040"/>
      <c r="S944" s="2311"/>
      <c r="U944" s="103" t="s">
        <v>15</v>
      </c>
      <c r="V944" s="77"/>
      <c r="W944" s="77"/>
      <c r="X944" s="77"/>
      <c r="Y944" s="77"/>
      <c r="Z944" s="77"/>
      <c r="AA944" s="77"/>
      <c r="AB944" s="77"/>
      <c r="AC944" s="77"/>
      <c r="AD944" s="78"/>
      <c r="AE944" s="2310"/>
      <c r="AF944" s="2040"/>
      <c r="AG944" s="2040"/>
      <c r="AH944" s="2040"/>
      <c r="AI944" s="2040"/>
      <c r="AJ944" s="2040"/>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c r="N945" s="2040"/>
      <c r="O945" s="2040"/>
      <c r="P945" s="2040"/>
      <c r="Q945" s="2040"/>
      <c r="R945" s="2040"/>
      <c r="S945" s="2311"/>
      <c r="U945" s="103" t="s">
        <v>16</v>
      </c>
      <c r="V945" s="77"/>
      <c r="W945" s="77"/>
      <c r="X945" s="77"/>
      <c r="Y945" s="77"/>
      <c r="Z945" s="77"/>
      <c r="AA945" s="77"/>
      <c r="AB945" s="77"/>
      <c r="AC945" s="77"/>
      <c r="AD945" s="78"/>
      <c r="AE945" s="2310"/>
      <c r="AF945" s="2040"/>
      <c r="AG945" s="2040"/>
      <c r="AH945" s="2040"/>
      <c r="AI945" s="2040"/>
      <c r="AJ945" s="2040"/>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44"/>
      <c r="N946" s="2345"/>
      <c r="O946" s="2345"/>
      <c r="P946" s="2345"/>
      <c r="Q946" s="2345"/>
      <c r="R946" s="2345"/>
      <c r="S946" s="2346"/>
      <c r="U946" s="103" t="s">
        <v>604</v>
      </c>
      <c r="V946" s="77"/>
      <c r="W946" s="77"/>
      <c r="X946" s="77"/>
      <c r="Y946" s="77"/>
      <c r="Z946" s="77"/>
      <c r="AA946" s="77"/>
      <c r="AB946" s="77"/>
      <c r="AC946" s="77"/>
      <c r="AD946" s="78"/>
      <c r="AE946" s="2344"/>
      <c r="AF946" s="2345"/>
      <c r="AG946" s="2345"/>
      <c r="AH946" s="2345"/>
      <c r="AI946" s="2345"/>
      <c r="AJ946" s="2345"/>
      <c r="AK946" s="23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19"/>
      <c r="N951" s="2320"/>
      <c r="O951" s="2320"/>
      <c r="P951" s="2320"/>
      <c r="Q951" s="2320"/>
      <c r="R951" s="2320"/>
      <c r="S951" s="2321"/>
      <c r="T951" s="103" t="s">
        <v>847</v>
      </c>
      <c r="U951" s="77"/>
      <c r="V951" s="77"/>
      <c r="W951" s="77"/>
      <c r="X951" s="77"/>
      <c r="Y951" s="77"/>
      <c r="Z951" s="78"/>
      <c r="AA951" s="2319"/>
      <c r="AB951" s="2320"/>
      <c r="AC951" s="2320"/>
      <c r="AD951" s="2320"/>
      <c r="AE951" s="2320"/>
      <c r="AF951" s="2320"/>
      <c r="AG951" s="23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19"/>
      <c r="N952" s="2320"/>
      <c r="O952" s="2320"/>
      <c r="P952" s="2320"/>
      <c r="Q952" s="2320"/>
      <c r="R952" s="2320"/>
      <c r="S952" s="2321"/>
      <c r="T952" s="103" t="s">
        <v>846</v>
      </c>
      <c r="U952" s="77"/>
      <c r="V952" s="77"/>
      <c r="W952" s="77"/>
      <c r="X952" s="77"/>
      <c r="Y952" s="77"/>
      <c r="Z952" s="78"/>
      <c r="AA952" s="2319"/>
      <c r="AB952" s="2320"/>
      <c r="AC952" s="2320"/>
      <c r="AD952" s="2320"/>
      <c r="AE952" s="2320"/>
      <c r="AF952" s="2320"/>
      <c r="AG952" s="23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29" t="s">
        <v>625</v>
      </c>
      <c r="N953" s="2330"/>
      <c r="O953" s="2330"/>
      <c r="P953" s="2330"/>
      <c r="Q953" s="2330"/>
      <c r="R953" s="2330"/>
      <c r="S953" s="2331"/>
      <c r="T953" s="76" t="s">
        <v>345</v>
      </c>
      <c r="U953" s="77"/>
      <c r="V953" s="77"/>
      <c r="W953" s="77"/>
      <c r="X953" s="77"/>
      <c r="Y953" s="77"/>
      <c r="Z953" s="78"/>
      <c r="AA953" s="2319"/>
      <c r="AB953" s="2320"/>
      <c r="AC953" s="2320"/>
      <c r="AD953" s="2320"/>
      <c r="AE953" s="2320"/>
      <c r="AF953" s="2320"/>
      <c r="AG953" s="23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19"/>
      <c r="N954" s="2320"/>
      <c r="O954" s="2320"/>
      <c r="P954" s="2320"/>
      <c r="Q954" s="2320"/>
      <c r="R954" s="2320"/>
      <c r="S954" s="2321"/>
      <c r="T954" s="76" t="s">
        <v>346</v>
      </c>
      <c r="U954" s="77"/>
      <c r="V954" s="77"/>
      <c r="W954" s="77"/>
      <c r="X954" s="77"/>
      <c r="Y954" s="77"/>
      <c r="Z954" s="78"/>
      <c r="AA954" s="2319"/>
      <c r="AB954" s="2320"/>
      <c r="AC954" s="2320"/>
      <c r="AD954" s="2320"/>
      <c r="AE954" s="2320"/>
      <c r="AF954" s="2320"/>
      <c r="AG954" s="23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19"/>
      <c r="N955" s="2320"/>
      <c r="O955" s="2320"/>
      <c r="P955" s="2320"/>
      <c r="Q955" s="2320"/>
      <c r="R955" s="2320"/>
      <c r="S955" s="2321"/>
      <c r="T955" s="76" t="s">
        <v>393</v>
      </c>
      <c r="U955" s="77"/>
      <c r="V955" s="77"/>
      <c r="W955" s="77"/>
      <c r="X955" s="77"/>
      <c r="Y955" s="77"/>
      <c r="Z955" s="78"/>
      <c r="AA955" s="2319"/>
      <c r="AB955" s="2320"/>
      <c r="AC955" s="2320"/>
      <c r="AD955" s="2320"/>
      <c r="AE955" s="2320"/>
      <c r="AF955" s="2320"/>
      <c r="AG955" s="23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32" t="s">
        <v>315</v>
      </c>
      <c r="N956" s="2333"/>
      <c r="O956" s="2333"/>
      <c r="P956" s="2333"/>
      <c r="Q956" s="2333"/>
      <c r="R956" s="2333"/>
      <c r="S956" s="2334"/>
      <c r="T956" s="2322"/>
      <c r="U956" s="2323"/>
      <c r="V956" s="2323"/>
      <c r="W956" s="2323"/>
      <c r="X956" s="2323"/>
      <c r="Y956" s="2323"/>
      <c r="Z956" s="2324"/>
      <c r="AA956" s="2319"/>
      <c r="AB956" s="2320"/>
      <c r="AC956" s="2320"/>
      <c r="AD956" s="2320"/>
      <c r="AE956" s="2320"/>
      <c r="AF956" s="2320"/>
      <c r="AG956" s="23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19"/>
      <c r="N957" s="2320"/>
      <c r="O957" s="2320"/>
      <c r="P957" s="2320"/>
      <c r="Q957" s="2320"/>
      <c r="R957" s="2320"/>
      <c r="S957" s="2321"/>
      <c r="T957" s="2322"/>
      <c r="U957" s="2323"/>
      <c r="V957" s="2323"/>
      <c r="W957" s="2323"/>
      <c r="X957" s="2323"/>
      <c r="Y957" s="2323"/>
      <c r="Z957" s="2324"/>
      <c r="AA957" s="2319"/>
      <c r="AB957" s="2320"/>
      <c r="AC957" s="2320"/>
      <c r="AD957" s="2320"/>
      <c r="AE957" s="2320"/>
      <c r="AF957" s="2320"/>
      <c r="AG957" s="23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0" t="s">
        <v>705</v>
      </c>
      <c r="P958" s="2111"/>
      <c r="Q958" s="139"/>
      <c r="R958" s="139"/>
      <c r="S958" s="140"/>
      <c r="T958" s="71" t="s">
        <v>174</v>
      </c>
      <c r="U958" s="72"/>
      <c r="V958" s="72"/>
      <c r="W958" s="2284" t="s">
        <v>342</v>
      </c>
      <c r="X958" s="2285"/>
      <c r="Y958" s="2285"/>
      <c r="Z958" s="2285"/>
      <c r="AA958" s="2285"/>
      <c r="AB958" s="2285"/>
      <c r="AC958" s="2285"/>
      <c r="AD958" s="2285"/>
      <c r="AE958" s="2285"/>
      <c r="AF958" s="2285"/>
      <c r="AG958" s="228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19"/>
      <c r="N959" s="2320"/>
      <c r="O959" s="2320"/>
      <c r="P959" s="2320"/>
      <c r="Q959" s="2320"/>
      <c r="R959" s="2320"/>
      <c r="S959" s="2321"/>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3" t="s">
        <v>580</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09"/>
      <c r="BH965" s="2309"/>
      <c r="BI965" s="2309"/>
      <c r="BJ965" s="2309"/>
      <c r="BK965" s="2309"/>
      <c r="BL965" s="230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6" t="s">
        <v>667</v>
      </c>
      <c r="E969" s="2377"/>
      <c r="F969" s="2377"/>
      <c r="G969" s="2377"/>
      <c r="H969" s="2377"/>
      <c r="I969" s="2377"/>
      <c r="J969" s="2377"/>
      <c r="K969" s="2377"/>
      <c r="L969" s="2377"/>
      <c r="M969" s="2377"/>
      <c r="N969" s="2377"/>
      <c r="O969" s="2377"/>
      <c r="P969" s="2377"/>
      <c r="Q969" s="2378"/>
      <c r="R969" s="2354">
        <f>IF(ISNA(IF($BN$799="4%",(INDEX($BP$809:$BT$866,MATCH($CB$799,$BO$809:$BO$866,0),MATCH(D969,$BP$808:$BT$808,0))),(INDEX($BW$809:$CA$866,MATCH($CB$799,$BV$809:$BV$866,0),MATCH(D969,$BW$808:$CA$808,0))))),0,IF($BN$799="4%",(INDEX($BP$809:$BT$866,MATCH($CB$799,$BO$809:$BO$866,0),MATCH(D969,$BP$808:$BT$808,0))),(INDEX($BW$809:$CA$866,MATCH($CB$799,$BV$809:$BV$866,0),MATCH(D969,$BW$808:$CA$808,0)))))</f>
        <v>327289</v>
      </c>
      <c r="S969" s="2354"/>
      <c r="T969" s="2354"/>
      <c r="U969" s="2354"/>
      <c r="V969" s="2354"/>
      <c r="W969" s="2354"/>
      <c r="X969" s="2354"/>
      <c r="Y969" s="2354"/>
      <c r="Z969" s="2354"/>
      <c r="AA969" s="2354"/>
      <c r="AB969" s="2490">
        <f>BN663</f>
        <v>32</v>
      </c>
      <c r="AC969" s="2491"/>
      <c r="AD969" s="2491"/>
      <c r="AE969" s="2491"/>
      <c r="AF969" s="2491"/>
      <c r="AG969" s="2491"/>
      <c r="AH969" s="2491"/>
      <c r="AI969" s="2492"/>
      <c r="AJ969" s="2380">
        <f>IF(ISERROR((R969*AB969)),0,(R969*AB969))</f>
        <v>10473248</v>
      </c>
      <c r="AK969" s="2381"/>
      <c r="AL969" s="2381"/>
      <c r="AM969" s="2381"/>
      <c r="AN969" s="2381"/>
      <c r="AO969" s="2381"/>
      <c r="AP969" s="2381"/>
      <c r="AQ969" s="23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6" t="s">
        <v>333</v>
      </c>
      <c r="E970" s="2377"/>
      <c r="F970" s="2377"/>
      <c r="G970" s="2377"/>
      <c r="H970" s="2377"/>
      <c r="I970" s="2377"/>
      <c r="J970" s="2377"/>
      <c r="K970" s="2377"/>
      <c r="L970" s="2377"/>
      <c r="M970" s="2377"/>
      <c r="N970" s="2377"/>
      <c r="O970" s="2377"/>
      <c r="P970" s="2377"/>
      <c r="Q970" s="2378"/>
      <c r="R970" s="2354">
        <f>IF(ISNA(IF($BN$799="4%",(INDEX($BP$809:$BT$866,MATCH($CB$799,$BO$809:$BO$866,0),MATCH(D970,$BP$808:$BT$808,0))),(INDEX($BW$809:$CA$866,MATCH($CB$799,$BV$809:$BV$866,0),MATCH(D970,$BW$808:$CA$808,0))))),0,IF($BN$799="4%",(INDEX($BP$809:$BT$866,MATCH($CB$799,$BO$809:$BO$866,0),MATCH(D970,$BP$808:$BT$808,0))),(INDEX($BW$809:$CA$866,MATCH($CB$799,$BV$809:$BV$866,0),MATCH(D970,$BW$808:$CA$808,0)))))</f>
        <v>377361</v>
      </c>
      <c r="S970" s="2354"/>
      <c r="T970" s="2354"/>
      <c r="U970" s="2354"/>
      <c r="V970" s="2354"/>
      <c r="W970" s="2354"/>
      <c r="X970" s="2354"/>
      <c r="Y970" s="2354"/>
      <c r="Z970" s="2354"/>
      <c r="AA970" s="2354"/>
      <c r="AB970" s="2490">
        <f>BS663</f>
        <v>260</v>
      </c>
      <c r="AC970" s="2491"/>
      <c r="AD970" s="2491"/>
      <c r="AE970" s="2491"/>
      <c r="AF970" s="2491"/>
      <c r="AG970" s="2491"/>
      <c r="AH970" s="2491"/>
      <c r="AI970" s="2492"/>
      <c r="AJ970" s="2380">
        <f>IF(ISERROR((R970*AB970)),0,(R970*AB970))</f>
        <v>98113860</v>
      </c>
      <c r="AK970" s="2381"/>
      <c r="AL970" s="2381"/>
      <c r="AM970" s="2381"/>
      <c r="AN970" s="2381"/>
      <c r="AO970" s="2381"/>
      <c r="AP970" s="2381"/>
      <c r="AQ970" s="23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6" t="s">
        <v>168</v>
      </c>
      <c r="E971" s="2377"/>
      <c r="F971" s="2377"/>
      <c r="G971" s="2377"/>
      <c r="H971" s="2377"/>
      <c r="I971" s="2377"/>
      <c r="J971" s="2377"/>
      <c r="K971" s="2377"/>
      <c r="L971" s="2377"/>
      <c r="M971" s="2377"/>
      <c r="N971" s="2377"/>
      <c r="O971" s="2377"/>
      <c r="P971" s="2377"/>
      <c r="Q971" s="2378"/>
      <c r="R971" s="2354">
        <f>IF(ISNA(IF($BN$799="4%",(INDEX($BP$809:$BT$866,MATCH($CB$799,$BO$809:$BO$866,0),MATCH(D971,$BP$808:$BT$808,0))),(INDEX($BW$809:$CA$866,MATCH($CB$799,$BV$809:$BV$866,0),MATCH(D971,$BW$808:$CA$808,0))))),0,IF($BN$799="4%",(INDEX($BP$809:$BT$866,MATCH($CB$799,$BO$809:$BO$866,0),MATCH(D971,$BP$808:$BT$808,0))),(INDEX($BW$809:$CA$866,MATCH($CB$799,$BV$809:$BV$866,0),MATCH(D971,$BW$808:$CA$808,0)))))</f>
        <v>455200</v>
      </c>
      <c r="S971" s="2354"/>
      <c r="T971" s="2354"/>
      <c r="U971" s="2354"/>
      <c r="V971" s="2354"/>
      <c r="W971" s="2354"/>
      <c r="X971" s="2354"/>
      <c r="Y971" s="2354"/>
      <c r="Z971" s="2354"/>
      <c r="AA971" s="2354"/>
      <c r="AB971" s="2490">
        <f>BX663</f>
        <v>48</v>
      </c>
      <c r="AC971" s="2491"/>
      <c r="AD971" s="2491"/>
      <c r="AE971" s="2491"/>
      <c r="AF971" s="2491"/>
      <c r="AG971" s="2491"/>
      <c r="AH971" s="2491"/>
      <c r="AI971" s="2492"/>
      <c r="AJ971" s="2380">
        <f>IF(ISERROR((R971*AB971)),0,(R971*AB971))</f>
        <v>21849600</v>
      </c>
      <c r="AK971" s="2381"/>
      <c r="AL971" s="2381"/>
      <c r="AM971" s="2381"/>
      <c r="AN971" s="2381"/>
      <c r="AO971" s="2381"/>
      <c r="AP971" s="2381"/>
      <c r="AQ971" s="23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6" t="s">
        <v>169</v>
      </c>
      <c r="E972" s="2377"/>
      <c r="F972" s="2377"/>
      <c r="G972" s="2377"/>
      <c r="H972" s="2377"/>
      <c r="I972" s="2377"/>
      <c r="J972" s="2377"/>
      <c r="K972" s="2377"/>
      <c r="L972" s="2377"/>
      <c r="M972" s="2377"/>
      <c r="N972" s="2377"/>
      <c r="O972" s="2377"/>
      <c r="P972" s="2377"/>
      <c r="Q972" s="2378"/>
      <c r="R972" s="2354">
        <f>IF(ISNA(IF($BN$799="4%",(INDEX($BP$809:$BT$866,MATCH($CB$799,$BO$809:$BO$866,0),MATCH(D972,$BP$808:$BT$808,0))),(INDEX($BW$809:$CA$866,MATCH($CB$799,$BV$809:$BV$866,0),MATCH(D972,$BW$808:$CA$808,0))))),0,IF($BN$799="4%",(INDEX($BP$809:$BT$866,MATCH($CB$799,$BO$809:$BO$866,0),MATCH(D972,$BP$808:$BT$808,0))),(INDEX($BW$809:$CA$866,MATCH($CB$799,$BV$809:$BV$866,0),MATCH(D972,$BW$808:$CA$808,0)))))</f>
        <v>582656</v>
      </c>
      <c r="S972" s="2354"/>
      <c r="T972" s="2354"/>
      <c r="U972" s="2354"/>
      <c r="V972" s="2354"/>
      <c r="W972" s="2354"/>
      <c r="X972" s="2354"/>
      <c r="Y972" s="2354"/>
      <c r="Z972" s="2354"/>
      <c r="AA972" s="2354"/>
      <c r="AB972" s="2490">
        <f>CC663</f>
        <v>0</v>
      </c>
      <c r="AC972" s="2491"/>
      <c r="AD972" s="2491"/>
      <c r="AE972" s="2491"/>
      <c r="AF972" s="2491"/>
      <c r="AG972" s="2491"/>
      <c r="AH972" s="2491"/>
      <c r="AI972" s="2492"/>
      <c r="AJ972" s="2380">
        <f>IF(ISERROR((R972*AB972)),0,(R972*AB972))</f>
        <v>0</v>
      </c>
      <c r="AK972" s="2381"/>
      <c r="AL972" s="2381"/>
      <c r="AM972" s="2381"/>
      <c r="AN972" s="2381"/>
      <c r="AO972" s="2381"/>
      <c r="AP972" s="2381"/>
      <c r="AQ972" s="23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6" t="s">
        <v>492</v>
      </c>
      <c r="E973" s="2377"/>
      <c r="F973" s="2377"/>
      <c r="G973" s="2377"/>
      <c r="H973" s="2377"/>
      <c r="I973" s="2377"/>
      <c r="J973" s="2377"/>
      <c r="K973" s="2377"/>
      <c r="L973" s="2377"/>
      <c r="M973" s="2377"/>
      <c r="N973" s="2377"/>
      <c r="O973" s="2377"/>
      <c r="P973" s="2377"/>
      <c r="Q973" s="2378"/>
      <c r="R973" s="2354">
        <f>IF(ISNA(IF($BN$799="4%",(INDEX($BP$809:$BT$866,MATCH($CB$799,$BO$809:$BO$866,0),MATCH(D973,$BP$808:$BT$808,0))),(INDEX($BW$809:$CA$866,MATCH($CB$799,$BV$809:$BV$866,0),MATCH(D973,$BW$808:$CA$808,0))))),0,IF($BN$799="4%",(INDEX($BP$809:$BT$866,MATCH($CB$799,$BO$809:$BO$866,0),MATCH(D973,$BP$808:$BT$808,0))),(INDEX($BW$809:$CA$866,MATCH($CB$799,$BV$809:$BV$866,0),MATCH(D973,$BW$808:$CA$808,0)))))</f>
        <v>649115</v>
      </c>
      <c r="S973" s="2354"/>
      <c r="T973" s="2354"/>
      <c r="U973" s="2354"/>
      <c r="V973" s="2354"/>
      <c r="W973" s="2354"/>
      <c r="X973" s="2354"/>
      <c r="Y973" s="2354"/>
      <c r="Z973" s="2354"/>
      <c r="AA973" s="2354"/>
      <c r="AB973" s="2490">
        <f>CM663+CH663</f>
        <v>0</v>
      </c>
      <c r="AC973" s="2491"/>
      <c r="AD973" s="2491"/>
      <c r="AE973" s="2491"/>
      <c r="AF973" s="2491"/>
      <c r="AG973" s="2491"/>
      <c r="AH973" s="2491"/>
      <c r="AI973" s="2492"/>
      <c r="AJ973" s="2380">
        <f>IF(ISERROR((R973*AB973)),0,(R973*AB973))</f>
        <v>0</v>
      </c>
      <c r="AK973" s="2381"/>
      <c r="AL973" s="2381"/>
      <c r="AM973" s="2381"/>
      <c r="AN973" s="2381"/>
      <c r="AO973" s="2381"/>
      <c r="AP973" s="2381"/>
      <c r="AQ973" s="23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90">
        <f>SUM(AB969:AI973)</f>
        <v>340</v>
      </c>
      <c r="AC974" s="2491"/>
      <c r="AD974" s="2491"/>
      <c r="AE974" s="2491"/>
      <c r="AF974" s="2491"/>
      <c r="AG974" s="2491"/>
      <c r="AH974" s="2491"/>
      <c r="AI974" s="2492"/>
      <c r="AJ974" s="2380"/>
      <c r="AK974" s="2381"/>
      <c r="AL974" s="2381"/>
      <c r="AM974" s="2381"/>
      <c r="AN974" s="2381"/>
      <c r="AO974" s="2381"/>
      <c r="AP974" s="2381"/>
      <c r="AQ974" s="23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0">
        <f>SUM(AJ969:AQ973)</f>
        <v>130436708</v>
      </c>
      <c r="AK975" s="2381"/>
      <c r="AL975" s="2381"/>
      <c r="AM975" s="2381"/>
      <c r="AN975" s="2381"/>
      <c r="AO975" s="2381"/>
      <c r="AP975" s="2381"/>
      <c r="AQ975" s="23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7" t="s">
        <v>702</v>
      </c>
      <c r="AG976" s="2548"/>
      <c r="AH976" s="2548"/>
      <c r="AI976" s="2549"/>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3" t="s">
        <v>1430</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0" t="s">
        <v>705</v>
      </c>
      <c r="AH977" s="2551"/>
      <c r="AI977" s="125"/>
      <c r="AJ977" s="2472">
        <f>ROUND(IF(AND(AG977="yes",D979&gt;0),AJ975*0.2,0),0)</f>
        <v>0</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1431</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5"/>
      <c r="AK978" s="2145"/>
      <c r="AL978" s="2145"/>
      <c r="AM978" s="2145"/>
      <c r="AN978" s="2145"/>
      <c r="AO978" s="2145"/>
      <c r="AP978" s="2145"/>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1530</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705</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1528</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5"/>
      <c r="AK981" s="2145"/>
      <c r="AL981" s="2145"/>
      <c r="AM981" s="2145"/>
      <c r="AN981" s="2145"/>
      <c r="AO981" s="2145"/>
      <c r="AP981" s="2145"/>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5"/>
      <c r="AK982" s="2145"/>
      <c r="AL982" s="2145"/>
      <c r="AM982" s="2145"/>
      <c r="AN982" s="2145"/>
      <c r="AO982" s="2145"/>
      <c r="AP982" s="2145"/>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5"/>
      <c r="AK983" s="2145"/>
      <c r="AL983" s="2145"/>
      <c r="AM983" s="2145"/>
      <c r="AN983" s="2145"/>
      <c r="AO983" s="2145"/>
      <c r="AP983" s="2145"/>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5"/>
      <c r="AK984" s="2145"/>
      <c r="AL984" s="2145"/>
      <c r="AM984" s="2145"/>
      <c r="AN984" s="2145"/>
      <c r="AO984" s="2145"/>
      <c r="AP984" s="2145"/>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5" t="s">
        <v>2171</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577</v>
      </c>
      <c r="AH986" s="2448"/>
      <c r="AI986" s="125"/>
      <c r="AJ986" s="2472">
        <f>ROUND(IF(AG986="yes",AJ975*0.1,0),0)</f>
        <v>13043671</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1529</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45"/>
      <c r="AL987" s="2145"/>
      <c r="AM987" s="2145"/>
      <c r="AN987" s="2145"/>
      <c r="AO987" s="2145"/>
      <c r="AP987" s="2145"/>
      <c r="AQ987" s="2476"/>
      <c r="AR987" s="1583"/>
      <c r="AS987" s="1583"/>
      <c r="AT987" s="1583"/>
      <c r="AU987" s="1583"/>
      <c r="AV987" s="1583"/>
      <c r="AW987" s="1583"/>
      <c r="AX987" s="1583"/>
      <c r="AY987" s="1583"/>
      <c r="AZ987" s="61"/>
      <c r="BA987" s="1612">
        <f>G753+O796</f>
        <v>337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45"/>
      <c r="AL988" s="2145"/>
      <c r="AM988" s="2145"/>
      <c r="AN988" s="2145"/>
      <c r="AO988" s="2145"/>
      <c r="AP988" s="2145"/>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0.24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5" t="s">
        <v>1531</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705</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1532</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5" t="s">
        <v>1533</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705</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1534</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45"/>
      <c r="AL993" s="2145"/>
      <c r="AM993" s="2145"/>
      <c r="AN993" s="2145"/>
      <c r="AO993" s="2145"/>
      <c r="AP993" s="2145"/>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223</v>
      </c>
      <c r="D995" s="2483" t="s">
        <v>1535</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705</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8" t="s">
        <v>1536</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45"/>
      <c r="AL996" s="2145"/>
      <c r="AM996" s="2145"/>
      <c r="AN996" s="2145"/>
      <c r="AO996" s="2145"/>
      <c r="AP996" s="2145"/>
      <c r="AQ996" s="2476"/>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45"/>
      <c r="AL997" s="2145"/>
      <c r="AM997" s="2145"/>
      <c r="AN997" s="2145"/>
      <c r="AO997" s="2145"/>
      <c r="AP997" s="2145"/>
      <c r="AQ997" s="2476"/>
      <c r="AR997" s="1583"/>
      <c r="AS997" s="1583"/>
      <c r="AT997" s="1583"/>
      <c r="AU997" s="1583"/>
      <c r="AV997" s="1583"/>
      <c r="AW997" s="1583"/>
      <c r="AX997" s="1583"/>
      <c r="AY997" s="1583"/>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228</v>
      </c>
      <c r="D999" s="2535" t="s">
        <v>1537</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7" t="s">
        <v>705</v>
      </c>
      <c r="AH999" s="2448"/>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8" t="s">
        <v>1538</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1" t="s">
        <v>625</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5" t="s">
        <v>1539</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577</v>
      </c>
      <c r="AH1004" s="2448"/>
      <c r="AI1004" s="125"/>
      <c r="AJ1004" s="2502">
        <f>'Sources and Uses Budget'!B85</f>
        <v>2724312</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8" t="s">
        <v>2178</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239</v>
      </c>
      <c r="D1008" s="2483" t="s">
        <v>1540</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577</v>
      </c>
      <c r="AH1008" s="2448"/>
      <c r="AI1008" s="125"/>
      <c r="AJ1008" s="2472">
        <f>ROUND(IF(AG1008="yes",(AJ975*0.1),0),0)</f>
        <v>13043671</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1541</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45"/>
      <c r="AL1009" s="2145"/>
      <c r="AM1009" s="2145"/>
      <c r="AN1009" s="2145"/>
      <c r="AO1009" s="2145"/>
      <c r="AP1009" s="2145"/>
      <c r="AQ1009" s="2476"/>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724</v>
      </c>
      <c r="D1011" s="2435" t="s">
        <v>2174</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705</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2175</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145"/>
      <c r="AL1012" s="2145"/>
      <c r="AM1012" s="2145"/>
      <c r="AN1012" s="2145"/>
      <c r="AO1012" s="2145"/>
      <c r="AP1012" s="2145"/>
      <c r="AQ1012" s="2476"/>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145"/>
      <c r="AL1013" s="2145"/>
      <c r="AM1013" s="2145"/>
      <c r="AN1013" s="2145"/>
      <c r="AO1013" s="2145"/>
      <c r="AP1013" s="2145"/>
      <c r="AQ1013" s="2476"/>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724</v>
      </c>
      <c r="D1015" s="2483" t="s">
        <v>2176</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577</v>
      </c>
      <c r="AH1015" s="2450"/>
      <c r="AI1015" s="121"/>
      <c r="AJ1015" s="2472">
        <f>ROUND(IF(AG1015="yes",(AJ975*0.1),0),0)</f>
        <v>13043671</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2177</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45"/>
      <c r="AL1016" s="2145"/>
      <c r="AM1016" s="2145"/>
      <c r="AN1016" s="2145"/>
      <c r="AO1016" s="2145"/>
      <c r="AP1016" s="2145"/>
      <c r="AQ1016" s="2476"/>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45"/>
      <c r="AL1017" s="2145"/>
      <c r="AM1017" s="2145"/>
      <c r="AN1017" s="2145"/>
      <c r="AO1017" s="2145"/>
      <c r="AP1017" s="2145"/>
      <c r="AQ1017" s="2476"/>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45"/>
      <c r="AL1018" s="2145"/>
      <c r="AM1018" s="2145"/>
      <c r="AN1018" s="2145"/>
      <c r="AO1018" s="2145"/>
      <c r="AP1018" s="2145"/>
      <c r="AQ1018" s="2476"/>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45"/>
      <c r="AL1019" s="2145"/>
      <c r="AM1019" s="2145"/>
      <c r="AN1019" s="2145"/>
      <c r="AO1019" s="2145"/>
      <c r="AP1019" s="2145"/>
      <c r="AQ1019" s="2476"/>
      <c r="AR1019" s="1583"/>
      <c r="AS1019" s="1583"/>
      <c r="AT1019" s="1583"/>
      <c r="AU1019" s="1583"/>
      <c r="AV1019" s="1583"/>
      <c r="AW1019" s="1583"/>
      <c r="AX1019" s="1583"/>
      <c r="AY1019" s="1583"/>
      <c r="CR1019" s="25"/>
    </row>
    <row r="1020" spans="1:96" s="719" customFormat="1" ht="12.75" customHeight="1">
      <c r="A1020" s="51"/>
      <c r="B1020" s="117"/>
      <c r="C1020" s="198" t="s">
        <v>1116</v>
      </c>
      <c r="D1020" s="2435" t="s">
        <v>1542</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705</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1543</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45"/>
      <c r="AL1021" s="2145"/>
      <c r="AM1021" s="2145"/>
      <c r="AN1021" s="2145"/>
      <c r="AO1021" s="2145"/>
      <c r="AP1021" s="2145"/>
      <c r="AQ1021" s="2476"/>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45"/>
      <c r="AL1022" s="2145"/>
      <c r="AM1022" s="2145"/>
      <c r="AN1022" s="2145"/>
      <c r="AO1022" s="2145"/>
      <c r="AP1022" s="2145"/>
      <c r="AQ1022" s="2476"/>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2172</v>
      </c>
      <c r="D1024" s="2483" t="s">
        <v>2393</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31304809.919999998</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1545</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3">
        <f>BA987</f>
        <v>337</v>
      </c>
      <c r="J1027" s="2444"/>
      <c r="K1027" s="11"/>
      <c r="L1027" s="200"/>
      <c r="M1027" s="200"/>
      <c r="N1027" s="200"/>
      <c r="O1027" s="200"/>
      <c r="P1027" s="200"/>
      <c r="Q1027" s="200"/>
      <c r="R1027" s="200"/>
      <c r="S1027" s="200"/>
      <c r="T1027" s="200"/>
      <c r="U1027" s="200"/>
      <c r="V1027" s="201" t="s">
        <v>1051</v>
      </c>
      <c r="W1027" s="80"/>
      <c r="X1027" s="2441">
        <f>BG635</f>
        <v>82</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2173</v>
      </c>
      <c r="D1028" s="2435" t="s">
        <v>2394</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26087341.600000001</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1544</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3">
        <f>BA987</f>
        <v>337</v>
      </c>
      <c r="J1031" s="2444"/>
      <c r="K1031" s="51"/>
      <c r="L1031" s="200"/>
      <c r="M1031" s="200"/>
      <c r="N1031" s="200"/>
      <c r="O1031" s="200"/>
      <c r="P1031" s="200"/>
      <c r="Q1031" s="200"/>
      <c r="R1031" s="200"/>
      <c r="S1031" s="200"/>
      <c r="T1031" s="200"/>
      <c r="U1031" s="200"/>
      <c r="V1031" s="201" t="s">
        <v>1052</v>
      </c>
      <c r="X1031" s="2441">
        <f>BK635</f>
        <v>34</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545</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229684184.51999998</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1931</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3"/>
      <c r="Y1035" s="2393"/>
      <c r="Z1035" s="2393"/>
      <c r="AA1035" s="2393"/>
      <c r="AB1035" s="2393"/>
      <c r="AC1035" s="2393"/>
      <c r="AD1035" s="2125">
        <f>R971</f>
        <v>455200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4"/>
      <c r="Y1036" s="2394"/>
      <c r="Z1036" s="2394"/>
      <c r="AA1036" s="2394"/>
      <c r="AB1036" s="2394"/>
      <c r="AC1036" s="2394"/>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1933</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0.24780701754385964</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0" t="s">
        <v>851</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6" t="s">
        <v>625</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625</v>
      </c>
      <c r="B1056" s="2036"/>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625</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36" t="s">
        <v>625</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625</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625</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92" t="s">
        <v>2168</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 customHeight="1">
      <c r="A1079" s="235"/>
      <c r="B1079" s="235"/>
      <c r="C1079" s="318"/>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 customHeight="1">
      <c r="A1080" s="235"/>
      <c r="B1080" s="235"/>
      <c r="C1080" s="318"/>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2"/>
    </row>
    <row r="1081" spans="1:96" ht="12" customHeight="1">
      <c r="A1081" s="62"/>
      <c r="B1081" s="66"/>
      <c r="C1081" s="318"/>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 customHeight="1">
      <c r="A1082" s="2036" t="s">
        <v>625</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0" zoomScaleNormal="100" zoomScaleSheetLayoutView="90" workbookViewId="0">
      <selection activeCell="K99" sqref="K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3" t="s">
        <v>655</v>
      </c>
      <c r="G1" s="2574"/>
      <c r="H1" s="2574"/>
      <c r="I1" s="2574"/>
      <c r="J1" s="2574"/>
      <c r="K1" s="2574"/>
      <c r="L1" s="2574"/>
      <c r="M1" s="2574"/>
      <c r="N1" s="2574"/>
      <c r="O1" s="2574"/>
      <c r="P1" s="2574"/>
      <c r="Q1" s="2574"/>
      <c r="R1" s="2575"/>
      <c r="S1" s="168"/>
      <c r="T1" s="167"/>
      <c r="U1" s="169"/>
    </row>
    <row r="2" spans="1:21" s="208" customFormat="1" ht="71.25" customHeight="1">
      <c r="A2" s="207"/>
      <c r="B2" s="208" t="s">
        <v>24</v>
      </c>
      <c r="C2" s="208" t="s">
        <v>391</v>
      </c>
      <c r="D2" s="208" t="s">
        <v>390</v>
      </c>
      <c r="E2" s="208" t="s">
        <v>25</v>
      </c>
      <c r="F2" s="209" t="str">
        <f>Application!B637&amp;Application!C637</f>
        <v>1)Conventional Perm Loan (BofA)</v>
      </c>
      <c r="G2" s="209" t="str">
        <f>Application!B638&amp;Application!C638</f>
        <v>2)Glendale Housing Authority - Land</v>
      </c>
      <c r="H2" s="209" t="str">
        <f>Application!B639&amp;Application!C639</f>
        <v>3)Glendale Housing Authority - Dev Funds</v>
      </c>
      <c r="I2" s="209" t="str">
        <f>Application!B640&amp;Application!C640</f>
        <v>4)Accrued and Deferred Soft Loan Interest</v>
      </c>
      <c r="J2" s="209" t="str">
        <f>Application!B641&amp;Application!C641</f>
        <v>5)GP Equity</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12400000</v>
      </c>
      <c r="C4" s="217">
        <v>12400000</v>
      </c>
      <c r="D4" s="217"/>
      <c r="E4" s="217">
        <f>B4-SUM(F4:Q4)</f>
        <v>0</v>
      </c>
      <c r="F4" s="217"/>
      <c r="G4" s="217">
        <v>12400000</v>
      </c>
      <c r="H4" s="217"/>
      <c r="I4" s="217"/>
      <c r="J4" s="217"/>
      <c r="K4" s="217"/>
      <c r="L4" s="217"/>
      <c r="M4" s="217"/>
      <c r="N4" s="217"/>
      <c r="O4" s="217"/>
      <c r="P4" s="217"/>
      <c r="Q4" s="217"/>
      <c r="R4" s="879">
        <f>SUM(E4:Q4)</f>
        <v>12400000</v>
      </c>
      <c r="S4" s="218"/>
      <c r="T4" s="218"/>
      <c r="U4" s="213"/>
    </row>
    <row r="5" spans="1:21" s="214" customFormat="1">
      <c r="A5" s="215" t="s">
        <v>29</v>
      </c>
      <c r="B5" s="216">
        <f>SUM(C5+D5)</f>
        <v>640000</v>
      </c>
      <c r="C5" s="217">
        <v>640000</v>
      </c>
      <c r="D5" s="217"/>
      <c r="E5" s="217">
        <f t="shared" ref="E5:E6" si="0">B5-SUM(F5:Q5)</f>
        <v>640000</v>
      </c>
      <c r="F5" s="217"/>
      <c r="G5" s="217"/>
      <c r="H5" s="217"/>
      <c r="I5" s="217"/>
      <c r="J5" s="217"/>
      <c r="K5" s="217"/>
      <c r="L5" s="217"/>
      <c r="M5" s="217"/>
      <c r="N5" s="217"/>
      <c r="O5" s="217"/>
      <c r="P5" s="217"/>
      <c r="Q5" s="217"/>
      <c r="R5" s="879">
        <f>SUM(E5:Q5)</f>
        <v>640000</v>
      </c>
      <c r="S5" s="218"/>
      <c r="T5" s="218"/>
      <c r="U5" s="213"/>
    </row>
    <row r="6" spans="1:21" s="214" customFormat="1">
      <c r="A6" s="215" t="s">
        <v>30</v>
      </c>
      <c r="B6" s="216">
        <f>SUM(C6+D6)</f>
        <v>75000</v>
      </c>
      <c r="C6" s="217">
        <f>5000+60000+10000</f>
        <v>75000</v>
      </c>
      <c r="D6" s="217"/>
      <c r="E6" s="217">
        <f t="shared" si="0"/>
        <v>75000</v>
      </c>
      <c r="F6" s="217"/>
      <c r="G6" s="217"/>
      <c r="H6" s="217"/>
      <c r="I6" s="217"/>
      <c r="J6" s="217"/>
      <c r="K6" s="217"/>
      <c r="L6" s="217"/>
      <c r="M6" s="217"/>
      <c r="N6" s="217"/>
      <c r="O6" s="217"/>
      <c r="P6" s="217"/>
      <c r="Q6" s="217"/>
      <c r="R6" s="879">
        <f>SUM(E6:Q6)</f>
        <v>75000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13115000</v>
      </c>
      <c r="C8" s="216">
        <f t="shared" ref="C8:Q8" si="1">SUM(C4:C7)</f>
        <v>13115000</v>
      </c>
      <c r="D8" s="216">
        <f t="shared" si="1"/>
        <v>0</v>
      </c>
      <c r="E8" s="216">
        <f t="shared" si="1"/>
        <v>715000</v>
      </c>
      <c r="F8" s="216">
        <f t="shared" si="1"/>
        <v>0</v>
      </c>
      <c r="G8" s="216">
        <f t="shared" si="1"/>
        <v>12400000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13115000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2391692</v>
      </c>
      <c r="C10" s="217">
        <v>2391692</v>
      </c>
      <c r="D10" s="217"/>
      <c r="E10" s="217">
        <f t="shared" ref="E10" si="2">B10-SUM(F10:Q10)</f>
        <v>2391692</v>
      </c>
      <c r="F10" s="217"/>
      <c r="G10" s="217"/>
      <c r="H10" s="217"/>
      <c r="I10" s="217"/>
      <c r="J10" s="217"/>
      <c r="K10" s="217"/>
      <c r="L10" s="217"/>
      <c r="M10" s="217"/>
      <c r="N10" s="217"/>
      <c r="O10" s="217"/>
      <c r="P10" s="217"/>
      <c r="Q10" s="217"/>
      <c r="R10" s="879">
        <f>SUM(E10:Q10)</f>
        <v>2391692</v>
      </c>
      <c r="S10" s="217">
        <f>C10</f>
        <v>2391692</v>
      </c>
      <c r="T10" s="217"/>
      <c r="U10" s="213"/>
    </row>
    <row r="11" spans="1:21" s="214" customFormat="1">
      <c r="A11" s="219" t="s">
        <v>630</v>
      </c>
      <c r="B11" s="216">
        <f>SUM(C11:D11)</f>
        <v>2391692</v>
      </c>
      <c r="C11" s="216">
        <f t="shared" ref="C11:Q11" si="3">SUM(C9:C10)</f>
        <v>2391692</v>
      </c>
      <c r="D11" s="216">
        <f t="shared" si="3"/>
        <v>0</v>
      </c>
      <c r="E11" s="216">
        <f t="shared" si="3"/>
        <v>2391692</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2391692</v>
      </c>
      <c r="S11" s="218"/>
      <c r="T11" s="220">
        <f>SUM(T9:T10)</f>
        <v>0</v>
      </c>
      <c r="U11" s="213"/>
    </row>
    <row r="12" spans="1:21" s="214" customFormat="1">
      <c r="A12" s="219" t="s">
        <v>89</v>
      </c>
      <c r="B12" s="216">
        <f t="shared" ref="B12:Q12" si="4">SUM(B8+B11)</f>
        <v>15506692</v>
      </c>
      <c r="C12" s="216">
        <f t="shared" si="4"/>
        <v>15506692</v>
      </c>
      <c r="D12" s="216">
        <f t="shared" si="4"/>
        <v>0</v>
      </c>
      <c r="E12" s="216">
        <f t="shared" si="4"/>
        <v>3106692</v>
      </c>
      <c r="F12" s="216">
        <f t="shared" si="4"/>
        <v>0</v>
      </c>
      <c r="G12" s="216">
        <f t="shared" si="4"/>
        <v>12400000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15506692</v>
      </c>
      <c r="S12" s="218"/>
      <c r="T12" s="218"/>
      <c r="U12" s="213"/>
    </row>
    <row r="13" spans="1:21" s="214" customFormat="1">
      <c r="A13" s="449" t="s">
        <v>970</v>
      </c>
      <c r="B13" s="216">
        <f>SUM(C13+D13)</f>
        <v>30000</v>
      </c>
      <c r="C13" s="217">
        <f>30000</f>
        <v>30000</v>
      </c>
      <c r="D13" s="217"/>
      <c r="E13" s="217">
        <f t="shared" ref="E13" si="5">B13-SUM(F13:Q13)</f>
        <v>30000</v>
      </c>
      <c r="F13" s="217"/>
      <c r="G13" s="217"/>
      <c r="H13" s="217"/>
      <c r="I13" s="217"/>
      <c r="J13" s="217"/>
      <c r="K13" s="217"/>
      <c r="L13" s="217"/>
      <c r="M13" s="217"/>
      <c r="N13" s="217"/>
      <c r="O13" s="217"/>
      <c r="P13" s="217"/>
      <c r="Q13" s="217"/>
      <c r="R13" s="879">
        <f>SUM(E13:Q13)</f>
        <v>30000</v>
      </c>
      <c r="S13" s="217">
        <f>C13</f>
        <v>30000</v>
      </c>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1993</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23801788</v>
      </c>
      <c r="C29" s="217">
        <v>23801788</v>
      </c>
      <c r="D29" s="217"/>
      <c r="E29" s="217">
        <f t="shared" ref="E29:E37" si="10">B29-SUM(F29:Q29)</f>
        <v>23801788</v>
      </c>
      <c r="F29" s="217">
        <v>0</v>
      </c>
      <c r="G29" s="217"/>
      <c r="H29" s="217"/>
      <c r="I29" s="217"/>
      <c r="J29" s="217"/>
      <c r="K29" s="217"/>
      <c r="L29" s="217"/>
      <c r="M29" s="217"/>
      <c r="N29" s="217"/>
      <c r="O29" s="217"/>
      <c r="P29" s="217"/>
      <c r="Q29" s="217"/>
      <c r="R29" s="879">
        <f t="shared" ref="R29:R37" si="11">SUM(E29:Q29)</f>
        <v>23801788</v>
      </c>
      <c r="S29" s="217">
        <f>C29</f>
        <v>23801788</v>
      </c>
      <c r="T29" s="217"/>
      <c r="U29" s="213"/>
    </row>
    <row r="30" spans="1:21" s="214" customFormat="1">
      <c r="A30" s="215" t="s">
        <v>633</v>
      </c>
      <c r="B30" s="216">
        <f t="shared" si="9"/>
        <v>52784548</v>
      </c>
      <c r="C30" s="217">
        <v>52784548</v>
      </c>
      <c r="D30" s="217"/>
      <c r="E30" s="217">
        <f t="shared" si="10"/>
        <v>7947519</v>
      </c>
      <c r="F30" s="217">
        <v>34837029</v>
      </c>
      <c r="G30" s="217"/>
      <c r="H30" s="217">
        <v>10000000</v>
      </c>
      <c r="I30" s="217"/>
      <c r="J30" s="217"/>
      <c r="K30" s="217"/>
      <c r="L30" s="217"/>
      <c r="M30" s="217"/>
      <c r="N30" s="217"/>
      <c r="O30" s="217"/>
      <c r="P30" s="217"/>
      <c r="Q30" s="217"/>
      <c r="R30" s="879">
        <f t="shared" si="11"/>
        <v>52784548</v>
      </c>
      <c r="S30" s="217">
        <f t="shared" ref="S30:S33" si="12">C30</f>
        <v>52784548</v>
      </c>
      <c r="T30" s="217"/>
      <c r="U30" s="213"/>
    </row>
    <row r="31" spans="1:21" s="214" customFormat="1">
      <c r="A31" s="215" t="s">
        <v>634</v>
      </c>
      <c r="B31" s="216">
        <f t="shared" si="9"/>
        <v>5573262</v>
      </c>
      <c r="C31" s="217">
        <v>5573262</v>
      </c>
      <c r="D31" s="217"/>
      <c r="E31" s="217">
        <f t="shared" si="10"/>
        <v>5573262</v>
      </c>
      <c r="F31" s="217"/>
      <c r="G31" s="217"/>
      <c r="H31" s="217"/>
      <c r="I31" s="217"/>
      <c r="J31" s="217"/>
      <c r="K31" s="217"/>
      <c r="L31" s="217"/>
      <c r="M31" s="217"/>
      <c r="N31" s="217"/>
      <c r="O31" s="217"/>
      <c r="P31" s="217"/>
      <c r="Q31" s="217"/>
      <c r="R31" s="879">
        <f t="shared" si="11"/>
        <v>5573262</v>
      </c>
      <c r="S31" s="217">
        <f t="shared" si="12"/>
        <v>5573262</v>
      </c>
      <c r="T31" s="217"/>
      <c r="U31" s="213"/>
    </row>
    <row r="32" spans="1:21" s="214" customFormat="1">
      <c r="A32" s="215" t="s">
        <v>142</v>
      </c>
      <c r="B32" s="216">
        <f t="shared" si="9"/>
        <v>2388541</v>
      </c>
      <c r="C32" s="217">
        <v>2388541</v>
      </c>
      <c r="D32" s="217"/>
      <c r="E32" s="217">
        <f t="shared" si="10"/>
        <v>2388541</v>
      </c>
      <c r="F32" s="217"/>
      <c r="G32" s="217"/>
      <c r="H32" s="217"/>
      <c r="I32" s="217"/>
      <c r="J32" s="217"/>
      <c r="K32" s="217"/>
      <c r="L32" s="217"/>
      <c r="M32" s="217"/>
      <c r="N32" s="217"/>
      <c r="O32" s="217"/>
      <c r="P32" s="217"/>
      <c r="Q32" s="217"/>
      <c r="R32" s="879">
        <f t="shared" si="11"/>
        <v>2388541</v>
      </c>
      <c r="S32" s="217">
        <f t="shared" si="12"/>
        <v>2388541</v>
      </c>
      <c r="T32" s="217"/>
      <c r="U32" s="213"/>
    </row>
    <row r="33" spans="1:21" s="214" customFormat="1">
      <c r="A33" s="215" t="s">
        <v>143</v>
      </c>
      <c r="B33" s="216">
        <f t="shared" si="9"/>
        <v>3184722</v>
      </c>
      <c r="C33" s="217">
        <v>3184722</v>
      </c>
      <c r="D33" s="217"/>
      <c r="E33" s="217">
        <f t="shared" si="10"/>
        <v>3184722</v>
      </c>
      <c r="F33" s="217"/>
      <c r="G33" s="217"/>
      <c r="H33" s="217"/>
      <c r="I33" s="217"/>
      <c r="J33" s="217"/>
      <c r="K33" s="217"/>
      <c r="L33" s="217"/>
      <c r="M33" s="217"/>
      <c r="N33" s="217"/>
      <c r="O33" s="217"/>
      <c r="P33" s="217"/>
      <c r="Q33" s="217"/>
      <c r="R33" s="879">
        <f t="shared" si="11"/>
        <v>3184722</v>
      </c>
      <c r="S33" s="217">
        <f t="shared" si="12"/>
        <v>3184722</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9">
        <f t="shared" si="11"/>
        <v>0</v>
      </c>
      <c r="S34" s="217"/>
      <c r="T34" s="217"/>
      <c r="U34" s="213"/>
    </row>
    <row r="35" spans="1:21" s="214" customFormat="1">
      <c r="A35" s="215" t="s">
        <v>145</v>
      </c>
      <c r="B35" s="216">
        <f t="shared" si="9"/>
        <v>1833444</v>
      </c>
      <c r="C35" s="217">
        <v>1833444</v>
      </c>
      <c r="D35" s="217"/>
      <c r="E35" s="217">
        <f t="shared" si="10"/>
        <v>1833444</v>
      </c>
      <c r="F35" s="217"/>
      <c r="G35" s="217"/>
      <c r="H35" s="217"/>
      <c r="I35" s="217"/>
      <c r="J35" s="217"/>
      <c r="K35" s="217"/>
      <c r="L35" s="217"/>
      <c r="M35" s="217"/>
      <c r="N35" s="217"/>
      <c r="O35" s="217"/>
      <c r="P35" s="217"/>
      <c r="Q35" s="217"/>
      <c r="R35" s="879">
        <f t="shared" si="11"/>
        <v>1833444</v>
      </c>
      <c r="S35" s="217">
        <f>C35</f>
        <v>1833444</v>
      </c>
      <c r="T35" s="217"/>
      <c r="U35" s="213"/>
    </row>
    <row r="36" spans="1:21" s="214" customFormat="1">
      <c r="A36" s="1809" t="s">
        <v>1993</v>
      </c>
      <c r="B36" s="216">
        <f t="shared" si="9"/>
        <v>0</v>
      </c>
      <c r="C36" s="217"/>
      <c r="D36" s="217"/>
      <c r="E36" s="217">
        <f t="shared" si="10"/>
        <v>0</v>
      </c>
      <c r="F36" s="217"/>
      <c r="G36" s="217"/>
      <c r="H36" s="217"/>
      <c r="I36" s="217"/>
      <c r="J36" s="217"/>
      <c r="K36" s="217"/>
      <c r="L36" s="217"/>
      <c r="M36" s="217"/>
      <c r="N36" s="217"/>
      <c r="O36" s="217"/>
      <c r="P36" s="217"/>
      <c r="Q36" s="217"/>
      <c r="R36" s="879">
        <f t="shared" si="11"/>
        <v>0</v>
      </c>
      <c r="S36" s="217"/>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9">
        <f t="shared" si="11"/>
        <v>0</v>
      </c>
      <c r="S37" s="217"/>
      <c r="T37" s="217"/>
      <c r="U37" s="213"/>
    </row>
    <row r="38" spans="1:21" s="214" customFormat="1">
      <c r="A38" s="219" t="s">
        <v>148</v>
      </c>
      <c r="B38" s="216">
        <f t="shared" si="9"/>
        <v>89566305</v>
      </c>
      <c r="C38" s="216">
        <f>SUM(C29:C37)</f>
        <v>89566305</v>
      </c>
      <c r="D38" s="216">
        <f t="shared" ref="D38:Q38" si="13">SUM(D29:D37)</f>
        <v>0</v>
      </c>
      <c r="E38" s="216">
        <f t="shared" si="13"/>
        <v>44729276</v>
      </c>
      <c r="F38" s="216">
        <f t="shared" si="13"/>
        <v>34837029</v>
      </c>
      <c r="G38" s="216">
        <f t="shared" si="13"/>
        <v>0</v>
      </c>
      <c r="H38" s="216">
        <f t="shared" si="13"/>
        <v>10000000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89566305</v>
      </c>
      <c r="S38" s="220">
        <f>SUM(S29:S37)</f>
        <v>89566305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1575000</v>
      </c>
      <c r="C40" s="217">
        <f>1783000-208000</f>
        <v>1575000</v>
      </c>
      <c r="D40" s="217"/>
      <c r="E40" s="217">
        <f t="shared" ref="E40:E53" si="14">B40-SUM(F40:Q40)</f>
        <v>1575000</v>
      </c>
      <c r="F40" s="217"/>
      <c r="G40" s="217"/>
      <c r="H40" s="217"/>
      <c r="I40" s="217"/>
      <c r="J40" s="217"/>
      <c r="K40" s="217"/>
      <c r="L40" s="217"/>
      <c r="M40" s="217"/>
      <c r="N40" s="217"/>
      <c r="O40" s="217"/>
      <c r="P40" s="217"/>
      <c r="Q40" s="217"/>
      <c r="R40" s="879">
        <f>SUM(E40:Q40)</f>
        <v>1575000</v>
      </c>
      <c r="S40" s="217">
        <f>C40</f>
        <v>1575000</v>
      </c>
      <c r="T40" s="217"/>
      <c r="U40" s="213"/>
    </row>
    <row r="41" spans="1:21" s="214" customFormat="1">
      <c r="A41" s="215" t="s">
        <v>151</v>
      </c>
      <c r="B41" s="216">
        <f>SUM(C41+D41)</f>
        <v>600000</v>
      </c>
      <c r="C41" s="217">
        <v>600000</v>
      </c>
      <c r="D41" s="217"/>
      <c r="E41" s="217">
        <f t="shared" si="14"/>
        <v>600000</v>
      </c>
      <c r="F41" s="217"/>
      <c r="G41" s="217"/>
      <c r="H41" s="217"/>
      <c r="I41" s="217"/>
      <c r="J41" s="217"/>
      <c r="K41" s="217"/>
      <c r="L41" s="217"/>
      <c r="M41" s="217"/>
      <c r="N41" s="217"/>
      <c r="O41" s="217"/>
      <c r="P41" s="217"/>
      <c r="Q41" s="217"/>
      <c r="R41" s="879">
        <f>SUM(E41:Q41)</f>
        <v>600000</v>
      </c>
      <c r="S41" s="217">
        <f>C41</f>
        <v>600000</v>
      </c>
      <c r="T41" s="217"/>
      <c r="U41" s="213"/>
    </row>
    <row r="42" spans="1:21" s="214" customFormat="1">
      <c r="A42" s="219" t="s">
        <v>152</v>
      </c>
      <c r="B42" s="216">
        <f>SUM(C42:D42)</f>
        <v>2175000</v>
      </c>
      <c r="C42" s="216">
        <f>SUM(C39:C41)</f>
        <v>2175000</v>
      </c>
      <c r="D42" s="216">
        <f>SUM(D39:D41)</f>
        <v>0</v>
      </c>
      <c r="E42" s="216">
        <f t="shared" ref="E42:T42" si="15">SUM(E40:E41)</f>
        <v>2175000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2175000</v>
      </c>
      <c r="S42" s="220">
        <f t="shared" si="15"/>
        <v>2175000</v>
      </c>
      <c r="T42" s="220">
        <f t="shared" si="15"/>
        <v>0</v>
      </c>
      <c r="U42" s="213"/>
    </row>
    <row r="43" spans="1:21" s="214" customFormat="1">
      <c r="A43" s="219" t="s">
        <v>153</v>
      </c>
      <c r="B43" s="216">
        <f>SUM(C43:D43)</f>
        <v>765000</v>
      </c>
      <c r="C43" s="217">
        <f>700000+65000</f>
        <v>765000</v>
      </c>
      <c r="D43" s="217"/>
      <c r="E43" s="217">
        <f t="shared" si="14"/>
        <v>765000</v>
      </c>
      <c r="F43" s="217"/>
      <c r="G43" s="217"/>
      <c r="H43" s="217"/>
      <c r="I43" s="217"/>
      <c r="J43" s="217"/>
      <c r="K43" s="217"/>
      <c r="L43" s="217"/>
      <c r="M43" s="217"/>
      <c r="N43" s="217"/>
      <c r="O43" s="217"/>
      <c r="P43" s="217"/>
      <c r="Q43" s="217"/>
      <c r="R43" s="879">
        <f>SUM(E43:Q43)</f>
        <v>765000</v>
      </c>
      <c r="S43" s="217">
        <f>C43</f>
        <v>765000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8279672</v>
      </c>
      <c r="C45" s="217">
        <f>6240672+135000+1904000</f>
        <v>8279672</v>
      </c>
      <c r="D45" s="217"/>
      <c r="E45" s="217">
        <f t="shared" si="14"/>
        <v>6375672</v>
      </c>
      <c r="F45" s="217"/>
      <c r="G45" s="217"/>
      <c r="H45" s="217"/>
      <c r="I45" s="217">
        <v>1904000</v>
      </c>
      <c r="J45" s="217"/>
      <c r="K45" s="217"/>
      <c r="L45" s="217"/>
      <c r="M45" s="217"/>
      <c r="N45" s="217"/>
      <c r="O45" s="217"/>
      <c r="P45" s="217"/>
      <c r="Q45" s="217"/>
      <c r="R45" s="879">
        <f t="shared" ref="R45:R53" si="17">SUM(E45:Q45)</f>
        <v>8279672</v>
      </c>
      <c r="S45" s="217">
        <f>4116256+1904000</f>
        <v>6020256</v>
      </c>
      <c r="T45" s="217"/>
      <c r="U45" s="213"/>
    </row>
    <row r="46" spans="1:21" s="214" customFormat="1">
      <c r="A46" s="215" t="s">
        <v>156</v>
      </c>
      <c r="B46" s="216">
        <f t="shared" si="16"/>
        <v>787199</v>
      </c>
      <c r="C46" s="217">
        <v>787199</v>
      </c>
      <c r="D46" s="217"/>
      <c r="E46" s="217">
        <f t="shared" si="14"/>
        <v>787199</v>
      </c>
      <c r="F46" s="217"/>
      <c r="G46" s="217"/>
      <c r="H46" s="217"/>
      <c r="I46" s="217"/>
      <c r="J46" s="217"/>
      <c r="K46" s="217"/>
      <c r="L46" s="217"/>
      <c r="M46" s="217"/>
      <c r="N46" s="217"/>
      <c r="O46" s="217"/>
      <c r="P46" s="217"/>
      <c r="Q46" s="217"/>
      <c r="R46" s="879">
        <f t="shared" si="17"/>
        <v>787199</v>
      </c>
      <c r="S46" s="217">
        <v>519225</v>
      </c>
      <c r="T46" s="217"/>
      <c r="U46" s="213"/>
    </row>
    <row r="47" spans="1:21" s="214" customFormat="1">
      <c r="A47" s="297" t="s">
        <v>157</v>
      </c>
      <c r="B47" s="216">
        <f t="shared" si="16"/>
        <v>0</v>
      </c>
      <c r="C47" s="217"/>
      <c r="D47" s="217"/>
      <c r="E47" s="217">
        <f t="shared" si="14"/>
        <v>0</v>
      </c>
      <c r="F47" s="217"/>
      <c r="G47" s="217"/>
      <c r="H47" s="217"/>
      <c r="I47" s="217"/>
      <c r="J47" s="217"/>
      <c r="K47" s="217"/>
      <c r="L47" s="217"/>
      <c r="M47" s="217"/>
      <c r="N47" s="217"/>
      <c r="O47" s="217"/>
      <c r="P47" s="217"/>
      <c r="Q47" s="217"/>
      <c r="R47" s="879">
        <f t="shared" si="17"/>
        <v>0</v>
      </c>
      <c r="S47" s="217"/>
      <c r="T47" s="217"/>
      <c r="U47" s="213"/>
    </row>
    <row r="48" spans="1:21" s="214" customFormat="1">
      <c r="A48" s="215" t="s">
        <v>158</v>
      </c>
      <c r="B48" s="216">
        <f t="shared" si="16"/>
        <v>907646</v>
      </c>
      <c r="C48" s="217">
        <v>907646</v>
      </c>
      <c r="D48" s="217"/>
      <c r="E48" s="217">
        <f t="shared" si="14"/>
        <v>907646</v>
      </c>
      <c r="F48" s="217"/>
      <c r="G48" s="217"/>
      <c r="H48" s="217"/>
      <c r="I48" s="217"/>
      <c r="J48" s="217"/>
      <c r="K48" s="217"/>
      <c r="L48" s="217"/>
      <c r="M48" s="217"/>
      <c r="N48" s="217"/>
      <c r="O48" s="217"/>
      <c r="P48" s="217"/>
      <c r="Q48" s="217"/>
      <c r="R48" s="879">
        <f t="shared" si="17"/>
        <v>907646</v>
      </c>
      <c r="S48" s="217">
        <f>C48</f>
        <v>907646</v>
      </c>
      <c r="T48" s="217"/>
      <c r="U48" s="213"/>
    </row>
    <row r="49" spans="1:21" s="214" customFormat="1">
      <c r="A49" s="215" t="s">
        <v>60</v>
      </c>
      <c r="B49" s="216">
        <f t="shared" si="16"/>
        <v>873497</v>
      </c>
      <c r="C49" s="217">
        <v>873497</v>
      </c>
      <c r="D49" s="217"/>
      <c r="E49" s="217">
        <f t="shared" si="14"/>
        <v>873497</v>
      </c>
      <c r="F49" s="217"/>
      <c r="G49" s="217"/>
      <c r="H49" s="217"/>
      <c r="I49" s="217"/>
      <c r="J49" s="217"/>
      <c r="K49" s="217"/>
      <c r="L49" s="217"/>
      <c r="M49" s="217"/>
      <c r="N49" s="217"/>
      <c r="O49" s="217"/>
      <c r="P49" s="217"/>
      <c r="Q49" s="217"/>
      <c r="R49" s="879">
        <f t="shared" si="17"/>
        <v>873497</v>
      </c>
      <c r="S49" s="217"/>
      <c r="T49" s="217"/>
      <c r="U49" s="213"/>
    </row>
    <row r="50" spans="1:21" s="214" customFormat="1">
      <c r="A50" s="215" t="s">
        <v>161</v>
      </c>
      <c r="B50" s="216">
        <f t="shared" si="16"/>
        <v>80000</v>
      </c>
      <c r="C50" s="217">
        <v>80000</v>
      </c>
      <c r="D50" s="217"/>
      <c r="E50" s="217">
        <f t="shared" si="14"/>
        <v>80000</v>
      </c>
      <c r="F50" s="217"/>
      <c r="G50" s="217"/>
      <c r="H50" s="217"/>
      <c r="I50" s="217"/>
      <c r="J50" s="217"/>
      <c r="K50" s="217"/>
      <c r="L50" s="217"/>
      <c r="M50" s="217"/>
      <c r="N50" s="217"/>
      <c r="O50" s="217"/>
      <c r="P50" s="217"/>
      <c r="Q50" s="217"/>
      <c r="R50" s="879">
        <f t="shared" si="17"/>
        <v>80000</v>
      </c>
      <c r="S50" s="217">
        <f>C50</f>
        <v>80000</v>
      </c>
      <c r="T50" s="217"/>
      <c r="U50" s="213"/>
    </row>
    <row r="51" spans="1:21" s="214" customFormat="1">
      <c r="A51" s="440" t="s">
        <v>159</v>
      </c>
      <c r="B51" s="216">
        <f t="shared" si="16"/>
        <v>155000</v>
      </c>
      <c r="C51" s="217">
        <v>155000</v>
      </c>
      <c r="D51" s="217"/>
      <c r="E51" s="217">
        <f t="shared" si="14"/>
        <v>155000</v>
      </c>
      <c r="F51" s="217"/>
      <c r="G51" s="217"/>
      <c r="H51" s="217"/>
      <c r="I51" s="217"/>
      <c r="J51" s="217"/>
      <c r="K51" s="217"/>
      <c r="L51" s="217"/>
      <c r="M51" s="217"/>
      <c r="N51" s="217"/>
      <c r="O51" s="217"/>
      <c r="P51" s="217"/>
      <c r="Q51" s="217"/>
      <c r="R51" s="879">
        <f t="shared" si="17"/>
        <v>155000</v>
      </c>
      <c r="S51" s="217">
        <f>C51</f>
        <v>155000</v>
      </c>
      <c r="T51" s="217"/>
      <c r="U51" s="213"/>
    </row>
    <row r="52" spans="1:21" s="214" customFormat="1">
      <c r="A52" s="215" t="s">
        <v>160</v>
      </c>
      <c r="B52" s="216">
        <f t="shared" si="16"/>
        <v>80000</v>
      </c>
      <c r="C52" s="217">
        <v>80000</v>
      </c>
      <c r="D52" s="217"/>
      <c r="E52" s="217">
        <f t="shared" si="14"/>
        <v>80000</v>
      </c>
      <c r="F52" s="217"/>
      <c r="G52" s="217"/>
      <c r="H52" s="217"/>
      <c r="I52" s="217"/>
      <c r="J52" s="217"/>
      <c r="K52" s="217"/>
      <c r="L52" s="217"/>
      <c r="M52" s="217"/>
      <c r="N52" s="217"/>
      <c r="O52" s="217"/>
      <c r="P52" s="217"/>
      <c r="Q52" s="217"/>
      <c r="R52" s="879">
        <f t="shared" si="17"/>
        <v>80000</v>
      </c>
      <c r="S52" s="217">
        <f>C52</f>
        <v>80000</v>
      </c>
      <c r="T52" s="217"/>
      <c r="U52" s="213"/>
    </row>
    <row r="53" spans="1:21" s="214" customFormat="1">
      <c r="A53" s="222" t="s">
        <v>35</v>
      </c>
      <c r="B53" s="216">
        <f t="shared" si="16"/>
        <v>0</v>
      </c>
      <c r="C53" s="217"/>
      <c r="D53" s="217"/>
      <c r="E53" s="217">
        <f t="shared" si="14"/>
        <v>0</v>
      </c>
      <c r="F53" s="217"/>
      <c r="G53" s="217"/>
      <c r="H53" s="217"/>
      <c r="I53" s="217"/>
      <c r="J53" s="217"/>
      <c r="K53" s="217"/>
      <c r="L53" s="217"/>
      <c r="M53" s="217"/>
      <c r="N53" s="217"/>
      <c r="O53" s="217"/>
      <c r="P53" s="217"/>
      <c r="Q53" s="217"/>
      <c r="R53" s="879">
        <f t="shared" si="17"/>
        <v>0</v>
      </c>
      <c r="S53" s="217"/>
      <c r="T53" s="217"/>
      <c r="U53" s="213"/>
    </row>
    <row r="54" spans="1:21" s="224" customFormat="1">
      <c r="A54" s="219" t="s">
        <v>162</v>
      </c>
      <c r="B54" s="220">
        <f>SUM(C54:D54)</f>
        <v>11163014</v>
      </c>
      <c r="C54" s="220">
        <f t="shared" ref="C54:T54" si="18">SUM(C45:C53)</f>
        <v>11163014</v>
      </c>
      <c r="D54" s="220">
        <f t="shared" si="18"/>
        <v>0</v>
      </c>
      <c r="E54" s="220">
        <f t="shared" si="18"/>
        <v>9259014</v>
      </c>
      <c r="F54" s="220">
        <f t="shared" si="18"/>
        <v>0</v>
      </c>
      <c r="G54" s="220">
        <f t="shared" si="18"/>
        <v>0</v>
      </c>
      <c r="H54" s="220">
        <f t="shared" si="18"/>
        <v>0</v>
      </c>
      <c r="I54" s="220">
        <f t="shared" si="18"/>
        <v>1904000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11163014</v>
      </c>
      <c r="S54" s="220">
        <f t="shared" si="18"/>
        <v>7762127</v>
      </c>
      <c r="T54" s="220">
        <f t="shared" si="18"/>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348371</v>
      </c>
      <c r="C56" s="217">
        <v>348371</v>
      </c>
      <c r="D56" s="217"/>
      <c r="E56" s="217">
        <f t="shared" ref="E56:E61" si="20">B56-SUM(F56:Q56)</f>
        <v>348371</v>
      </c>
      <c r="F56" s="217"/>
      <c r="G56" s="217"/>
      <c r="H56" s="217"/>
      <c r="I56" s="217"/>
      <c r="J56" s="217"/>
      <c r="K56" s="217"/>
      <c r="L56" s="217"/>
      <c r="M56" s="217"/>
      <c r="N56" s="217"/>
      <c r="O56" s="217"/>
      <c r="P56" s="217"/>
      <c r="Q56" s="217"/>
      <c r="R56" s="879">
        <f t="shared" ref="R56:R61" si="21">SUM(E56:Q56)</f>
        <v>348371</v>
      </c>
      <c r="S56" s="218"/>
      <c r="T56" s="218"/>
      <c r="U56" s="213"/>
    </row>
    <row r="57" spans="1:21" s="303" customFormat="1">
      <c r="A57" s="297" t="s">
        <v>157</v>
      </c>
      <c r="B57" s="304">
        <f t="shared" si="19"/>
        <v>0</v>
      </c>
      <c r="C57" s="301"/>
      <c r="D57" s="301"/>
      <c r="E57" s="301">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5000</v>
      </c>
      <c r="C58" s="217">
        <v>5000</v>
      </c>
      <c r="D58" s="217"/>
      <c r="E58" s="217">
        <f t="shared" si="20"/>
        <v>5000</v>
      </c>
      <c r="F58" s="217"/>
      <c r="G58" s="217"/>
      <c r="H58" s="217"/>
      <c r="I58" s="217"/>
      <c r="J58" s="217"/>
      <c r="K58" s="217"/>
      <c r="L58" s="217"/>
      <c r="M58" s="217"/>
      <c r="N58" s="217"/>
      <c r="O58" s="217"/>
      <c r="P58" s="217"/>
      <c r="Q58" s="217"/>
      <c r="R58" s="879">
        <f t="shared" si="21"/>
        <v>5000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9">
        <f t="shared" si="21"/>
        <v>0</v>
      </c>
      <c r="S61" s="218"/>
      <c r="T61" s="218"/>
      <c r="U61" s="213"/>
    </row>
    <row r="62" spans="1:21" s="214" customFormat="1" ht="13.7" customHeight="1">
      <c r="A62" s="219" t="s">
        <v>308</v>
      </c>
      <c r="B62" s="216">
        <f>SUM(C62:D62)</f>
        <v>353371</v>
      </c>
      <c r="C62" s="216">
        <f t="shared" ref="C62:R62" si="22">SUM(C56:C61)</f>
        <v>353371</v>
      </c>
      <c r="D62" s="216">
        <f t="shared" si="22"/>
        <v>0</v>
      </c>
      <c r="E62" s="216">
        <f t="shared" si="22"/>
        <v>353371</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353371</v>
      </c>
      <c r="S62" s="218"/>
      <c r="T62" s="218"/>
      <c r="U62" s="213"/>
    </row>
    <row r="63" spans="1:21" s="214" customFormat="1">
      <c r="A63" s="225" t="s">
        <v>309</v>
      </c>
      <c r="B63" s="216">
        <f t="shared" ref="B63:R63" si="23">SUM(B8+B11+B13+B14+B15+B26+B27+B38+B42+B43+B54+B62)</f>
        <v>119559382</v>
      </c>
      <c r="C63" s="216">
        <f t="shared" si="23"/>
        <v>119559382</v>
      </c>
      <c r="D63" s="216">
        <f t="shared" si="23"/>
        <v>0</v>
      </c>
      <c r="E63" s="216">
        <f t="shared" si="23"/>
        <v>60418353</v>
      </c>
      <c r="F63" s="216">
        <f t="shared" si="23"/>
        <v>34837029</v>
      </c>
      <c r="G63" s="216">
        <f t="shared" si="23"/>
        <v>12400000</v>
      </c>
      <c r="H63" s="216">
        <f t="shared" si="23"/>
        <v>10000000</v>
      </c>
      <c r="I63" s="216">
        <f t="shared" si="23"/>
        <v>1904000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119559382</v>
      </c>
      <c r="S63" s="216">
        <f>SUM(S10+S13+S14+S15+S26+S27+S38+S42+S43+S54)</f>
        <v>102690124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45000</v>
      </c>
      <c r="C65" s="217">
        <f>35000+10000</f>
        <v>45000</v>
      </c>
      <c r="D65" s="217"/>
      <c r="E65" s="217">
        <f t="shared" ref="E65" si="24">B65-SUM(F65:Q65)</f>
        <v>45000</v>
      </c>
      <c r="F65" s="217"/>
      <c r="G65" s="217"/>
      <c r="H65" s="217"/>
      <c r="I65" s="217"/>
      <c r="J65" s="217"/>
      <c r="K65" s="217"/>
      <c r="L65" s="217"/>
      <c r="M65" s="217"/>
      <c r="N65" s="217"/>
      <c r="O65" s="217"/>
      <c r="P65" s="217"/>
      <c r="Q65" s="217"/>
      <c r="R65" s="879">
        <f>SUM(E65:Q65)</f>
        <v>45000</v>
      </c>
      <c r="S65" s="217">
        <f>C65</f>
        <v>45000</v>
      </c>
      <c r="T65" s="217"/>
      <c r="U65" s="213"/>
    </row>
    <row r="66" spans="1:21" s="214" customFormat="1" ht="24" customHeight="1">
      <c r="A66" s="440" t="s">
        <v>1994</v>
      </c>
      <c r="B66" s="216">
        <f t="shared" ref="B66:B69" si="25">SUM(C66+D66)</f>
        <v>0</v>
      </c>
      <c r="C66" s="217"/>
      <c r="D66" s="217"/>
      <c r="E66" s="217"/>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1995</v>
      </c>
      <c r="B67" s="216">
        <f t="shared" si="25"/>
        <v>0</v>
      </c>
      <c r="C67" s="217"/>
      <c r="D67" s="217"/>
      <c r="E67" s="217"/>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2001</v>
      </c>
      <c r="B68" s="216">
        <f t="shared" si="25"/>
        <v>0</v>
      </c>
      <c r="C68" s="217"/>
      <c r="D68" s="217"/>
      <c r="E68" s="217"/>
      <c r="F68" s="217"/>
      <c r="G68" s="217"/>
      <c r="H68" s="217"/>
      <c r="I68" s="217"/>
      <c r="J68" s="217"/>
      <c r="K68" s="217"/>
      <c r="L68" s="217"/>
      <c r="M68" s="217"/>
      <c r="N68" s="217"/>
      <c r="O68" s="217"/>
      <c r="P68" s="217"/>
      <c r="Q68" s="217"/>
      <c r="R68" s="879">
        <f t="shared" si="26"/>
        <v>0</v>
      </c>
      <c r="S68" s="217"/>
      <c r="T68" s="217"/>
      <c r="U68" s="213"/>
    </row>
    <row r="69" spans="1:21" s="214" customFormat="1">
      <c r="A69" s="222" t="s">
        <v>35</v>
      </c>
      <c r="B69" s="216">
        <f t="shared" si="25"/>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45000</v>
      </c>
      <c r="C70" s="216">
        <f>SUM(C65:C69)</f>
        <v>45000</v>
      </c>
      <c r="D70" s="216">
        <f>SUM(D65:D69)</f>
        <v>0</v>
      </c>
      <c r="E70" s="216">
        <f t="shared" ref="E70:T70" si="27">SUM(E65:E69)</f>
        <v>45000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45000</v>
      </c>
      <c r="S70" s="220">
        <f t="shared" si="27"/>
        <v>45000</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1139487</v>
      </c>
      <c r="C75" s="217">
        <v>1139487</v>
      </c>
      <c r="D75" s="217"/>
      <c r="E75" s="217">
        <f t="shared" ref="E75" si="28">B75-SUM(F75:Q75)</f>
        <v>1139487</v>
      </c>
      <c r="F75" s="217"/>
      <c r="G75" s="217"/>
      <c r="H75" s="217"/>
      <c r="I75" s="217"/>
      <c r="J75" s="217"/>
      <c r="K75" s="217"/>
      <c r="L75" s="217"/>
      <c r="M75" s="217"/>
      <c r="N75" s="217"/>
      <c r="O75" s="217"/>
      <c r="P75" s="217"/>
      <c r="Q75" s="217"/>
      <c r="R75" s="879">
        <f>SUM(E75:Q75)</f>
        <v>1139487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1139487</v>
      </c>
      <c r="C77" s="216">
        <f>SUM(C72:C76)</f>
        <v>1139487</v>
      </c>
      <c r="D77" s="216">
        <f>SUM(D72:D76)</f>
        <v>0</v>
      </c>
      <c r="E77" s="216">
        <f t="shared" ref="E77:Q77" si="29">SUM(E72:E76)</f>
        <v>1139487</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1139487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4675283</v>
      </c>
      <c r="C79" s="217">
        <v>4675283</v>
      </c>
      <c r="D79" s="217"/>
      <c r="E79" s="217">
        <f t="shared" ref="E79:E80" si="30">B79-SUM(F79:Q79)</f>
        <v>4675283</v>
      </c>
      <c r="F79" s="217"/>
      <c r="G79" s="217"/>
      <c r="H79" s="217"/>
      <c r="I79" s="217"/>
      <c r="J79" s="217"/>
      <c r="K79" s="217"/>
      <c r="L79" s="217"/>
      <c r="M79" s="217"/>
      <c r="N79" s="217"/>
      <c r="O79" s="217"/>
      <c r="P79" s="217"/>
      <c r="Q79" s="217"/>
      <c r="R79" s="879">
        <f>SUM(E79:Q79)</f>
        <v>4675283</v>
      </c>
      <c r="S79" s="217">
        <f>C79</f>
        <v>4675283</v>
      </c>
      <c r="T79" s="217"/>
      <c r="U79" s="213"/>
    </row>
    <row r="80" spans="1:21" s="214" customFormat="1">
      <c r="A80" s="440" t="s">
        <v>61</v>
      </c>
      <c r="B80" s="216">
        <f>SUM(C80:D80)</f>
        <v>905965</v>
      </c>
      <c r="C80" s="217">
        <v>905965</v>
      </c>
      <c r="D80" s="217"/>
      <c r="E80" s="217">
        <f t="shared" si="30"/>
        <v>905965</v>
      </c>
      <c r="F80" s="217"/>
      <c r="G80" s="217"/>
      <c r="H80" s="217"/>
      <c r="I80" s="217"/>
      <c r="J80" s="217"/>
      <c r="K80" s="217"/>
      <c r="L80" s="217"/>
      <c r="M80" s="217"/>
      <c r="N80" s="217"/>
      <c r="O80" s="217"/>
      <c r="P80" s="217"/>
      <c r="Q80" s="217"/>
      <c r="R80" s="879">
        <f>SUM(E80:Q80)</f>
        <v>905965</v>
      </c>
      <c r="S80" s="217">
        <f>C80</f>
        <v>905965</v>
      </c>
      <c r="T80" s="217"/>
      <c r="U80" s="213"/>
    </row>
    <row r="81" spans="1:21" s="214" customFormat="1">
      <c r="A81" s="219" t="s">
        <v>1418</v>
      </c>
      <c r="B81" s="216">
        <f>SUM(C81:D81)</f>
        <v>5581248</v>
      </c>
      <c r="C81" s="859">
        <f>SUM(C79:C80)</f>
        <v>5581248</v>
      </c>
      <c r="D81" s="859">
        <f t="shared" ref="D81:T81" si="31">SUM(D79:D80)</f>
        <v>0</v>
      </c>
      <c r="E81" s="859">
        <f t="shared" si="31"/>
        <v>5581248</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5581248</v>
      </c>
      <c r="S81" s="859">
        <f t="shared" si="31"/>
        <v>5581248</v>
      </c>
      <c r="T81" s="859">
        <f t="shared" si="3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32">SUM(C83+D83)</f>
        <v>228099</v>
      </c>
      <c r="C83" s="217">
        <f>2000+86699+139400</f>
        <v>228099</v>
      </c>
      <c r="D83" s="217"/>
      <c r="E83" s="217">
        <f t="shared" ref="E83:E95" si="33">B83-SUM(F83:Q83)</f>
        <v>228099</v>
      </c>
      <c r="F83" s="217"/>
      <c r="G83" s="217"/>
      <c r="H83" s="217"/>
      <c r="I83" s="217"/>
      <c r="J83" s="217"/>
      <c r="K83" s="217"/>
      <c r="L83" s="217"/>
      <c r="M83" s="217"/>
      <c r="N83" s="217"/>
      <c r="O83" s="217"/>
      <c r="P83" s="217"/>
      <c r="Q83" s="217"/>
      <c r="R83" s="879">
        <f t="shared" ref="R83:R95" si="34">SUM(E83:Q83)</f>
        <v>228099</v>
      </c>
      <c r="S83" s="218"/>
      <c r="T83" s="218"/>
      <c r="U83" s="213"/>
    </row>
    <row r="84" spans="1:21" s="214" customFormat="1">
      <c r="A84" s="215" t="s">
        <v>824</v>
      </c>
      <c r="B84" s="216">
        <f t="shared" si="32"/>
        <v>85000</v>
      </c>
      <c r="C84" s="217">
        <v>85000</v>
      </c>
      <c r="D84" s="217"/>
      <c r="E84" s="217">
        <f t="shared" si="33"/>
        <v>85000</v>
      </c>
      <c r="F84" s="217"/>
      <c r="G84" s="217"/>
      <c r="H84" s="217"/>
      <c r="I84" s="217"/>
      <c r="J84" s="217"/>
      <c r="K84" s="217"/>
      <c r="L84" s="217"/>
      <c r="M84" s="217"/>
      <c r="N84" s="217"/>
      <c r="O84" s="217"/>
      <c r="P84" s="217"/>
      <c r="Q84" s="217"/>
      <c r="R84" s="879">
        <f t="shared" si="34"/>
        <v>85000</v>
      </c>
      <c r="S84" s="217">
        <f>C84</f>
        <v>85000</v>
      </c>
      <c r="T84" s="217"/>
      <c r="U84" s="213"/>
    </row>
    <row r="85" spans="1:21" s="214" customFormat="1">
      <c r="A85" s="215" t="s">
        <v>825</v>
      </c>
      <c r="B85" s="216">
        <f t="shared" si="32"/>
        <v>2724312</v>
      </c>
      <c r="C85" s="217">
        <v>2724312</v>
      </c>
      <c r="D85" s="217"/>
      <c r="E85" s="217">
        <f t="shared" si="33"/>
        <v>2724312</v>
      </c>
      <c r="F85" s="217"/>
      <c r="G85" s="217"/>
      <c r="H85" s="217"/>
      <c r="I85" s="217"/>
      <c r="J85" s="217"/>
      <c r="K85" s="217"/>
      <c r="L85" s="217"/>
      <c r="M85" s="217"/>
      <c r="N85" s="217"/>
      <c r="O85" s="217"/>
      <c r="P85" s="217"/>
      <c r="Q85" s="217"/>
      <c r="R85" s="879">
        <f t="shared" si="34"/>
        <v>2724312</v>
      </c>
      <c r="S85" s="217">
        <f t="shared" ref="S85:S86" si="35">C85</f>
        <v>2724312</v>
      </c>
      <c r="T85" s="217"/>
      <c r="U85" s="213"/>
    </row>
    <row r="86" spans="1:21" s="214" customFormat="1">
      <c r="A86" s="215" t="s">
        <v>826</v>
      </c>
      <c r="B86" s="216">
        <f t="shared" si="32"/>
        <v>2277358</v>
      </c>
      <c r="C86" s="217">
        <v>2277358</v>
      </c>
      <c r="D86" s="217"/>
      <c r="E86" s="217">
        <f t="shared" si="33"/>
        <v>2277358</v>
      </c>
      <c r="F86" s="217"/>
      <c r="G86" s="217"/>
      <c r="H86" s="217"/>
      <c r="I86" s="217"/>
      <c r="J86" s="217"/>
      <c r="K86" s="217"/>
      <c r="L86" s="217"/>
      <c r="M86" s="217"/>
      <c r="N86" s="217"/>
      <c r="O86" s="217"/>
      <c r="P86" s="217"/>
      <c r="Q86" s="217"/>
      <c r="R86" s="879">
        <f t="shared" si="34"/>
        <v>2277358</v>
      </c>
      <c r="S86" s="217">
        <f t="shared" si="35"/>
        <v>2277358</v>
      </c>
      <c r="T86" s="217"/>
      <c r="U86" s="213"/>
    </row>
    <row r="87" spans="1:21" s="214" customFormat="1">
      <c r="A87" s="215" t="s">
        <v>827</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828</v>
      </c>
      <c r="B88" s="216">
        <f t="shared" si="32"/>
        <v>124250</v>
      </c>
      <c r="C88" s="217">
        <f>30000+84250+10000</f>
        <v>124250</v>
      </c>
      <c r="D88" s="217"/>
      <c r="E88" s="217">
        <f t="shared" si="33"/>
        <v>124250</v>
      </c>
      <c r="F88" s="217"/>
      <c r="G88" s="217"/>
      <c r="H88" s="217"/>
      <c r="I88" s="217"/>
      <c r="J88" s="217"/>
      <c r="K88" s="217"/>
      <c r="L88" s="217"/>
      <c r="M88" s="217"/>
      <c r="N88" s="217"/>
      <c r="O88" s="217"/>
      <c r="P88" s="217"/>
      <c r="Q88" s="217"/>
      <c r="R88" s="879">
        <f t="shared" si="34"/>
        <v>124250</v>
      </c>
      <c r="S88" s="218"/>
      <c r="T88" s="218"/>
      <c r="U88" s="213"/>
    </row>
    <row r="89" spans="1:21" s="214" customFormat="1">
      <c r="A89" s="215" t="s">
        <v>829</v>
      </c>
      <c r="B89" s="216">
        <f t="shared" si="32"/>
        <v>229500</v>
      </c>
      <c r="C89" s="217">
        <v>229500</v>
      </c>
      <c r="D89" s="217"/>
      <c r="E89" s="217">
        <f t="shared" si="33"/>
        <v>229500</v>
      </c>
      <c r="F89" s="217"/>
      <c r="G89" s="217"/>
      <c r="H89" s="217"/>
      <c r="I89" s="217"/>
      <c r="J89" s="217"/>
      <c r="K89" s="217"/>
      <c r="L89" s="217"/>
      <c r="M89" s="217"/>
      <c r="N89" s="217"/>
      <c r="O89" s="217"/>
      <c r="P89" s="217"/>
      <c r="Q89" s="217"/>
      <c r="R89" s="879">
        <f t="shared" si="34"/>
        <v>229500</v>
      </c>
      <c r="S89" s="217">
        <f>C89</f>
        <v>229500</v>
      </c>
      <c r="T89" s="217"/>
      <c r="U89" s="213"/>
    </row>
    <row r="90" spans="1:21" s="214" customFormat="1">
      <c r="A90" s="215" t="s">
        <v>830</v>
      </c>
      <c r="B90" s="216">
        <f t="shared" si="32"/>
        <v>15000</v>
      </c>
      <c r="C90" s="217">
        <v>15000</v>
      </c>
      <c r="D90" s="217"/>
      <c r="E90" s="217">
        <f t="shared" si="33"/>
        <v>15000</v>
      </c>
      <c r="F90" s="217"/>
      <c r="G90" s="217"/>
      <c r="H90" s="217"/>
      <c r="I90" s="217"/>
      <c r="J90" s="217"/>
      <c r="K90" s="217"/>
      <c r="L90" s="217"/>
      <c r="M90" s="217"/>
      <c r="N90" s="217"/>
      <c r="O90" s="217"/>
      <c r="P90" s="217"/>
      <c r="Q90" s="217"/>
      <c r="R90" s="879">
        <f t="shared" si="34"/>
        <v>15000</v>
      </c>
      <c r="S90" s="217"/>
      <c r="T90" s="217"/>
      <c r="U90" s="213"/>
    </row>
    <row r="91" spans="1:21" s="214" customFormat="1">
      <c r="A91" s="1810" t="s">
        <v>389</v>
      </c>
      <c r="B91" s="216">
        <f t="shared" si="32"/>
        <v>0</v>
      </c>
      <c r="C91" s="217"/>
      <c r="D91" s="217"/>
      <c r="E91" s="217">
        <f t="shared" si="33"/>
        <v>0</v>
      </c>
      <c r="F91" s="217"/>
      <c r="G91" s="217"/>
      <c r="H91" s="217"/>
      <c r="I91" s="217"/>
      <c r="J91" s="217"/>
      <c r="K91" s="217"/>
      <c r="L91" s="217"/>
      <c r="M91" s="217"/>
      <c r="N91" s="217"/>
      <c r="O91" s="217"/>
      <c r="P91" s="217"/>
      <c r="Q91" s="217"/>
      <c r="R91" s="879">
        <f t="shared" si="34"/>
        <v>0</v>
      </c>
      <c r="S91" s="217"/>
      <c r="T91" s="217"/>
      <c r="U91" s="213"/>
    </row>
    <row r="92" spans="1:21" s="214" customFormat="1">
      <c r="A92" s="1809" t="s">
        <v>1420</v>
      </c>
      <c r="B92" s="216">
        <f t="shared" si="32"/>
        <v>15000</v>
      </c>
      <c r="C92" s="217">
        <v>15000</v>
      </c>
      <c r="D92" s="217"/>
      <c r="E92" s="217">
        <f t="shared" si="33"/>
        <v>15000</v>
      </c>
      <c r="F92" s="217"/>
      <c r="G92" s="217"/>
      <c r="H92" s="217"/>
      <c r="I92" s="217"/>
      <c r="J92" s="217"/>
      <c r="K92" s="217"/>
      <c r="L92" s="217"/>
      <c r="M92" s="217"/>
      <c r="N92" s="217"/>
      <c r="O92" s="217"/>
      <c r="P92" s="217"/>
      <c r="Q92" s="217"/>
      <c r="R92" s="879">
        <f t="shared" si="34"/>
        <v>15000</v>
      </c>
      <c r="S92" s="217">
        <f>C92</f>
        <v>15000</v>
      </c>
      <c r="T92" s="217"/>
      <c r="U92" s="213"/>
    </row>
    <row r="93" spans="1:21" s="214" customFormat="1">
      <c r="A93" s="1857" t="s">
        <v>2655</v>
      </c>
      <c r="B93" s="216">
        <f t="shared" si="32"/>
        <v>60000</v>
      </c>
      <c r="C93" s="217">
        <v>60000</v>
      </c>
      <c r="D93" s="217"/>
      <c r="E93" s="217">
        <f t="shared" si="33"/>
        <v>60000</v>
      </c>
      <c r="F93" s="217"/>
      <c r="G93" s="217"/>
      <c r="H93" s="217"/>
      <c r="I93" s="217"/>
      <c r="J93" s="217"/>
      <c r="K93" s="217"/>
      <c r="L93" s="217"/>
      <c r="M93" s="217"/>
      <c r="N93" s="217"/>
      <c r="O93" s="217"/>
      <c r="P93" s="217"/>
      <c r="Q93" s="217"/>
      <c r="R93" s="879">
        <f t="shared" si="34"/>
        <v>60000</v>
      </c>
      <c r="S93" s="217">
        <f>C93</f>
        <v>60000</v>
      </c>
      <c r="T93" s="217"/>
      <c r="U93" s="213"/>
    </row>
    <row r="94" spans="1:21" s="214" customFormat="1">
      <c r="A94" s="1857" t="s">
        <v>2656</v>
      </c>
      <c r="B94" s="216">
        <f t="shared" si="32"/>
        <v>75000</v>
      </c>
      <c r="C94" s="217">
        <v>75000</v>
      </c>
      <c r="D94" s="217"/>
      <c r="E94" s="217">
        <f t="shared" si="33"/>
        <v>75000</v>
      </c>
      <c r="F94" s="217"/>
      <c r="G94" s="217"/>
      <c r="H94" s="217"/>
      <c r="I94" s="217"/>
      <c r="J94" s="217"/>
      <c r="K94" s="217"/>
      <c r="L94" s="217"/>
      <c r="M94" s="217"/>
      <c r="N94" s="217"/>
      <c r="O94" s="217"/>
      <c r="P94" s="217"/>
      <c r="Q94" s="217"/>
      <c r="R94" s="879">
        <f t="shared" si="34"/>
        <v>75000</v>
      </c>
      <c r="S94" s="217">
        <f>C94</f>
        <v>75000</v>
      </c>
      <c r="T94" s="217"/>
      <c r="U94" s="213"/>
    </row>
    <row r="95" spans="1:21" s="214" customFormat="1">
      <c r="A95" s="1857" t="s">
        <v>2657</v>
      </c>
      <c r="B95" s="216">
        <f t="shared" si="32"/>
        <v>192000</v>
      </c>
      <c r="C95" s="217">
        <v>192000</v>
      </c>
      <c r="D95" s="217"/>
      <c r="E95" s="217">
        <f t="shared" si="33"/>
        <v>192000</v>
      </c>
      <c r="F95" s="217"/>
      <c r="G95" s="217"/>
      <c r="H95" s="217"/>
      <c r="I95" s="217"/>
      <c r="J95" s="217"/>
      <c r="K95" s="217"/>
      <c r="L95" s="217"/>
      <c r="M95" s="217"/>
      <c r="N95" s="217"/>
      <c r="O95" s="217"/>
      <c r="P95" s="217"/>
      <c r="Q95" s="217"/>
      <c r="R95" s="879">
        <f t="shared" si="34"/>
        <v>192000</v>
      </c>
      <c r="S95" s="217">
        <f>C95</f>
        <v>192000</v>
      </c>
      <c r="T95" s="217"/>
      <c r="U95" s="213"/>
    </row>
    <row r="96" spans="1:21" s="214" customFormat="1">
      <c r="A96" s="219" t="s">
        <v>831</v>
      </c>
      <c r="B96" s="216">
        <f>SUM(C96:D96)</f>
        <v>6025519</v>
      </c>
      <c r="C96" s="216">
        <f t="shared" ref="C96:R96" si="36">SUM(C83:C95)</f>
        <v>6025519</v>
      </c>
      <c r="D96" s="216">
        <f t="shared" si="36"/>
        <v>0</v>
      </c>
      <c r="E96" s="216">
        <f t="shared" si="36"/>
        <v>6025519</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6025519</v>
      </c>
      <c r="S96" s="220">
        <f>SUM(S84:S87,S89:S95)</f>
        <v>5658170</v>
      </c>
      <c r="T96" s="216">
        <f>SUM(T84:T87,T89:T95)</f>
        <v>0</v>
      </c>
      <c r="U96" s="213"/>
    </row>
    <row r="97" spans="1:21" s="214" customFormat="1">
      <c r="A97" s="219" t="s">
        <v>832</v>
      </c>
      <c r="B97" s="216">
        <f>SUM(C97:D97)</f>
        <v>132350636</v>
      </c>
      <c r="C97" s="216">
        <f t="shared" ref="C97:R97" si="37">SUM(C63+C70+C77+C81+C96)</f>
        <v>132350636</v>
      </c>
      <c r="D97" s="216">
        <f t="shared" si="37"/>
        <v>0</v>
      </c>
      <c r="E97" s="216">
        <f t="shared" si="37"/>
        <v>73209607</v>
      </c>
      <c r="F97" s="216">
        <f t="shared" si="37"/>
        <v>34837029</v>
      </c>
      <c r="G97" s="216">
        <f t="shared" si="37"/>
        <v>12400000</v>
      </c>
      <c r="H97" s="216">
        <f t="shared" si="37"/>
        <v>10000000</v>
      </c>
      <c r="I97" s="216">
        <f t="shared" si="37"/>
        <v>1904000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132350636</v>
      </c>
      <c r="S97" s="216">
        <f>SUM(S63+S70+S81+S96)</f>
        <v>113974542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17096181</v>
      </c>
      <c r="C99" s="1702">
        <v>17096181</v>
      </c>
      <c r="D99" s="1702"/>
      <c r="E99" s="217">
        <f t="shared" ref="E99" si="38">B99-SUM(F99:Q99)</f>
        <v>7299900</v>
      </c>
      <c r="F99" s="217"/>
      <c r="G99" s="217"/>
      <c r="H99" s="217"/>
      <c r="I99" s="217"/>
      <c r="J99" s="217">
        <v>5187794</v>
      </c>
      <c r="K99" s="217">
        <v>4608487</v>
      </c>
      <c r="L99" s="217"/>
      <c r="M99" s="217"/>
      <c r="N99" s="217"/>
      <c r="O99" s="217"/>
      <c r="P99" s="217"/>
      <c r="Q99" s="217"/>
      <c r="R99" s="879">
        <f t="shared" ref="R99:R103" si="39">SUM(E99:Q99)</f>
        <v>17096181</v>
      </c>
      <c r="S99" s="217">
        <f>C99</f>
        <v>17096181</v>
      </c>
      <c r="T99" s="217"/>
      <c r="U99" s="213"/>
    </row>
    <row r="100" spans="1:21" s="214" customFormat="1">
      <c r="A100" s="440" t="s">
        <v>1999</v>
      </c>
      <c r="B100" s="216">
        <f t="shared" ref="B100:B103" si="40">SUM(C100+D100)</f>
        <v>0</v>
      </c>
      <c r="C100" s="217"/>
      <c r="D100" s="217"/>
      <c r="E100" s="217"/>
      <c r="F100" s="217"/>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835</v>
      </c>
      <c r="B101" s="216">
        <f t="shared" si="40"/>
        <v>0</v>
      </c>
      <c r="C101" s="217"/>
      <c r="D101" s="217"/>
      <c r="E101" s="217"/>
      <c r="F101" s="217"/>
      <c r="G101" s="217"/>
      <c r="H101" s="217"/>
      <c r="I101" s="217"/>
      <c r="J101" s="217"/>
      <c r="K101" s="217"/>
      <c r="L101" s="217"/>
      <c r="M101" s="217"/>
      <c r="N101" s="217"/>
      <c r="O101" s="217"/>
      <c r="P101" s="217"/>
      <c r="Q101" s="217"/>
      <c r="R101" s="879">
        <f t="shared" si="39"/>
        <v>0</v>
      </c>
      <c r="S101" s="217"/>
      <c r="T101" s="217"/>
      <c r="U101" s="213"/>
    </row>
    <row r="102" spans="1:21" s="214" customFormat="1">
      <c r="A102" s="440" t="s">
        <v>2000</v>
      </c>
      <c r="B102" s="216">
        <f t="shared" si="40"/>
        <v>0</v>
      </c>
      <c r="C102" s="217"/>
      <c r="D102" s="217"/>
      <c r="E102" s="217"/>
      <c r="F102" s="217"/>
      <c r="G102" s="217"/>
      <c r="H102" s="217"/>
      <c r="I102" s="217"/>
      <c r="J102" s="217"/>
      <c r="K102" s="217"/>
      <c r="L102" s="217"/>
      <c r="M102" s="217"/>
      <c r="N102" s="217"/>
      <c r="O102" s="217"/>
      <c r="P102" s="217"/>
      <c r="Q102" s="217"/>
      <c r="R102" s="879">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79">
        <f t="shared" si="39"/>
        <v>0</v>
      </c>
      <c r="S103" s="217"/>
      <c r="T103" s="217"/>
      <c r="U103" s="213"/>
    </row>
    <row r="104" spans="1:21" s="214" customFormat="1">
      <c r="A104" s="219" t="s">
        <v>836</v>
      </c>
      <c r="B104" s="216">
        <f>SUM(C104:D104)</f>
        <v>17096181</v>
      </c>
      <c r="C104" s="216">
        <f>SUM(C99:C103)</f>
        <v>17096181</v>
      </c>
      <c r="D104" s="216">
        <f t="shared" ref="D104:T104" si="41">SUM(D99:D103)</f>
        <v>0</v>
      </c>
      <c r="E104" s="216">
        <f t="shared" si="41"/>
        <v>7299900</v>
      </c>
      <c r="F104" s="216">
        <f t="shared" si="41"/>
        <v>0</v>
      </c>
      <c r="G104" s="216">
        <f t="shared" si="41"/>
        <v>0</v>
      </c>
      <c r="H104" s="216">
        <f t="shared" si="41"/>
        <v>0</v>
      </c>
      <c r="I104" s="216">
        <f t="shared" si="41"/>
        <v>0</v>
      </c>
      <c r="J104" s="216">
        <f t="shared" si="41"/>
        <v>5187794</v>
      </c>
      <c r="K104" s="216">
        <f t="shared" si="41"/>
        <v>4608487</v>
      </c>
      <c r="L104" s="216">
        <f t="shared" si="41"/>
        <v>0</v>
      </c>
      <c r="M104" s="216">
        <f t="shared" si="41"/>
        <v>0</v>
      </c>
      <c r="N104" s="216">
        <f t="shared" si="41"/>
        <v>0</v>
      </c>
      <c r="O104" s="216">
        <f t="shared" si="41"/>
        <v>0</v>
      </c>
      <c r="P104" s="216">
        <f t="shared" si="41"/>
        <v>0</v>
      </c>
      <c r="Q104" s="216">
        <f t="shared" si="41"/>
        <v>0</v>
      </c>
      <c r="R104" s="534">
        <f t="shared" si="41"/>
        <v>17096181</v>
      </c>
      <c r="S104" s="220">
        <f t="shared" si="41"/>
        <v>17096181</v>
      </c>
      <c r="T104" s="220">
        <f t="shared" si="41"/>
        <v>0</v>
      </c>
      <c r="U104" s="213"/>
    </row>
    <row r="105" spans="1:21" s="214" customFormat="1">
      <c r="A105" s="219" t="s">
        <v>837</v>
      </c>
      <c r="B105" s="220">
        <f>SUM(C105:D105)</f>
        <v>149446817</v>
      </c>
      <c r="C105" s="220">
        <f t="shared" ref="C105:R105" si="42">SUM(C97+C104)</f>
        <v>149446817</v>
      </c>
      <c r="D105" s="220">
        <f t="shared" si="42"/>
        <v>0</v>
      </c>
      <c r="E105" s="220">
        <f t="shared" si="42"/>
        <v>80509507</v>
      </c>
      <c r="F105" s="220">
        <f t="shared" si="42"/>
        <v>34837029</v>
      </c>
      <c r="G105" s="220">
        <f t="shared" si="42"/>
        <v>12400000</v>
      </c>
      <c r="H105" s="220">
        <f t="shared" si="42"/>
        <v>10000000</v>
      </c>
      <c r="I105" s="220">
        <f t="shared" si="42"/>
        <v>1904000</v>
      </c>
      <c r="J105" s="220">
        <f t="shared" si="42"/>
        <v>5187794</v>
      </c>
      <c r="K105" s="220">
        <f t="shared" si="42"/>
        <v>4608487</v>
      </c>
      <c r="L105" s="220">
        <f t="shared" si="42"/>
        <v>0</v>
      </c>
      <c r="M105" s="220">
        <f t="shared" si="42"/>
        <v>0</v>
      </c>
      <c r="N105" s="220">
        <f t="shared" si="42"/>
        <v>0</v>
      </c>
      <c r="O105" s="220">
        <f t="shared" si="42"/>
        <v>0</v>
      </c>
      <c r="P105" s="220">
        <f t="shared" si="42"/>
        <v>0</v>
      </c>
      <c r="Q105" s="220">
        <f t="shared" si="42"/>
        <v>0</v>
      </c>
      <c r="R105" s="534">
        <f t="shared" si="42"/>
        <v>149446817</v>
      </c>
      <c r="S105" s="220">
        <f>S97+S104</f>
        <v>131070723</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131070723</v>
      </c>
      <c r="T107" s="234">
        <f>T105+T106</f>
        <v>0</v>
      </c>
    </row>
    <row r="108" spans="1:21" s="300" customFormat="1">
      <c r="A108" s="233" t="s">
        <v>943</v>
      </c>
      <c r="B108" s="228"/>
      <c r="C108" s="228"/>
      <c r="D108" s="228"/>
      <c r="E108" s="464">
        <f>Application!AO650</f>
        <v>80509507</v>
      </c>
      <c r="F108" s="464">
        <f>Application!AO637</f>
        <v>34837029</v>
      </c>
      <c r="G108" s="464">
        <f>Application!AO638</f>
        <v>12400000</v>
      </c>
      <c r="H108" s="464">
        <f>Application!AO639</f>
        <v>10000000</v>
      </c>
      <c r="I108" s="464">
        <f>Application!AO640</f>
        <v>1904000</v>
      </c>
      <c r="J108" s="464">
        <f>Application!AO641</f>
        <v>5187794</v>
      </c>
      <c r="K108" s="464">
        <f>Application!AO642</f>
        <v>4608487</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8" t="s">
        <v>1095</v>
      </c>
      <c r="E122" s="2578"/>
      <c r="F122" s="257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8" t="s">
        <v>1438</v>
      </c>
      <c r="E123" s="2569"/>
      <c r="F123" s="2569"/>
      <c r="G123" s="2569"/>
      <c r="H123" s="2569"/>
      <c r="I123" s="2569"/>
      <c r="J123" s="2569"/>
      <c r="K123" s="2569"/>
      <c r="L123" s="2569"/>
      <c r="M123" s="2569"/>
      <c r="N123" s="2569"/>
      <c r="O123" s="2569"/>
      <c r="P123" s="2569"/>
      <c r="Q123" s="2569"/>
      <c r="R123" s="2569"/>
      <c r="S123" s="2569"/>
      <c r="T123" s="514"/>
      <c r="U123" s="516"/>
    </row>
    <row r="124" spans="1:21" ht="12.75">
      <c r="A124" s="513" t="s">
        <v>1097</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2.75">
      <c r="A125" s="513" t="s">
        <v>1098</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2.75">
      <c r="A129" s="513" t="s">
        <v>307</v>
      </c>
      <c r="B129" s="523"/>
      <c r="C129" s="513"/>
      <c r="D129" s="2577" t="s">
        <v>1102</v>
      </c>
      <c r="E129" s="2577"/>
      <c r="F129" s="2577"/>
      <c r="G129" s="2577"/>
      <c r="H129" s="257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70" t="s">
        <v>1105</v>
      </c>
      <c r="E132" s="2570"/>
      <c r="F132" s="2570"/>
      <c r="G132" s="2570"/>
      <c r="H132" s="2570"/>
      <c r="I132" s="513"/>
      <c r="J132" s="2570" t="s">
        <v>1106</v>
      </c>
      <c r="K132" s="2570"/>
      <c r="L132" s="2570"/>
      <c r="M132" s="257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2.75">
      <c r="A139" s="2565" t="s">
        <v>1109</v>
      </c>
      <c r="B139" s="2566"/>
      <c r="C139" s="256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R56:R61 R45:R53 R83:R95 R99:R103">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6">
    <cfRule type="cellIs" dxfId="131" priority="229" stopIfTrue="1" operator="notEqual">
      <formula>$B26</formula>
    </cfRule>
    <cfRule type="cellIs" priority="230" stopIfTrue="1" operator="notEqual">
      <formula>$B26</formula>
    </cfRule>
  </conditionalFormatting>
  <conditionalFormatting sqref="R17:R25">
    <cfRule type="cellIs" dxfId="130" priority="228" stopIfTrue="1" operator="notEqual">
      <formula>$B17</formula>
    </cfRule>
  </conditionalFormatting>
  <conditionalFormatting sqref="R27">
    <cfRule type="cellIs" dxfId="129" priority="227" stopIfTrue="1" operator="notEqual">
      <formula>$B27</formula>
    </cfRule>
  </conditionalFormatting>
  <conditionalFormatting sqref="R38">
    <cfRule type="cellIs" dxfId="128" priority="225" stopIfTrue="1" operator="notEqual">
      <formula>$B38</formula>
    </cfRule>
    <cfRule type="cellIs" priority="226" stopIfTrue="1" operator="notEqual">
      <formula>$B38</formula>
    </cfRule>
  </conditionalFormatting>
  <conditionalFormatting sqref="R29:R37">
    <cfRule type="cellIs" dxfId="127" priority="224" stopIfTrue="1" operator="notEqual">
      <formula>$B29</formula>
    </cfRule>
  </conditionalFormatting>
  <conditionalFormatting sqref="R42">
    <cfRule type="cellIs" dxfId="126" priority="222" stopIfTrue="1" operator="notEqual">
      <formula>$B42</formula>
    </cfRule>
    <cfRule type="cellIs" priority="223" stopIfTrue="1" operator="notEqual">
      <formula>$B42</formula>
    </cfRule>
  </conditionalFormatting>
  <conditionalFormatting sqref="R40:R41">
    <cfRule type="cellIs" dxfId="125" priority="221" stopIfTrue="1" operator="notEqual">
      <formula>$B40</formula>
    </cfRule>
  </conditionalFormatting>
  <conditionalFormatting sqref="R43">
    <cfRule type="cellIs" dxfId="124" priority="220" stopIfTrue="1" operator="notEqual">
      <formula>$B43</formula>
    </cfRule>
  </conditionalFormatting>
  <conditionalFormatting sqref="R54">
    <cfRule type="cellIs" dxfId="123" priority="218" stopIfTrue="1" operator="notEqual">
      <formula>$B54</formula>
    </cfRule>
    <cfRule type="cellIs" priority="219" stopIfTrue="1" operator="notEqual">
      <formula>$B54</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70">
    <cfRule type="cellIs" dxfId="121" priority="212" stopIfTrue="1" operator="notEqual">
      <formula>$B70</formula>
    </cfRule>
    <cfRule type="cellIs" priority="213" stopIfTrue="1" operator="notEqual">
      <formula>$B70</formula>
    </cfRule>
  </conditionalFormatting>
  <conditionalFormatting sqref="R65:R69">
    <cfRule type="cellIs" dxfId="120" priority="211" stopIfTrue="1" operator="notEqual">
      <formula>$B65</formula>
    </cfRule>
  </conditionalFormatting>
  <conditionalFormatting sqref="R77">
    <cfRule type="cellIs" dxfId="119" priority="209" stopIfTrue="1" operator="notEqual">
      <formula>$B77</formula>
    </cfRule>
    <cfRule type="cellIs" priority="210" stopIfTrue="1" operator="notEqual">
      <formula>$B77</formula>
    </cfRule>
  </conditionalFormatting>
  <conditionalFormatting sqref="R96">
    <cfRule type="cellIs" dxfId="118" priority="207" stopIfTrue="1" operator="notEqual">
      <formula>$B96</formula>
    </cfRule>
    <cfRule type="cellIs" priority="208" stopIfTrue="1" operator="notEqual">
      <formula>$B96</formula>
    </cfRule>
  </conditionalFormatting>
  <conditionalFormatting sqref="R72:R76">
    <cfRule type="cellIs" dxfId="117" priority="206" stopIfTrue="1" operator="notEqual">
      <formula>$B72</formula>
    </cfRule>
  </conditionalFormatting>
  <conditionalFormatting sqref="R79:R80">
    <cfRule type="cellIs" dxfId="116" priority="205" stopIfTrue="1" operator="notEqual">
      <formula>$B79</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S24">
    <cfRule type="expression" dxfId="105" priority="179" stopIfTrue="1">
      <formula>(S23+T23)&gt;C23</formula>
    </cfRule>
  </conditionalFormatting>
  <conditionalFormatting sqref="S25">
    <cfRule type="expression" dxfId="104" priority="178" stopIfTrue="1">
      <formula>(S25+T25)&gt;C25</formula>
    </cfRule>
  </conditionalFormatting>
  <conditionalFormatting sqref="S27">
    <cfRule type="expression" dxfId="103" priority="171" stopIfTrue="1">
      <formula>(S27+T27)&gt;C27</formula>
    </cfRule>
  </conditionalFormatting>
  <conditionalFormatting sqref="S29:S33">
    <cfRule type="expression" dxfId="102" priority="169" stopIfTrue="1">
      <formula>(S29+T29)&gt;C29</formula>
    </cfRule>
  </conditionalFormatting>
  <conditionalFormatting sqref="S34">
    <cfRule type="expression" dxfId="101" priority="163" stopIfTrue="1">
      <formula>(S34+T34)&gt;C34</formula>
    </cfRule>
  </conditionalFormatting>
  <conditionalFormatting sqref="S35:S36">
    <cfRule type="expression" dxfId="100" priority="162" stopIfTrue="1">
      <formula>(S35+T35)&gt;C35</formula>
    </cfRule>
  </conditionalFormatting>
  <conditionalFormatting sqref="S37">
    <cfRule type="expression" dxfId="99" priority="161" stopIfTrue="1">
      <formula>(S37+T37)&gt;C37</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
    <cfRule type="expression" dxfId="91" priority="138" stopIfTrue="1">
      <formula>(S50+T50)&gt;C50</formula>
    </cfRule>
  </conditionalFormatting>
  <conditionalFormatting sqref="S51:S52">
    <cfRule type="expression" dxfId="90" priority="137" stopIfTrue="1">
      <formula>(S51+T51)&gt;C51</formula>
    </cfRule>
  </conditionalFormatting>
  <conditionalFormatting sqref="S53">
    <cfRule type="expression" dxfId="89" priority="134" stopIfTrue="1">
      <formula>(S53+T53)&gt;C53</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S86">
    <cfRule type="expression" dxfId="85" priority="116" stopIfTrue="1">
      <formula>(S84+T84)&gt;C84</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S93">
    <cfRule type="expression" dxfId="80" priority="105" stopIfTrue="1">
      <formula>(S92+T92)&gt;C92</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1441</v>
      </c>
      <c r="B1" s="2586"/>
      <c r="C1" s="2586"/>
      <c r="D1" s="2586"/>
      <c r="E1" s="2586"/>
      <c r="F1" s="2586"/>
      <c r="G1" s="2586"/>
      <c r="H1" s="2586"/>
      <c r="I1" s="2586"/>
      <c r="J1" s="2587"/>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12400000</v>
      </c>
      <c r="C4" s="566"/>
      <c r="D4" s="566"/>
      <c r="E4" s="567"/>
      <c r="F4" s="567"/>
      <c r="G4" s="567"/>
      <c r="H4" s="567"/>
      <c r="I4" s="567"/>
      <c r="J4" s="567"/>
      <c r="K4" s="563"/>
    </row>
    <row r="5" spans="1:11" s="564" customFormat="1">
      <c r="A5" s="568" t="s">
        <v>29</v>
      </c>
      <c r="B5" s="565">
        <f>'Sources and Uses Budget'!C5</f>
        <v>640000</v>
      </c>
      <c r="C5" s="566"/>
      <c r="D5" s="566"/>
      <c r="E5" s="567"/>
      <c r="F5" s="567"/>
      <c r="G5" s="567"/>
      <c r="H5" s="567"/>
      <c r="I5" s="567"/>
      <c r="J5" s="567"/>
      <c r="K5" s="563"/>
    </row>
    <row r="6" spans="1:11" s="564" customFormat="1">
      <c r="A6" s="568" t="s">
        <v>30</v>
      </c>
      <c r="B6" s="565">
        <f>'Sources and Uses Budget'!C6</f>
        <v>75000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13115000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2391692</v>
      </c>
      <c r="C10" s="566"/>
      <c r="D10" s="566"/>
      <c r="E10" s="565">
        <f>'Sources and Uses Budget'!S10</f>
        <v>2391692</v>
      </c>
      <c r="F10" s="566"/>
      <c r="G10" s="566"/>
      <c r="H10" s="565">
        <f>'Sources and Uses Budget'!T10</f>
        <v>0</v>
      </c>
      <c r="I10" s="566"/>
      <c r="J10" s="566"/>
      <c r="K10" s="563"/>
    </row>
    <row r="11" spans="1:11" s="564" customFormat="1">
      <c r="A11" s="569" t="s">
        <v>630</v>
      </c>
      <c r="B11" s="565">
        <f>'Sources and Uses Budget'!C11</f>
        <v>2391692</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15506692</v>
      </c>
      <c r="C12" s="565">
        <f>SUM(C8+C11)</f>
        <v>0</v>
      </c>
      <c r="D12" s="565">
        <f>SUM(D8+D11)</f>
        <v>0</v>
      </c>
      <c r="E12" s="567"/>
      <c r="F12" s="567"/>
      <c r="G12" s="567"/>
      <c r="H12" s="567"/>
      <c r="I12" s="567"/>
      <c r="J12" s="567"/>
      <c r="K12" s="563"/>
    </row>
    <row r="13" spans="1:11" s="564" customFormat="1">
      <c r="A13" s="570" t="s">
        <v>970</v>
      </c>
      <c r="B13" s="565">
        <f>'Sources and Uses Budget'!C13</f>
        <v>30000</v>
      </c>
      <c r="C13" s="566"/>
      <c r="D13" s="566"/>
      <c r="E13" s="565">
        <f>'Sources and Uses Budget'!S13</f>
        <v>30000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23801788</v>
      </c>
      <c r="C29" s="566"/>
      <c r="D29" s="566"/>
      <c r="E29" s="565">
        <f>'Sources and Uses Budget'!S29</f>
        <v>23801788</v>
      </c>
      <c r="F29" s="566"/>
      <c r="G29" s="566"/>
      <c r="H29" s="565">
        <f>'Sources and Uses Budget'!T29</f>
        <v>0</v>
      </c>
      <c r="I29" s="566"/>
      <c r="J29" s="566"/>
      <c r="K29" s="563"/>
    </row>
    <row r="30" spans="1:11" s="564" customFormat="1">
      <c r="A30" s="215" t="s">
        <v>633</v>
      </c>
      <c r="B30" s="565">
        <f>'Sources and Uses Budget'!C30</f>
        <v>52784548</v>
      </c>
      <c r="C30" s="566"/>
      <c r="D30" s="566"/>
      <c r="E30" s="565">
        <f>'Sources and Uses Budget'!S30</f>
        <v>52784548</v>
      </c>
      <c r="F30" s="566"/>
      <c r="G30" s="566"/>
      <c r="H30" s="565">
        <f>'Sources and Uses Budget'!T30</f>
        <v>0</v>
      </c>
      <c r="I30" s="566"/>
      <c r="J30" s="566"/>
      <c r="K30" s="563"/>
    </row>
    <row r="31" spans="1:11" s="564" customFormat="1">
      <c r="A31" s="215" t="s">
        <v>634</v>
      </c>
      <c r="B31" s="565">
        <f>'Sources and Uses Budget'!C31</f>
        <v>5573262</v>
      </c>
      <c r="C31" s="566"/>
      <c r="D31" s="566"/>
      <c r="E31" s="565">
        <f>'Sources and Uses Budget'!S31</f>
        <v>5573262</v>
      </c>
      <c r="F31" s="566"/>
      <c r="G31" s="566"/>
      <c r="H31" s="565">
        <f>'Sources and Uses Budget'!T31</f>
        <v>0</v>
      </c>
      <c r="I31" s="566"/>
      <c r="J31" s="566"/>
      <c r="K31" s="563"/>
    </row>
    <row r="32" spans="1:11" s="564" customFormat="1">
      <c r="A32" s="215" t="s">
        <v>142</v>
      </c>
      <c r="B32" s="565">
        <f>'Sources and Uses Budget'!C32</f>
        <v>2388541</v>
      </c>
      <c r="C32" s="566"/>
      <c r="D32" s="566"/>
      <c r="E32" s="565">
        <f>'Sources and Uses Budget'!S32</f>
        <v>2388541</v>
      </c>
      <c r="F32" s="566"/>
      <c r="G32" s="566"/>
      <c r="H32" s="565">
        <f>'Sources and Uses Budget'!T32</f>
        <v>0</v>
      </c>
      <c r="I32" s="566"/>
      <c r="J32" s="566"/>
      <c r="K32" s="563"/>
    </row>
    <row r="33" spans="1:11" s="564" customFormat="1">
      <c r="A33" s="215" t="s">
        <v>143</v>
      </c>
      <c r="B33" s="565">
        <f>'Sources and Uses Budget'!C33</f>
        <v>3184722</v>
      </c>
      <c r="C33" s="566"/>
      <c r="D33" s="566"/>
      <c r="E33" s="565">
        <f>'Sources and Uses Budget'!S33</f>
        <v>3184722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1833444</v>
      </c>
      <c r="C35" s="566"/>
      <c r="D35" s="566"/>
      <c r="E35" s="565">
        <f>'Sources and Uses Budget'!S35</f>
        <v>1833444</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89566305</v>
      </c>
      <c r="C38" s="565">
        <f>SUM(C29:C37)</f>
        <v>0</v>
      </c>
      <c r="D38" s="565">
        <f>SUM(D29:D37)</f>
        <v>0</v>
      </c>
      <c r="E38" s="565">
        <f>'Sources and Uses Budget'!S38</f>
        <v>89566305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1575000</v>
      </c>
      <c r="C40" s="566"/>
      <c r="D40" s="566"/>
      <c r="E40" s="565">
        <f>'Sources and Uses Budget'!S40</f>
        <v>1575000</v>
      </c>
      <c r="F40" s="566"/>
      <c r="G40" s="566"/>
      <c r="H40" s="565">
        <f>'Sources and Uses Budget'!T40</f>
        <v>0</v>
      </c>
      <c r="I40" s="566"/>
      <c r="J40" s="566"/>
      <c r="K40" s="563"/>
    </row>
    <row r="41" spans="1:11" s="564" customFormat="1">
      <c r="A41" s="568" t="s">
        <v>151</v>
      </c>
      <c r="B41" s="565">
        <f>'Sources and Uses Budget'!C41</f>
        <v>600000</v>
      </c>
      <c r="C41" s="566"/>
      <c r="D41" s="566"/>
      <c r="E41" s="565">
        <f>'Sources and Uses Budget'!S41</f>
        <v>600000</v>
      </c>
      <c r="F41" s="566"/>
      <c r="G41" s="566"/>
      <c r="H41" s="565">
        <f>'Sources and Uses Budget'!T41</f>
        <v>0</v>
      </c>
      <c r="I41" s="566"/>
      <c r="J41" s="566"/>
      <c r="K41" s="563"/>
    </row>
    <row r="42" spans="1:11" s="564" customFormat="1">
      <c r="A42" s="569" t="s">
        <v>152</v>
      </c>
      <c r="B42" s="565">
        <f>'Sources and Uses Budget'!C42</f>
        <v>2175000</v>
      </c>
      <c r="C42" s="565">
        <f>SUM(C39:C41)</f>
        <v>0</v>
      </c>
      <c r="D42" s="565">
        <f>SUM(D39:D41)</f>
        <v>0</v>
      </c>
      <c r="E42" s="565">
        <f>'Sources and Uses Budget'!S42</f>
        <v>2175000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765000</v>
      </c>
      <c r="C43" s="566"/>
      <c r="D43" s="566"/>
      <c r="E43" s="565">
        <f>'Sources and Uses Budget'!S43</f>
        <v>765000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8279672</v>
      </c>
      <c r="C45" s="566"/>
      <c r="D45" s="566"/>
      <c r="E45" s="565">
        <f>'Sources and Uses Budget'!S45</f>
        <v>6020256</v>
      </c>
      <c r="F45" s="566"/>
      <c r="G45" s="566"/>
      <c r="H45" s="565">
        <f>'Sources and Uses Budget'!T45</f>
        <v>0</v>
      </c>
      <c r="I45" s="566"/>
      <c r="J45" s="566"/>
      <c r="K45" s="563"/>
    </row>
    <row r="46" spans="1:11" s="564" customFormat="1">
      <c r="A46" s="568" t="s">
        <v>156</v>
      </c>
      <c r="B46" s="565">
        <f>'Sources and Uses Budget'!C46</f>
        <v>787199</v>
      </c>
      <c r="C46" s="566"/>
      <c r="D46" s="566"/>
      <c r="E46" s="565">
        <f>'Sources and Uses Budget'!S46</f>
        <v>519225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907646</v>
      </c>
      <c r="C48" s="566"/>
      <c r="D48" s="566"/>
      <c r="E48" s="565">
        <f>'Sources and Uses Budget'!S48</f>
        <v>907646</v>
      </c>
      <c r="F48" s="566"/>
      <c r="G48" s="566"/>
      <c r="H48" s="565">
        <f>'Sources and Uses Budget'!T48</f>
        <v>0</v>
      </c>
      <c r="I48" s="566"/>
      <c r="J48" s="566"/>
      <c r="K48" s="563"/>
    </row>
    <row r="49" spans="1:11" s="564" customFormat="1">
      <c r="A49" s="440" t="s">
        <v>60</v>
      </c>
      <c r="B49" s="565">
        <f>'Sources and Uses Budget'!C49</f>
        <v>873497</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155000</v>
      </c>
      <c r="C51" s="566"/>
      <c r="D51" s="566"/>
      <c r="E51" s="565">
        <f>'Sources and Uses Budget'!S51</f>
        <v>155000</v>
      </c>
      <c r="F51" s="566"/>
      <c r="G51" s="566"/>
      <c r="H51" s="565">
        <f>'Sources and Uses Budget'!T51</f>
        <v>0</v>
      </c>
      <c r="I51" s="566"/>
      <c r="J51" s="566"/>
      <c r="K51" s="563"/>
    </row>
    <row r="52" spans="1:11" s="564" customFormat="1">
      <c r="A52" s="568" t="s">
        <v>160</v>
      </c>
      <c r="B52" s="565">
        <f>'Sources and Uses Budget'!C52</f>
        <v>80000</v>
      </c>
      <c r="C52" s="566"/>
      <c r="D52" s="566"/>
      <c r="E52" s="565">
        <f>'Sources and Uses Budget'!S52</f>
        <v>80000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11163014</v>
      </c>
      <c r="C54" s="572">
        <f>SUM(C45:C53)</f>
        <v>0</v>
      </c>
      <c r="D54" s="572">
        <f>SUM(D45:D53)</f>
        <v>0</v>
      </c>
      <c r="E54" s="565">
        <f>'Sources and Uses Budget'!S54</f>
        <v>7762127</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348371</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308</v>
      </c>
      <c r="B62" s="565">
        <f>'Sources and Uses Budget'!C62</f>
        <v>353371</v>
      </c>
      <c r="C62" s="565">
        <f>SUM(C56:C61)</f>
        <v>0</v>
      </c>
      <c r="D62" s="565">
        <f>SUM(D56:D61)</f>
        <v>0</v>
      </c>
      <c r="E62" s="567"/>
      <c r="F62" s="567"/>
      <c r="G62" s="567"/>
      <c r="H62" s="567"/>
      <c r="I62" s="567"/>
      <c r="J62" s="567"/>
      <c r="K62" s="563"/>
    </row>
    <row r="63" spans="1:11" s="564" customFormat="1">
      <c r="A63" s="576" t="s">
        <v>309</v>
      </c>
      <c r="B63" s="565">
        <f>'Sources and Uses Budget'!C63</f>
        <v>119559382</v>
      </c>
      <c r="C63" s="565">
        <f>SUM(C8+C11+C13+C14+C15+C26+C27+C38+C42+C43+C54+C62)</f>
        <v>0</v>
      </c>
      <c r="D63" s="565">
        <f>SUM(D8+D11+D13+D14+D15+D26+D27+D38+D42+D43+D54+D62)</f>
        <v>0</v>
      </c>
      <c r="E63" s="565">
        <f>'Sources and Uses Budget'!S63</f>
        <v>102690124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175</v>
      </c>
      <c r="B65" s="565">
        <f>'Sources and Uses Budget'!C65</f>
        <v>45000</v>
      </c>
      <c r="C65" s="566"/>
      <c r="D65" s="566"/>
      <c r="E65" s="565">
        <f>'Sources and Uses Budget'!S65</f>
        <v>45000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45000</v>
      </c>
      <c r="C70" s="565">
        <f>SUM(C64:C69)</f>
        <v>0</v>
      </c>
      <c r="D70" s="565">
        <f>SUM(D64:D69)</f>
        <v>0</v>
      </c>
      <c r="E70" s="565">
        <f>'Sources and Uses Budget'!S70</f>
        <v>45000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1139487</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1139487</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4675283</v>
      </c>
      <c r="C79" s="566"/>
      <c r="D79" s="566"/>
      <c r="E79" s="565">
        <f>'Sources and Uses Budget'!S79</f>
        <v>4675283</v>
      </c>
      <c r="F79" s="566"/>
      <c r="G79" s="566"/>
      <c r="H79" s="565">
        <f>'Sources and Uses Budget'!T79</f>
        <v>0</v>
      </c>
      <c r="I79" s="566"/>
      <c r="J79" s="566"/>
      <c r="K79" s="563"/>
    </row>
    <row r="80" spans="1:11" s="564" customFormat="1">
      <c r="A80" s="568" t="s">
        <v>61</v>
      </c>
      <c r="B80" s="565">
        <f>'Sources and Uses Budget'!C80</f>
        <v>905965</v>
      </c>
      <c r="C80" s="566"/>
      <c r="D80" s="566"/>
      <c r="E80" s="565">
        <f>'Sources and Uses Budget'!S80</f>
        <v>905965</v>
      </c>
      <c r="F80" s="566"/>
      <c r="G80" s="566"/>
      <c r="H80" s="565">
        <f>'Sources and Uses Budget'!T80</f>
        <v>0</v>
      </c>
      <c r="I80" s="566"/>
      <c r="J80" s="566"/>
      <c r="K80" s="563"/>
    </row>
    <row r="81" spans="1:11" s="564" customFormat="1">
      <c r="A81" s="569" t="s">
        <v>1418</v>
      </c>
      <c r="B81" s="565">
        <f>'Sources and Uses Budget'!C81</f>
        <v>5581248</v>
      </c>
      <c r="C81" s="565">
        <f>SUM(C79:C80)</f>
        <v>0</v>
      </c>
      <c r="D81" s="565">
        <f>SUM(D79:D80)</f>
        <v>0</v>
      </c>
      <c r="E81" s="565">
        <f>'Sources and Uses Budget'!S81</f>
        <v>5581248</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228099</v>
      </c>
      <c r="C83" s="566"/>
      <c r="D83" s="566"/>
      <c r="E83" s="567"/>
      <c r="F83" s="567"/>
      <c r="G83" s="567"/>
      <c r="H83" s="567"/>
      <c r="I83" s="567"/>
      <c r="J83" s="567"/>
      <c r="K83" s="563"/>
    </row>
    <row r="84" spans="1:11" s="564" customFormat="1">
      <c r="A84" s="215" t="s">
        <v>824</v>
      </c>
      <c r="B84" s="565">
        <f>'Sources and Uses Budget'!C84</f>
        <v>85000</v>
      </c>
      <c r="C84" s="566"/>
      <c r="D84" s="566"/>
      <c r="E84" s="565">
        <f>'Sources and Uses Budget'!S84</f>
        <v>85000</v>
      </c>
      <c r="F84" s="566"/>
      <c r="G84" s="566"/>
      <c r="H84" s="565">
        <f>'Sources and Uses Budget'!T84</f>
        <v>0</v>
      </c>
      <c r="I84" s="566"/>
      <c r="J84" s="566"/>
      <c r="K84" s="563"/>
    </row>
    <row r="85" spans="1:11" s="564" customFormat="1">
      <c r="A85" s="215" t="s">
        <v>825</v>
      </c>
      <c r="B85" s="565">
        <f>'Sources and Uses Budget'!C85</f>
        <v>2724312</v>
      </c>
      <c r="C85" s="566"/>
      <c r="D85" s="566"/>
      <c r="E85" s="565">
        <f>'Sources and Uses Budget'!S85</f>
        <v>2724312</v>
      </c>
      <c r="F85" s="566"/>
      <c r="G85" s="566"/>
      <c r="H85" s="565">
        <f>'Sources and Uses Budget'!T85</f>
        <v>0</v>
      </c>
      <c r="I85" s="566"/>
      <c r="J85" s="566"/>
      <c r="K85" s="563"/>
    </row>
    <row r="86" spans="1:11" s="564" customFormat="1">
      <c r="A86" s="215" t="s">
        <v>826</v>
      </c>
      <c r="B86" s="565">
        <f>'Sources and Uses Budget'!C86</f>
        <v>2277358</v>
      </c>
      <c r="C86" s="566"/>
      <c r="D86" s="566"/>
      <c r="E86" s="565">
        <f>'Sources and Uses Budget'!S86</f>
        <v>2277358</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124250</v>
      </c>
      <c r="C88" s="566"/>
      <c r="D88" s="566"/>
      <c r="E88" s="567"/>
      <c r="F88" s="567"/>
      <c r="G88" s="567"/>
      <c r="H88" s="567"/>
      <c r="I88" s="567"/>
      <c r="J88" s="567"/>
      <c r="K88" s="563"/>
    </row>
    <row r="89" spans="1:11" s="564" customFormat="1">
      <c r="A89" s="215" t="s">
        <v>829</v>
      </c>
      <c r="B89" s="565">
        <f>'Sources and Uses Budget'!C89</f>
        <v>229500</v>
      </c>
      <c r="C89" s="566"/>
      <c r="D89" s="566"/>
      <c r="E89" s="565">
        <f>'Sources and Uses Budget'!S89</f>
        <v>229500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Green Consultant</v>
      </c>
      <c r="B93" s="565">
        <f>'Sources and Uses Budget'!C93</f>
        <v>60000</v>
      </c>
      <c r="C93" s="566"/>
      <c r="D93" s="566"/>
      <c r="E93" s="565">
        <f>'Sources and Uses Budget'!S93</f>
        <v>60000</v>
      </c>
      <c r="F93" s="566"/>
      <c r="G93" s="566"/>
      <c r="H93" s="565">
        <f>'Sources and Uses Budget'!T93</f>
        <v>0</v>
      </c>
      <c r="I93" s="566"/>
      <c r="J93" s="566"/>
      <c r="K93" s="563"/>
    </row>
    <row r="94" spans="1:11" s="564" customFormat="1">
      <c r="A94" s="571" t="str">
        <f>'Sources and Uses Budget'!$A94</f>
        <v>Deputy Inspections</v>
      </c>
      <c r="B94" s="565">
        <f>'Sources and Uses Budget'!C94</f>
        <v>75000</v>
      </c>
      <c r="C94" s="566"/>
      <c r="D94" s="566"/>
      <c r="E94" s="565">
        <f>'Sources and Uses Budget'!S94</f>
        <v>75000</v>
      </c>
      <c r="F94" s="566"/>
      <c r="G94" s="566"/>
      <c r="H94" s="565">
        <f>'Sources and Uses Budget'!T94</f>
        <v>0</v>
      </c>
      <c r="I94" s="566"/>
      <c r="J94" s="566"/>
      <c r="K94" s="563"/>
    </row>
    <row r="95" spans="1:11" s="564" customFormat="1">
      <c r="A95" s="571" t="str">
        <f>'Sources and Uses Budget'!$A95</f>
        <v>Security During Construciton</v>
      </c>
      <c r="B95" s="565">
        <f>'Sources and Uses Budget'!C95</f>
        <v>192000</v>
      </c>
      <c r="C95" s="566"/>
      <c r="D95" s="566"/>
      <c r="E95" s="565">
        <f>'Sources and Uses Budget'!S95</f>
        <v>192000</v>
      </c>
      <c r="F95" s="566"/>
      <c r="G95" s="566"/>
      <c r="H95" s="565">
        <f>'Sources and Uses Budget'!T95</f>
        <v>0</v>
      </c>
      <c r="I95" s="566"/>
      <c r="J95" s="566"/>
      <c r="K95" s="563"/>
    </row>
    <row r="96" spans="1:11" s="564" customFormat="1">
      <c r="A96" s="569" t="s">
        <v>831</v>
      </c>
      <c r="B96" s="565">
        <f>'Sources and Uses Budget'!C96</f>
        <v>6025519</v>
      </c>
      <c r="C96" s="565">
        <f>SUM(C83:C95)</f>
        <v>0</v>
      </c>
      <c r="D96" s="565">
        <f>SUM(D83:D95)</f>
        <v>0</v>
      </c>
      <c r="E96" s="565">
        <f>'Sources and Uses Budget'!S96</f>
        <v>5658170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132350636</v>
      </c>
      <c r="C97" s="565">
        <f>SUM(C63+C70+C77+C81+C96)</f>
        <v>0</v>
      </c>
      <c r="D97" s="565">
        <f>SUM(D63+D70+D77+D81+D96)</f>
        <v>0</v>
      </c>
      <c r="E97" s="565">
        <f>'Sources and Uses Budget'!S97</f>
        <v>113974542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17096181</v>
      </c>
      <c r="C99" s="566"/>
      <c r="D99" s="566"/>
      <c r="E99" s="565">
        <f>'Sources and Uses Budget'!S99</f>
        <v>17096181</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17096181</v>
      </c>
      <c r="C104" s="565">
        <f>SUM(C99:C103)</f>
        <v>0</v>
      </c>
      <c r="D104" s="565">
        <f>SUM(D99:D103)</f>
        <v>0</v>
      </c>
      <c r="E104" s="565">
        <f>'Sources and Uses Budget'!S104</f>
        <v>17096181</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149446817</v>
      </c>
      <c r="C105" s="572">
        <f>SUM(C97+C104)</f>
        <v>0</v>
      </c>
      <c r="D105" s="572">
        <f>SUM(D97+D104)</f>
        <v>0</v>
      </c>
      <c r="E105" s="565">
        <f>'Sources and Uses Budget'!S105</f>
        <v>131070723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131070723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88" t="s">
        <v>2032</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2033</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4" t="str">
        <f>IF(Application!H18="","",Application!H18)</f>
        <v>515 Pioneer Drive</v>
      </c>
      <c r="M4" s="2595"/>
      <c r="N4" s="2595"/>
      <c r="O4" s="2595"/>
      <c r="P4" s="2595"/>
      <c r="Q4" s="2595"/>
      <c r="R4" s="2595"/>
      <c r="S4" s="2595"/>
      <c r="T4" s="2595"/>
      <c r="U4" s="2595"/>
      <c r="V4" s="2595"/>
      <c r="W4" s="2595"/>
      <c r="X4" s="2595"/>
      <c r="Y4" s="2595"/>
      <c r="Z4" s="2595"/>
      <c r="AA4" s="2595"/>
      <c r="AB4" s="2595"/>
      <c r="AC4" s="2596"/>
      <c r="AD4" s="1529"/>
      <c r="AE4" s="1529"/>
      <c r="AF4" s="2597" t="s">
        <v>2034</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2035</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18" t="str">
        <f>IF(Application!H16="","",Application!H16)</f>
        <v>Linc Housing Corporation</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24" t="e">
        <f>VLOOKUP("CalHFA Permanent Loan",Application!C564:AS575,37,TRUE)</f>
        <v>#N/A</v>
      </c>
      <c r="O10" s="2625"/>
      <c r="P10" s="2625"/>
      <c r="Q10" s="2625"/>
      <c r="R10" s="2625"/>
      <c r="S10" s="2625"/>
      <c r="T10" s="2626"/>
      <c r="U10" s="1529"/>
      <c r="V10" s="1529"/>
      <c r="W10" s="1529"/>
      <c r="X10" s="2604" t="s">
        <v>2040</v>
      </c>
      <c r="Y10" s="2605"/>
      <c r="Z10" s="2605"/>
      <c r="AA10" s="2605"/>
      <c r="AB10" s="2605"/>
      <c r="AC10" s="2605"/>
      <c r="AD10" s="2605"/>
      <c r="AE10" s="2605"/>
      <c r="AF10" s="2605"/>
      <c r="AG10" s="2605"/>
      <c r="AH10" s="2605"/>
      <c r="AI10" s="2605"/>
      <c r="AJ10" s="2605"/>
      <c r="AK10" s="2606"/>
      <c r="AL10" s="2610">
        <f>Application!W471</f>
        <v>120</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2042</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2043</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thickBot="1">
      <c r="A13" s="1818"/>
      <c r="B13" s="2604" t="s">
        <v>2044</v>
      </c>
      <c r="C13" s="2605"/>
      <c r="D13" s="2605"/>
      <c r="E13" s="2605"/>
      <c r="F13" s="2605"/>
      <c r="G13" s="2605"/>
      <c r="H13" s="2605"/>
      <c r="I13" s="2605"/>
      <c r="J13" s="2605"/>
      <c r="K13" s="2605"/>
      <c r="L13" s="2605"/>
      <c r="M13" s="2605"/>
      <c r="N13" s="2605"/>
      <c r="O13" s="2605"/>
      <c r="P13" s="2606"/>
      <c r="Q13" s="2613" t="s">
        <v>2038</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4" t="s">
        <v>2045</v>
      </c>
      <c r="C15" s="2614"/>
      <c r="D15" s="2614"/>
      <c r="E15" s="2614"/>
      <c r="F15" s="2614"/>
      <c r="G15" s="2614"/>
      <c r="H15" s="2614"/>
      <c r="I15" s="2614"/>
      <c r="J15" s="2614"/>
      <c r="K15" s="2614"/>
      <c r="L15" s="2615"/>
      <c r="M15" s="2597" t="s">
        <v>2046</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3" t="s">
        <v>2047</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2048</v>
      </c>
      <c r="C18" s="2637"/>
      <c r="D18" s="2637"/>
      <c r="E18" s="2637"/>
      <c r="F18" s="2637"/>
      <c r="G18" s="2637"/>
      <c r="H18" s="2637"/>
      <c r="I18" s="2638"/>
      <c r="J18" s="2639" t="s">
        <v>1880</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2049</v>
      </c>
      <c r="AU18" s="2640"/>
      <c r="AV18" s="2640"/>
      <c r="AW18" s="2640"/>
      <c r="AX18" s="2640"/>
      <c r="AY18" s="2642"/>
      <c r="AZ18" s="1529"/>
      <c r="BA18" s="1529"/>
      <c r="BB18" s="1529"/>
      <c r="BC18" s="1529"/>
      <c r="BD18" s="1529"/>
      <c r="BE18" s="1535"/>
    </row>
    <row r="19" spans="1:58" ht="15">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 customHeight="1">
      <c r="A20" s="1818"/>
      <c r="B20" s="2649">
        <v>0.3</v>
      </c>
      <c r="C20" s="2650"/>
      <c r="D20" s="2650"/>
      <c r="E20" s="2650"/>
      <c r="F20" s="2650"/>
      <c r="G20" s="2650"/>
      <c r="H20" s="2650"/>
      <c r="I20" s="2650"/>
      <c r="J20" s="2639">
        <f t="shared" ref="J20:J27" si="1">SUM(P20:AS20)</f>
        <v>34</v>
      </c>
      <c r="K20" s="2640"/>
      <c r="L20" s="2640"/>
      <c r="M20" s="2640"/>
      <c r="N20" s="2640"/>
      <c r="O20" s="2641"/>
      <c r="P20" s="2643" cm="1">
        <f t="array" ref="P20">SUMPRODUCT((Application!$B$728:$B$752 = 'CalHFA Addendum'!P$18)*(Application!$AH$728:$AH$752 = 'CalHFA Addendum'!$B20),Application!$G$728:$G$752)</f>
        <v>32</v>
      </c>
      <c r="Q20" s="2644"/>
      <c r="R20" s="2644"/>
      <c r="S20" s="2644"/>
      <c r="T20" s="2644"/>
      <c r="U20" s="2645"/>
      <c r="V20" s="2643" cm="1">
        <f t="array" ref="V20">SUMPRODUCT((Application!$B$728:$B$752 = 'CalHFA Addendum'!V$18)*(Application!$AH$728:$AH$752 = 'CalHFA Addendum'!$B20),Application!$G$728:$G$752)</f>
        <v>2</v>
      </c>
      <c r="W20" s="2644"/>
      <c r="X20" s="2644"/>
      <c r="Y20" s="2644"/>
      <c r="Z20" s="2644"/>
      <c r="AA20" s="2645"/>
      <c r="AB20" s="2643" cm="1">
        <f t="array" ref="AB20">SUMPRODUCT((Application!$B$728:$B$752 = 'CalHFA Addendum'!AB$18)*(Application!$AH$728:$AH$752 = 'CalHFA Addendum'!$B20),Application!$G$728:$G$752)</f>
        <v>0</v>
      </c>
      <c r="AC20" s="2644"/>
      <c r="AD20" s="2644"/>
      <c r="AE20" s="2644"/>
      <c r="AF20" s="2644"/>
      <c r="AG20" s="2645"/>
      <c r="AH20" s="2643" cm="1">
        <f t="array" ref="AH20">SUMPRODUCT((Application!$B$728:$B$752 = 'CalHFA Addendum'!AH$18)*(Application!$AH$728:$AH$752 = 'CalHFA Addendum'!$B20),Application!$G$728:$G$752)</f>
        <v>0</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0.1</v>
      </c>
      <c r="AU20" s="2647"/>
      <c r="AV20" s="2647"/>
      <c r="AW20" s="2647"/>
      <c r="AX20" s="2647"/>
      <c r="AY20" s="2648"/>
      <c r="AZ20" s="1529"/>
      <c r="BA20" s="1529"/>
      <c r="BB20" s="1529"/>
      <c r="BC20" s="1529"/>
      <c r="BD20" s="1529"/>
      <c r="BE20" s="1535"/>
    </row>
    <row r="21" spans="1:58" ht="15">
      <c r="A21" s="1818"/>
      <c r="B21" s="2649">
        <v>0.4</v>
      </c>
      <c r="C21" s="2650"/>
      <c r="D21" s="2650"/>
      <c r="E21" s="2650"/>
      <c r="F21" s="2650"/>
      <c r="G21" s="2650"/>
      <c r="H21" s="2650"/>
      <c r="I21" s="2650"/>
      <c r="J21" s="2639">
        <f t="shared" si="1"/>
        <v>48</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48</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0.14117647058823529</v>
      </c>
      <c r="AU21" s="2647"/>
      <c r="AV21" s="2647"/>
      <c r="AW21" s="2647"/>
      <c r="AX21" s="2647"/>
      <c r="AY21" s="2648"/>
      <c r="AZ21" s="1529"/>
      <c r="BA21" s="1529"/>
      <c r="BB21" s="1529"/>
      <c r="BC21" s="1529"/>
      <c r="BD21" s="1529"/>
      <c r="BE21" s="1535"/>
    </row>
    <row r="22" spans="1:58" ht="15">
      <c r="A22" s="1818"/>
      <c r="B22" s="2649">
        <v>0.5</v>
      </c>
      <c r="C22" s="2650"/>
      <c r="D22" s="2650"/>
      <c r="E22" s="2650"/>
      <c r="F22" s="2650"/>
      <c r="G22" s="2650"/>
      <c r="H22" s="2650"/>
      <c r="I22" s="2650"/>
      <c r="J22" s="2639">
        <f t="shared" si="1"/>
        <v>34</v>
      </c>
      <c r="K22" s="2640"/>
      <c r="L22" s="2640"/>
      <c r="M22" s="2640"/>
      <c r="N22" s="2640"/>
      <c r="O22" s="2641"/>
      <c r="P22" s="2643" cm="1">
        <f t="array" ref="P22">SUMPRODUCT((Application!$B$728:$B$752 = 'CalHFA Addendum'!P$18)*(Application!$AH$728:$AH$752 = 'CalHFA Addendum'!$B22),Application!$G$728:$G$752)</f>
        <v>0</v>
      </c>
      <c r="Q22" s="2644"/>
      <c r="R22" s="2644"/>
      <c r="S22" s="2644"/>
      <c r="T22" s="2644"/>
      <c r="U22" s="2645"/>
      <c r="V22" s="2643" cm="1">
        <f t="array" ref="V22">SUMPRODUCT((Application!$B$728:$B$752 = 'CalHFA Addendum'!V$18)*(Application!$AH$728:$AH$752 = 'CalHFA Addendum'!$B22),Application!$G$728:$G$752)</f>
        <v>29</v>
      </c>
      <c r="W22" s="2644"/>
      <c r="X22" s="2644"/>
      <c r="Y22" s="2644"/>
      <c r="Z22" s="2644"/>
      <c r="AA22" s="2645"/>
      <c r="AB22" s="2643" cm="1">
        <f t="array" ref="AB22">SUMPRODUCT((Application!$B$728:$B$752 = 'CalHFA Addendum'!AB$18)*(Application!$AH$728:$AH$752 = 'CalHFA Addendum'!$B22),Application!$G$728:$G$752)</f>
        <v>5</v>
      </c>
      <c r="AC22" s="2644"/>
      <c r="AD22" s="2644"/>
      <c r="AE22" s="2644"/>
      <c r="AF22" s="2644"/>
      <c r="AG22" s="2645"/>
      <c r="AH22" s="2643" cm="1">
        <f t="array" ref="AH22">SUMPRODUCT((Application!$B$728:$B$752 = 'CalHFA Addendum'!AH$18)*(Application!$AH$728:$AH$752 = 'CalHFA Addendum'!$B22),Application!$G$728:$G$752)</f>
        <v>0</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0.1</v>
      </c>
      <c r="AU22" s="2647"/>
      <c r="AV22" s="2647"/>
      <c r="AW22" s="2647"/>
      <c r="AX22" s="2647"/>
      <c r="AY22" s="2648"/>
      <c r="AZ22" s="1529"/>
      <c r="BA22" s="1529"/>
      <c r="BB22" s="1529"/>
      <c r="BC22" s="1529"/>
      <c r="BD22" s="1529"/>
      <c r="BE22" s="1535"/>
    </row>
    <row r="23" spans="1:58" ht="15">
      <c r="A23" s="1818"/>
      <c r="B23" s="2649">
        <v>0.6</v>
      </c>
      <c r="C23" s="2650"/>
      <c r="D23" s="2650"/>
      <c r="E23" s="2650"/>
      <c r="F23" s="2650"/>
      <c r="G23" s="2650"/>
      <c r="H23" s="2650"/>
      <c r="I23" s="2650"/>
      <c r="J23" s="2639">
        <f t="shared" si="1"/>
        <v>131</v>
      </c>
      <c r="K23" s="2640"/>
      <c r="L23" s="2640"/>
      <c r="M23" s="2640"/>
      <c r="N23" s="2640"/>
      <c r="O23" s="2641"/>
      <c r="P23" s="2643" cm="1">
        <f t="array" ref="P23">SUMPRODUCT((Application!$B$728:$B$752 = 'CalHFA Addendum'!P$18)*(Application!$AH$728:$AH$752 = 'CalHFA Addendum'!$B23),Application!$G$728:$G$752)</f>
        <v>0</v>
      </c>
      <c r="Q23" s="2644"/>
      <c r="R23" s="2644"/>
      <c r="S23" s="2644"/>
      <c r="T23" s="2644"/>
      <c r="U23" s="2645"/>
      <c r="V23" s="2643" cm="1">
        <f t="array" ref="V23">SUMPRODUCT((Application!$B$728:$B$752 = 'CalHFA Addendum'!V$18)*(Application!$AH$728:$AH$752 = 'CalHFA Addendum'!$B23),Application!$G$728:$G$752)</f>
        <v>131</v>
      </c>
      <c r="W23" s="2644"/>
      <c r="X23" s="2644"/>
      <c r="Y23" s="2644"/>
      <c r="Z23" s="2644"/>
      <c r="AA23" s="2645"/>
      <c r="AB23" s="2643" cm="1">
        <f t="array" ref="AB23">SUMPRODUCT((Application!$B$728:$B$752 = 'CalHFA Addendum'!AB$18)*(Application!$AH$728:$AH$752 = 'CalHFA Addendum'!$B23),Application!$G$728:$G$752)</f>
        <v>0</v>
      </c>
      <c r="AC23" s="2644"/>
      <c r="AD23" s="2644"/>
      <c r="AE23" s="2644"/>
      <c r="AF23" s="2644"/>
      <c r="AG23" s="2645"/>
      <c r="AH23" s="2643" cm="1">
        <f t="array" ref="AH23">SUMPRODUCT((Application!$B$728:$B$752 = 'CalHFA Addendum'!AH$18)*(Application!$AH$728:$AH$752 = 'CalHFA Addendum'!$B23),Application!$G$728:$G$752)</f>
        <v>0</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0.38529411764705884</v>
      </c>
      <c r="AU23" s="2647"/>
      <c r="AV23" s="2647"/>
      <c r="AW23" s="2647"/>
      <c r="AX23" s="2647"/>
      <c r="AY23" s="2648"/>
      <c r="AZ23" s="1529"/>
      <c r="BA23" s="1529"/>
      <c r="BB23" s="1529"/>
      <c r="BC23" s="1529"/>
      <c r="BD23" s="1529"/>
      <c r="BE23" s="1535"/>
    </row>
    <row r="24" spans="1:58" ht="15">
      <c r="A24" s="1818"/>
      <c r="B24" s="2649">
        <v>0.7</v>
      </c>
      <c r="C24" s="2650"/>
      <c r="D24" s="2650"/>
      <c r="E24" s="2650"/>
      <c r="F24" s="2650"/>
      <c r="G24" s="2650"/>
      <c r="H24" s="2650"/>
      <c r="I24" s="2650"/>
      <c r="J24" s="2639">
        <f t="shared" si="1"/>
        <v>0</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0</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29"/>
      <c r="BA24" s="1529"/>
      <c r="BB24" s="1529"/>
      <c r="BC24" s="1529"/>
      <c r="BD24" s="1529"/>
      <c r="BE24" s="1535"/>
    </row>
    <row r="25" spans="1:58" ht="15">
      <c r="A25" s="1818"/>
      <c r="B25" s="2649">
        <v>0.8</v>
      </c>
      <c r="C25" s="2650"/>
      <c r="D25" s="2650"/>
      <c r="E25" s="2650"/>
      <c r="F25" s="2650"/>
      <c r="G25" s="2650"/>
      <c r="H25" s="2650"/>
      <c r="I25" s="2650"/>
      <c r="J25" s="2639">
        <f t="shared" si="1"/>
        <v>90</v>
      </c>
      <c r="K25" s="2640"/>
      <c r="L25" s="2640"/>
      <c r="M25" s="2640"/>
      <c r="N25" s="2640"/>
      <c r="O25" s="2641"/>
      <c r="P25" s="2643" cm="1">
        <f t="array" ref="P25">SUMPRODUCT((Application!$B$728:$B$752 = 'CalHFA Addendum'!P$18)*(Application!$AH$728:$AH$752 = 'CalHFA Addendum'!$B25),Application!$G$728:$G$752)</f>
        <v>0</v>
      </c>
      <c r="Q25" s="2644"/>
      <c r="R25" s="2644"/>
      <c r="S25" s="2644"/>
      <c r="T25" s="2644"/>
      <c r="U25" s="2645"/>
      <c r="V25" s="2643" cm="1">
        <f t="array" ref="V25">SUMPRODUCT((Application!$B$728:$B$752 = 'CalHFA Addendum'!V$18)*(Application!$AH$728:$AH$752 = 'CalHFA Addendum'!$B25),Application!$G$728:$G$752)</f>
        <v>50</v>
      </c>
      <c r="W25" s="2644"/>
      <c r="X25" s="2644"/>
      <c r="Y25" s="2644"/>
      <c r="Z25" s="2644"/>
      <c r="AA25" s="2645"/>
      <c r="AB25" s="2643" cm="1">
        <f t="array" ref="AB25">SUMPRODUCT((Application!$B$728:$B$752 = 'CalHFA Addendum'!AB$18)*(Application!$AH$728:$AH$752 = 'CalHFA Addendum'!$B25),Application!$G$728:$G$752)</f>
        <v>40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0.26470588235294118</v>
      </c>
      <c r="AU25" s="2647"/>
      <c r="AV25" s="2647"/>
      <c r="AW25" s="2647"/>
      <c r="AX25" s="2647"/>
      <c r="AY25" s="2648"/>
      <c r="AZ25" s="1529"/>
      <c r="BA25" s="1529"/>
      <c r="BB25" s="1529"/>
      <c r="BC25" s="1529"/>
      <c r="BD25" s="1529"/>
      <c r="BE25" s="1535"/>
    </row>
    <row r="26" spans="1:58" ht="15">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5">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thickBot="1">
      <c r="A28" s="1818"/>
      <c r="B28" s="2661" t="s">
        <v>2050</v>
      </c>
      <c r="C28" s="2662"/>
      <c r="D28" s="2662"/>
      <c r="E28" s="2662"/>
      <c r="F28" s="2662"/>
      <c r="G28" s="2662"/>
      <c r="H28" s="2662"/>
      <c r="I28" s="2663"/>
      <c r="J28" s="2639">
        <f t="shared" ref="J28" si="2">SUM(P28:AS28)</f>
        <v>3</v>
      </c>
      <c r="K28" s="2640"/>
      <c r="L28" s="2640"/>
      <c r="M28" s="2640"/>
      <c r="N28" s="2640"/>
      <c r="O28" s="2641"/>
      <c r="P28" s="2651">
        <f>_xlfn.IFNA(VLOOKUP(P$18,Application!$J$772:$S$775,6,FALSE), 0)</f>
        <v>0</v>
      </c>
      <c r="Q28" s="2652"/>
      <c r="R28" s="2652"/>
      <c r="S28" s="2652"/>
      <c r="T28" s="2652"/>
      <c r="U28" s="2653"/>
      <c r="V28" s="2651">
        <f>_xlfn.IFNA(VLOOKUP(V$18,Application!$J$772:$S$775,6,FALSE), 0)</f>
        <v>0</v>
      </c>
      <c r="W28" s="2652"/>
      <c r="X28" s="2652"/>
      <c r="Y28" s="2652"/>
      <c r="Z28" s="2652"/>
      <c r="AA28" s="2653"/>
      <c r="AB28" s="2651">
        <f>_xlfn.IFNA(VLOOKUP(AB$18,Application!$J$772:$S$775,6,FALSE), 0)</f>
        <v>3</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8.8235294117647058E-3</v>
      </c>
      <c r="AU28" s="2647"/>
      <c r="AV28" s="2647"/>
      <c r="AW28" s="2647"/>
      <c r="AX28" s="2647"/>
      <c r="AY28" s="2648"/>
      <c r="AZ28" s="1529"/>
      <c r="BA28" s="1529"/>
      <c r="BB28" s="1529"/>
      <c r="BC28" s="1529"/>
      <c r="BD28" s="1529"/>
      <c r="BE28" s="1535"/>
    </row>
    <row r="29" spans="1:58" thickBot="1">
      <c r="A29" s="1818"/>
      <c r="B29" s="2654" t="s">
        <v>1880</v>
      </c>
      <c r="C29" s="2655"/>
      <c r="D29" s="2655"/>
      <c r="E29" s="2655"/>
      <c r="F29" s="2655"/>
      <c r="G29" s="2655"/>
      <c r="H29" s="2655"/>
      <c r="I29" s="2656"/>
      <c r="J29" s="2657">
        <f>SUM(J19:O28)</f>
        <v>340</v>
      </c>
      <c r="K29" s="2655"/>
      <c r="L29" s="2655"/>
      <c r="M29" s="2655"/>
      <c r="N29" s="2655"/>
      <c r="O29" s="2656"/>
      <c r="P29" s="2657">
        <f>SUM(P19:U28)</f>
        <v>32</v>
      </c>
      <c r="Q29" s="2655"/>
      <c r="R29" s="2655"/>
      <c r="S29" s="2655"/>
      <c r="T29" s="2655"/>
      <c r="U29" s="2656"/>
      <c r="V29" s="2657">
        <f>SUM(V19:AA28)</f>
        <v>260</v>
      </c>
      <c r="W29" s="2655"/>
      <c r="X29" s="2655"/>
      <c r="Y29" s="2655"/>
      <c r="Z29" s="2655"/>
      <c r="AA29" s="2656"/>
      <c r="AB29" s="2657">
        <f>SUM(AB19:AG28)</f>
        <v>48</v>
      </c>
      <c r="AC29" s="2655"/>
      <c r="AD29" s="2655"/>
      <c r="AE29" s="2655"/>
      <c r="AF29" s="2655"/>
      <c r="AG29" s="2656"/>
      <c r="AH29" s="2657">
        <f>SUM(AH19:AM28)</f>
        <v>0</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4" t="s">
        <v>2051</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thickBot="1">
      <c r="A32" s="1818"/>
      <c r="B32" s="2667" t="s">
        <v>2052</v>
      </c>
      <c r="C32" s="2668"/>
      <c r="D32" s="2668"/>
      <c r="E32" s="2668"/>
      <c r="F32" s="2668"/>
      <c r="G32" s="2668"/>
      <c r="H32" s="2668"/>
      <c r="I32" s="2669"/>
      <c r="J32" s="2671" t="s">
        <v>2053</v>
      </c>
      <c r="K32" s="2672"/>
      <c r="L32" s="2672"/>
      <c r="M32" s="2673"/>
      <c r="N32" s="2671" t="s">
        <v>2054</v>
      </c>
      <c r="O32" s="2672"/>
      <c r="P32" s="2672"/>
      <c r="Q32" s="2672"/>
      <c r="R32" s="2675" t="s">
        <v>2055</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 customHeight="1">
      <c r="A33" s="1818"/>
      <c r="B33" s="2670"/>
      <c r="C33" s="2668"/>
      <c r="D33" s="2668"/>
      <c r="E33" s="2668"/>
      <c r="F33" s="2668"/>
      <c r="G33" s="2668"/>
      <c r="H33" s="2668"/>
      <c r="I33" s="2669"/>
      <c r="J33" s="2674"/>
      <c r="K33" s="2672"/>
      <c r="L33" s="2672"/>
      <c r="M33" s="2673"/>
      <c r="N33" s="2674"/>
      <c r="O33" s="2672"/>
      <c r="P33" s="2672"/>
      <c r="Q33" s="2672"/>
      <c r="R33" s="2678" t="s">
        <v>2056</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2057</v>
      </c>
      <c r="AP35" s="2697"/>
      <c r="AQ35" s="2697"/>
      <c r="AR35" s="2697"/>
      <c r="AS35" s="2697"/>
      <c r="AT35" s="2698"/>
      <c r="AU35" s="2696" t="s">
        <v>2058</v>
      </c>
      <c r="AV35" s="2697"/>
      <c r="AW35" s="2697"/>
      <c r="AX35" s="2697"/>
      <c r="AY35" s="2697"/>
      <c r="AZ35" s="2698"/>
      <c r="BA35" s="1536"/>
      <c r="BB35" s="1529"/>
      <c r="BC35" s="1529"/>
      <c r="BD35" s="1529"/>
      <c r="BE35" s="1535"/>
      <c r="BF35" s="1527"/>
    </row>
    <row r="36" spans="1:58" ht="15.75" customHeight="1">
      <c r="A36" s="1818"/>
      <c r="B36" s="2699" t="s">
        <v>2059</v>
      </c>
      <c r="C36" s="2700"/>
      <c r="D36" s="2700"/>
      <c r="E36" s="2700"/>
      <c r="F36" s="2700"/>
      <c r="G36" s="2700"/>
      <c r="H36" s="2700"/>
      <c r="I36" s="2701"/>
      <c r="J36" s="2702" t="s">
        <v>2060</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0.29117647058823531</v>
      </c>
      <c r="AV36" s="2710"/>
      <c r="AW36" s="2710"/>
      <c r="AX36" s="2710"/>
      <c r="AY36" s="2710"/>
      <c r="AZ36" s="2710"/>
      <c r="BA36" s="1529"/>
      <c r="BB36" s="1529"/>
      <c r="BC36" s="1529"/>
      <c r="BD36" s="1529"/>
      <c r="BE36" s="1535"/>
      <c r="BF36" s="1527"/>
    </row>
    <row r="37" spans="1:58" ht="15.75" customHeight="1">
      <c r="A37" s="1818"/>
      <c r="B37" s="2687" t="s">
        <v>2061</v>
      </c>
      <c r="C37" s="2688"/>
      <c r="D37" s="2688"/>
      <c r="E37" s="2688"/>
      <c r="F37" s="2688"/>
      <c r="G37" s="2688"/>
      <c r="H37" s="2688"/>
      <c r="I37" s="2689"/>
      <c r="J37" s="2690" t="s">
        <v>2062</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2063</v>
      </c>
      <c r="C38" s="2688"/>
      <c r="D38" s="2688"/>
      <c r="E38" s="2688"/>
      <c r="F38" s="2688"/>
      <c r="G38" s="2688"/>
      <c r="H38" s="2688"/>
      <c r="I38" s="2689"/>
      <c r="J38" s="2690" t="s">
        <v>2064</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2065</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2065</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2066</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2066</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2067</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2068</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2069</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2070</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2073</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2074</v>
      </c>
      <c r="C51" s="2738"/>
      <c r="D51" s="2738"/>
      <c r="E51" s="2738"/>
      <c r="F51" s="2738"/>
      <c r="G51" s="2738"/>
      <c r="H51" s="2738"/>
      <c r="I51" s="2739"/>
      <c r="J51" s="2737" t="s">
        <v>2075</v>
      </c>
      <c r="K51" s="2738"/>
      <c r="L51" s="2738"/>
      <c r="M51" s="2738"/>
      <c r="N51" s="2738"/>
      <c r="O51" s="2738"/>
      <c r="P51" s="2738"/>
      <c r="Q51" s="2739"/>
      <c r="R51" s="2740" t="s">
        <v>2076</v>
      </c>
      <c r="S51" s="2741"/>
      <c r="T51" s="2741"/>
      <c r="U51" s="2741"/>
      <c r="V51" s="2741"/>
      <c r="W51" s="2741"/>
      <c r="X51" s="2741"/>
      <c r="Y51" s="2742"/>
      <c r="Z51" s="2743" t="s">
        <v>2077</v>
      </c>
      <c r="AA51" s="2744"/>
      <c r="AB51" s="2744"/>
      <c r="AC51" s="2744"/>
      <c r="AD51" s="2744"/>
      <c r="AE51" s="2744"/>
      <c r="AF51" s="2744"/>
      <c r="AG51" s="2745"/>
      <c r="AH51" s="2743" t="s">
        <v>2078</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1880</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2074</v>
      </c>
      <c r="C59" s="2751"/>
      <c r="D59" s="2751"/>
      <c r="E59" s="2751"/>
      <c r="F59" s="2751"/>
      <c r="G59" s="2751"/>
      <c r="H59" s="2751"/>
      <c r="I59" s="2752"/>
      <c r="J59" s="2753" t="s">
        <v>2079</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2081</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2082</v>
      </c>
      <c r="AD68" s="2793"/>
      <c r="AE68" s="2793"/>
      <c r="AF68" s="2793"/>
      <c r="AG68" s="2793"/>
      <c r="AH68" s="2793"/>
      <c r="AI68" s="2793"/>
      <c r="AJ68" s="2793"/>
      <c r="AK68" s="2793"/>
      <c r="AL68" s="2793"/>
      <c r="AM68" s="2793"/>
      <c r="AN68" s="2793"/>
      <c r="AO68" s="2793"/>
      <c r="AP68" s="2793"/>
      <c r="AQ68" s="2793"/>
      <c r="AR68" s="2793"/>
      <c r="AS68" s="2793"/>
      <c r="AT68" s="2793"/>
      <c r="AU68" s="2793"/>
      <c r="AV68" s="2766" t="s">
        <v>2038</v>
      </c>
      <c r="AW68" s="2766"/>
      <c r="AX68" s="2766"/>
      <c r="AY68" s="2766"/>
      <c r="AZ68" s="2766"/>
      <c r="BA68" s="2766"/>
      <c r="BB68" s="2766"/>
      <c r="BC68" s="2767"/>
      <c r="BD68" s="1529"/>
      <c r="BE68" s="1535"/>
    </row>
    <row r="69" spans="1:57" ht="15.75" customHeight="1" thickBot="1">
      <c r="A69" s="1818"/>
      <c r="B69" s="2768" t="s">
        <v>2083</v>
      </c>
      <c r="C69" s="2769"/>
      <c r="D69" s="2769"/>
      <c r="E69" s="2769"/>
      <c r="F69" s="2769"/>
      <c r="G69" s="2769"/>
      <c r="H69" s="2769"/>
      <c r="I69" s="2769"/>
      <c r="J69" s="2769"/>
      <c r="K69" s="2769"/>
      <c r="L69" s="2769"/>
      <c r="M69" s="2769"/>
      <c r="N69" s="2769"/>
      <c r="O69" s="2770" t="s">
        <v>2084</v>
      </c>
      <c r="P69" s="2771"/>
      <c r="Q69" s="2771"/>
      <c r="R69" s="2771"/>
      <c r="S69" s="2771"/>
      <c r="T69" s="2771"/>
      <c r="U69" s="2771"/>
      <c r="V69" s="2771"/>
      <c r="W69" s="2771"/>
      <c r="X69" s="2771"/>
      <c r="Y69" s="2771"/>
      <c r="Z69" s="2771"/>
      <c r="AA69" s="2772"/>
      <c r="AB69" s="1529"/>
      <c r="AC69" s="2773" t="s">
        <v>2085</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2086</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2087</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2088</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2090</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2091</v>
      </c>
      <c r="J80" s="2797"/>
      <c r="K80" s="2797"/>
      <c r="L80" s="2797"/>
      <c r="M80" s="2797"/>
      <c r="N80" s="2798"/>
      <c r="O80" s="2796" t="s">
        <v>2092</v>
      </c>
      <c r="P80" s="2797"/>
      <c r="Q80" s="2797"/>
      <c r="R80" s="2797"/>
      <c r="S80" s="2797"/>
      <c r="T80" s="2797"/>
      <c r="U80" s="2798"/>
      <c r="V80" s="2796" t="s">
        <v>2093</v>
      </c>
      <c r="W80" s="2797"/>
      <c r="X80" s="2797"/>
      <c r="Y80" s="2797"/>
      <c r="Z80" s="2797"/>
      <c r="AA80" s="2798"/>
      <c r="AB80" s="2796" t="s">
        <v>2094</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2095</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2096</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2098</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2091</v>
      </c>
      <c r="J87" s="2797"/>
      <c r="K87" s="2797"/>
      <c r="L87" s="2797"/>
      <c r="M87" s="2797"/>
      <c r="N87" s="2798"/>
      <c r="O87" s="2796" t="s">
        <v>2092</v>
      </c>
      <c r="P87" s="2797"/>
      <c r="Q87" s="2797"/>
      <c r="R87" s="2797"/>
      <c r="S87" s="2797"/>
      <c r="T87" s="2797"/>
      <c r="U87" s="2798"/>
      <c r="V87" s="2796" t="s">
        <v>2093</v>
      </c>
      <c r="W87" s="2797"/>
      <c r="X87" s="2797"/>
      <c r="Y87" s="2797"/>
      <c r="Z87" s="2797"/>
      <c r="AA87" s="2798"/>
      <c r="AB87" s="2812" t="s">
        <v>2094</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2095</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2096</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2100</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2091</v>
      </c>
      <c r="J94" s="2797"/>
      <c r="K94" s="2797"/>
      <c r="L94" s="2797"/>
      <c r="M94" s="2797"/>
      <c r="N94" s="2798"/>
      <c r="O94" s="2796" t="s">
        <v>2092</v>
      </c>
      <c r="P94" s="2797"/>
      <c r="Q94" s="2797"/>
      <c r="R94" s="2797"/>
      <c r="S94" s="2797"/>
      <c r="T94" s="2797"/>
      <c r="U94" s="2798"/>
      <c r="V94" s="2796" t="s">
        <v>2093</v>
      </c>
      <c r="W94" s="2797"/>
      <c r="X94" s="2797"/>
      <c r="Y94" s="2797"/>
      <c r="Z94" s="2797"/>
      <c r="AA94" s="2798"/>
      <c r="AB94" s="2812" t="s">
        <v>2094</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2095</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2096</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2102</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2092</v>
      </c>
      <c r="J101" s="2771"/>
      <c r="K101" s="2771"/>
      <c r="L101" s="2771"/>
      <c r="M101" s="2771"/>
      <c r="N101" s="2771"/>
      <c r="O101" s="2841"/>
      <c r="P101" s="2770" t="s">
        <v>2103</v>
      </c>
      <c r="Q101" s="2771"/>
      <c r="R101" s="2771"/>
      <c r="S101" s="2771"/>
      <c r="T101" s="2771"/>
      <c r="U101" s="2841"/>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2095</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2096</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2104</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2038</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2105</v>
      </c>
      <c r="C106" s="2832"/>
      <c r="D106" s="2832"/>
      <c r="E106" s="2832"/>
      <c r="F106" s="2832"/>
      <c r="G106" s="2832"/>
      <c r="H106" s="2832"/>
      <c r="I106" s="2832"/>
      <c r="J106" s="2832"/>
      <c r="K106" s="2832"/>
      <c r="L106" s="2832"/>
      <c r="M106" s="2832"/>
      <c r="N106" s="2832"/>
      <c r="O106" s="2832"/>
      <c r="P106" s="2832"/>
      <c r="Q106" s="2833"/>
      <c r="R106" s="2834" t="s">
        <v>2106</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2107</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2109</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2092</v>
      </c>
      <c r="J121" s="2771"/>
      <c r="K121" s="2771"/>
      <c r="L121" s="2771"/>
      <c r="M121" s="2771"/>
      <c r="N121" s="2771"/>
      <c r="O121" s="2841"/>
      <c r="P121" s="2770" t="s">
        <v>2103</v>
      </c>
      <c r="Q121" s="2771"/>
      <c r="R121" s="2771"/>
      <c r="S121" s="2771"/>
      <c r="T121" s="2771"/>
      <c r="U121" s="2841"/>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2095</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2096</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2110</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2111</v>
      </c>
      <c r="D126" s="2848"/>
      <c r="E126" s="2848"/>
      <c r="F126" s="2848"/>
      <c r="G126" s="2848"/>
      <c r="H126" s="2848"/>
      <c r="I126" s="2848"/>
      <c r="J126" s="2848"/>
      <c r="K126" s="2848"/>
      <c r="L126" s="2848"/>
      <c r="M126" s="2848"/>
      <c r="N126" s="2848"/>
      <c r="O126" s="2848"/>
      <c r="P126" s="2849"/>
      <c r="Q126" s="2850" t="s">
        <v>2112</v>
      </c>
      <c r="R126" s="2848"/>
      <c r="S126" s="2849"/>
      <c r="T126" s="2851" t="s">
        <v>2113</v>
      </c>
      <c r="U126" s="2852"/>
      <c r="V126" s="2852"/>
      <c r="W126" s="2852"/>
      <c r="X126" s="2852"/>
      <c r="Y126" s="2852"/>
      <c r="Z126" s="2852"/>
      <c r="AA126" s="2853"/>
      <c r="AB126" s="2854" t="s">
        <v>2114</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2115</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str">
        <f>_xlfn.CONCAT(Application!AC515,"/", Application!AH515)</f>
        <v>N/A/</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2116</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2117</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2070</v>
      </c>
      <c r="D131" s="2867"/>
      <c r="E131" s="2867"/>
      <c r="F131" s="2867"/>
      <c r="G131" s="2867"/>
      <c r="H131" s="2867"/>
      <c r="I131" s="2867"/>
      <c r="J131" s="2867"/>
      <c r="K131" s="2867"/>
      <c r="L131" s="2867"/>
      <c r="M131" s="2867"/>
      <c r="N131" s="2867"/>
      <c r="O131" s="2867"/>
      <c r="P131" s="2868"/>
      <c r="Q131" s="2881">
        <f>Application!AG400</f>
        <v>55</v>
      </c>
      <c r="R131" s="2882"/>
      <c r="S131" s="2883"/>
      <c r="T131" s="2877"/>
      <c r="U131" s="2878"/>
      <c r="V131" s="2878"/>
      <c r="W131" s="2878"/>
      <c r="X131" s="2878"/>
      <c r="Y131" s="2878"/>
      <c r="Z131" s="2878"/>
      <c r="AA131" s="2884"/>
      <c r="AB131" s="2885">
        <f>Application!AE401</f>
        <v>1</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174</v>
      </c>
      <c r="D132" s="2603"/>
      <c r="E132" s="2603"/>
      <c r="F132" s="2888" t="s">
        <v>2118</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174</v>
      </c>
      <c r="D133" s="2603"/>
      <c r="E133" s="2603"/>
      <c r="F133" s="2888" t="s">
        <v>2118</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174</v>
      </c>
      <c r="D134" s="2603"/>
      <c r="E134" s="2603"/>
      <c r="F134" s="2894" t="s">
        <v>2118</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2119</v>
      </c>
      <c r="D136" s="2605"/>
      <c r="E136" s="2605"/>
      <c r="F136" s="2605"/>
      <c r="G136" s="2605"/>
      <c r="H136" s="2605"/>
      <c r="I136" s="2605"/>
      <c r="J136" s="2605"/>
      <c r="K136" s="2605"/>
      <c r="L136" s="2605"/>
      <c r="M136" s="2605"/>
      <c r="N136" s="2606"/>
      <c r="O136" s="1529"/>
      <c r="P136" s="2899" t="s">
        <v>2120</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2121</v>
      </c>
      <c r="D137" s="2810"/>
      <c r="E137" s="2810"/>
      <c r="F137" s="2810"/>
      <c r="G137" s="2810"/>
      <c r="H137" s="2811"/>
      <c r="I137" s="2809" t="s">
        <v>2122</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2125</v>
      </c>
      <c r="O149" s="2921"/>
      <c r="P149" s="2921"/>
      <c r="Q149" s="2921"/>
      <c r="R149" s="2921"/>
      <c r="S149" s="2921"/>
      <c r="T149" s="2922"/>
      <c r="U149" s="2923" t="s">
        <v>2111</v>
      </c>
      <c r="V149" s="2753"/>
      <c r="W149" s="2753"/>
      <c r="X149" s="2753"/>
      <c r="Y149" s="2753"/>
      <c r="Z149" s="2753"/>
      <c r="AA149" s="2753"/>
      <c r="AB149" s="2753"/>
      <c r="AC149" s="2753"/>
      <c r="AD149" s="2753"/>
      <c r="AE149" s="2754"/>
      <c r="AF149" s="1529"/>
      <c r="AG149" s="1529"/>
      <c r="AH149" s="2597" t="s">
        <v>2126</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2127</v>
      </c>
      <c r="D150" s="2848"/>
      <c r="E150" s="2848"/>
      <c r="F150" s="2848"/>
      <c r="G150" s="2848"/>
      <c r="H150" s="2848"/>
      <c r="I150" s="2848"/>
      <c r="J150" s="2848"/>
      <c r="K150" s="2848"/>
      <c r="L150" s="2848"/>
      <c r="M150" s="2910"/>
      <c r="N150" s="2911">
        <f>'Sources and Uses Budget'!B104</f>
        <v>17096181</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2128</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2129</v>
      </c>
      <c r="D151" s="2848"/>
      <c r="E151" s="2848"/>
      <c r="F151" s="2848"/>
      <c r="G151" s="2848"/>
      <c r="H151" s="2848"/>
      <c r="I151" s="2848"/>
      <c r="J151" s="2848"/>
      <c r="K151" s="2848"/>
      <c r="L151" s="2848"/>
      <c r="M151" s="2910"/>
      <c r="N151" s="2911">
        <f>N150/J29</f>
        <v>50282.885294117645</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2130</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2131</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2132</v>
      </c>
      <c r="D153" s="2867"/>
      <c r="E153" s="2867"/>
      <c r="F153" s="2867"/>
      <c r="G153" s="2867"/>
      <c r="H153" s="2867"/>
      <c r="I153" s="2867"/>
      <c r="J153" s="2867"/>
      <c r="K153" s="2867"/>
      <c r="L153" s="2867"/>
      <c r="M153" s="2924"/>
      <c r="N153" s="2925">
        <f>SUM('Sources and Uses Budget'!B85:B86)</f>
        <v>5001670</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2133</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2134</v>
      </c>
      <c r="D154" s="2867"/>
      <c r="E154" s="2867"/>
      <c r="F154" s="2867"/>
      <c r="G154" s="2867"/>
      <c r="H154" s="2867"/>
      <c r="I154" s="2867"/>
      <c r="J154" s="2867"/>
      <c r="K154" s="2867"/>
      <c r="L154" s="2867"/>
      <c r="M154" s="2924"/>
      <c r="N154" s="2925">
        <f>'Sources and Uses Budget'!B8</f>
        <v>13115000</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2135</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2128</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307</v>
      </c>
      <c r="D157" s="2945"/>
      <c r="E157" s="2888" t="s">
        <v>2118</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307</v>
      </c>
      <c r="D158" s="2942"/>
      <c r="E158" s="2888" t="s">
        <v>2118</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307</v>
      </c>
      <c r="D159" s="2961"/>
      <c r="E159" s="2894" t="s">
        <v>2118</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2136</v>
      </c>
      <c r="D160" s="2969"/>
      <c r="E160" s="2969"/>
      <c r="F160" s="2969"/>
      <c r="G160" s="2969"/>
      <c r="H160" s="2969"/>
      <c r="I160" s="2969"/>
      <c r="J160" s="2969"/>
      <c r="K160" s="2969"/>
      <c r="L160" s="2969"/>
      <c r="M160" s="2970"/>
      <c r="N160" s="2971">
        <f>SUM(N152:T159)</f>
        <v>18116670</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2137</v>
      </c>
      <c r="D161" s="2774"/>
      <c r="E161" s="2774"/>
      <c r="F161" s="2774"/>
      <c r="G161" s="2774"/>
      <c r="H161" s="2774"/>
      <c r="I161" s="2774"/>
      <c r="J161" s="2774"/>
      <c r="K161" s="2774"/>
      <c r="L161" s="2774"/>
      <c r="M161" s="2774"/>
      <c r="N161" s="2949">
        <f>(N150-N160)/J29</f>
        <v>-3001.4382352941175</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2138</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2139</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2140</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2141</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2143</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2144</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2145</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2146</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2147</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463</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2148</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2149</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94" zoomScale="90" zoomScaleNormal="90" zoomScaleSheetLayoutView="100" workbookViewId="0">
      <selection activeCell="AD184" sqref="AD184:AJ18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2" t="s">
        <v>1558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75"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1563</v>
      </c>
      <c r="AF7" s="3208"/>
      <c r="AG7" s="3208"/>
      <c r="AH7" s="3208"/>
      <c r="AI7" s="3208"/>
      <c r="AJ7" s="3208"/>
      <c r="AK7" s="3208"/>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7" t="s">
        <v>625</v>
      </c>
      <c r="C12" s="321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7" t="s">
        <v>625</v>
      </c>
      <c r="C15" s="3217"/>
      <c r="D15" s="940"/>
      <c r="E15" s="3236" t="s">
        <v>1566</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75"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1567</v>
      </c>
    </row>
    <row r="17" spans="1:42" s="930" customFormat="1" ht="12.75"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7" t="s">
        <v>625</v>
      </c>
      <c r="C21" s="3217"/>
      <c r="D21" s="940"/>
      <c r="E21" s="3246" t="s">
        <v>1569</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1567</v>
      </c>
    </row>
    <row r="22" spans="1:42" s="930" customFormat="1" ht="12.75"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7" t="s">
        <v>625</v>
      </c>
      <c r="C24" s="3217"/>
      <c r="D24" s="940"/>
      <c r="E24" s="3148" t="s">
        <v>1570</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75"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7" t="s">
        <v>625</v>
      </c>
      <c r="C29" s="3217"/>
      <c r="D29" s="940"/>
      <c r="E29" s="3148" t="s">
        <v>1572</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75"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1567</v>
      </c>
    </row>
    <row r="31" spans="1:42" s="930" customFormat="1" ht="12.75"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2" t="s">
        <v>2399</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75"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7" t="s">
        <v>625</v>
      </c>
      <c r="C37" s="321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7" t="s">
        <v>625</v>
      </c>
      <c r="C39" s="321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7" t="s">
        <v>625</v>
      </c>
      <c r="C41" s="321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7" t="s">
        <v>625</v>
      </c>
      <c r="C43" s="321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7" t="s">
        <v>625</v>
      </c>
      <c r="C45" s="321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7" t="s">
        <v>625</v>
      </c>
      <c r="C47" s="321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7" t="s">
        <v>625</v>
      </c>
      <c r="C49" s="321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2">
        <f>AO32</f>
        <v>0</v>
      </c>
      <c r="AL51" s="3193"/>
      <c r="AM51" s="319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1584</v>
      </c>
      <c r="AF54" s="3208"/>
      <c r="AG54" s="3208"/>
      <c r="AH54" s="3208"/>
      <c r="AI54" s="3208"/>
      <c r="AJ54" s="3208"/>
      <c r="AK54" s="3208"/>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7" t="s">
        <v>577</v>
      </c>
      <c r="C57" s="3217"/>
      <c r="D57" s="940" t="s">
        <v>1585</v>
      </c>
      <c r="E57" s="3236" t="s">
        <v>2238</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10</v>
      </c>
    </row>
    <row r="58" spans="1:50" s="930" customFormat="1" ht="12.75"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75"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75"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7" t="s">
        <v>577</v>
      </c>
      <c r="C62" s="321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1" t="s">
        <v>577</v>
      </c>
      <c r="F63" s="321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5" t="s">
        <v>625</v>
      </c>
      <c r="F64" s="3216"/>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5" t="s">
        <v>625</v>
      </c>
      <c r="F65" s="3216"/>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1" t="s">
        <v>577</v>
      </c>
      <c r="F67" s="321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7" t="s">
        <v>625</v>
      </c>
      <c r="C69" s="3217"/>
      <c r="D69" s="940" t="s">
        <v>1590</v>
      </c>
      <c r="E69" s="3148" t="s">
        <v>2239</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75"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2">
        <f>IF(AK51&gt;0,0,AO60)</f>
        <v>10</v>
      </c>
      <c r="AL72" s="3193"/>
      <c r="AM72" s="319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1563</v>
      </c>
      <c r="AF75" s="3208"/>
      <c r="AG75" s="3208"/>
      <c r="AH75" s="3208"/>
      <c r="AI75" s="3208"/>
      <c r="AJ75" s="3208"/>
      <c r="AK75" s="3208"/>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7" t="s">
        <v>625</v>
      </c>
      <c r="C78" s="3217"/>
      <c r="D78" s="940" t="s">
        <v>1585</v>
      </c>
      <c r="E78" s="3224" t="s">
        <v>1595</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75"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6">
        <f>Application!AH753</f>
        <v>0.58456973293768533</v>
      </c>
      <c r="F81" s="3207"/>
      <c r="G81" s="3207"/>
      <c r="H81" s="3207"/>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0">
        <f>0.6-ROUNDUP(E81,2)</f>
        <v>1.0000000000000009E-2</v>
      </c>
      <c r="F82" s="3231"/>
      <c r="G82" s="3231"/>
      <c r="H82" s="3231"/>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2">
        <f>IF(E82*200&gt;20,20,E82*200)</f>
        <v>2.0000000000000018</v>
      </c>
      <c r="F83" s="3223"/>
      <c r="G83" s="3223"/>
      <c r="H83" s="322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7" t="s">
        <v>577</v>
      </c>
      <c r="C86" s="3217"/>
      <c r="D86" s="940" t="s">
        <v>1587</v>
      </c>
      <c r="E86" s="3224" t="s">
        <v>2223</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75"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75"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75"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6">
        <f>Application!AH753</f>
        <v>0.58456973293768533</v>
      </c>
      <c r="F91" s="3207"/>
      <c r="G91" s="3207"/>
      <c r="H91" s="3207"/>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6">
        <f ca="1">SUMIF(Application!AH728:AL752,0.2,Application!G728:J752)/Application!G753+SUMIF(Application!AH728:AL752,0.25,Application!G728:J752)/Application!G753+SUMIF(Application!AH728:AL752,0.3,Application!G728:J752)/Application!G753</f>
        <v>0.10089020771513353</v>
      </c>
      <c r="F92" s="3207"/>
      <c r="G92" s="3207"/>
      <c r="H92" s="3207"/>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0.24332344213649854</v>
      </c>
      <c r="F93" s="3207"/>
      <c r="G93" s="3207"/>
      <c r="H93" s="3207"/>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9">
        <f ca="1">IF(AND(E91&lt;=0.6,E92&gt;=0.1,OR(E93&gt;=0.1,E92=1)),20,0)</f>
        <v>20</v>
      </c>
      <c r="F94" s="3210"/>
      <c r="G94" s="3210"/>
      <c r="H94" s="3210"/>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2">
        <f ca="1">MAX(AP83,AP94)</f>
        <v>20</v>
      </c>
      <c r="AL97" s="3193"/>
      <c r="AM97" s="319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1584</v>
      </c>
      <c r="AF100" s="3208"/>
      <c r="AG100" s="3208"/>
      <c r="AH100" s="3208"/>
      <c r="AI100" s="3208"/>
      <c r="AJ100" s="3208"/>
      <c r="AK100" s="3208"/>
      <c r="AL100" s="933"/>
      <c r="AM100" s="933"/>
      <c r="AN100" s="929"/>
      <c r="AO100" s="930" t="str">
        <f>Application!B728</f>
        <v>SRO/Studio</v>
      </c>
      <c r="AQ100" s="930">
        <f>Application!O728</f>
        <v>363</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564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597</v>
      </c>
    </row>
    <row r="103" spans="1:49" s="930" customFormat="1" ht="12.75" customHeight="1">
      <c r="A103" s="933"/>
      <c r="B103" s="3217" t="s">
        <v>577</v>
      </c>
      <c r="C103" s="3217"/>
      <c r="D103" s="940" t="s">
        <v>1585</v>
      </c>
      <c r="E103" s="3224" t="s">
        <v>2385</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1 Bedroom</v>
      </c>
      <c r="AQ103" s="930">
        <f>Application!O731</f>
        <v>819</v>
      </c>
      <c r="AU103" s="930" t="s">
        <v>2363</v>
      </c>
      <c r="AV103" s="1765" t="s">
        <v>2364</v>
      </c>
      <c r="AW103" s="930" t="s">
        <v>2365</v>
      </c>
    </row>
    <row r="104" spans="1:49" s="930" customFormat="1" ht="12.75"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t="str">
        <f>Application!B732</f>
        <v>1 Bedroom</v>
      </c>
      <c r="AQ104" s="930">
        <f>Application!O732</f>
        <v>1040</v>
      </c>
      <c r="AU104" s="1768" t="str">
        <f>E112</f>
        <v>Studio/SRO</v>
      </c>
      <c r="AV104" s="930">
        <f t="array" ref="AV104">SUM(IF(Application!B728:F752="SRO/Studio",Application!G728:J752))</f>
        <v>32</v>
      </c>
      <c r="AW104" s="1803">
        <f>AV104/AV110</f>
        <v>9.4955489614243327E-2</v>
      </c>
    </row>
    <row r="105" spans="1:49" s="930" customFormat="1" ht="12.75"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t="str">
        <f>Application!B733</f>
        <v>1 Bedroom</v>
      </c>
      <c r="AQ105" s="930">
        <f>Application!O733</f>
        <v>1262</v>
      </c>
      <c r="AU105" s="1768" t="str">
        <f>J112</f>
        <v>1-bedroom</v>
      </c>
      <c r="AV105" s="930">
        <f t="array" ref="AV105">SUM(IF(Application!B728:F752="1 Bedroom",Application!G728:J752))</f>
        <v>260</v>
      </c>
      <c r="AW105" s="1803">
        <f>AV105/AV110</f>
        <v>0.771513353115727</v>
      </c>
    </row>
    <row r="106" spans="1:49" s="930" customFormat="1" ht="12.75"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t="str">
        <f>Application!B734</f>
        <v>1 Bedroom</v>
      </c>
      <c r="AQ106" s="930">
        <f>Application!O734</f>
        <v>1706</v>
      </c>
      <c r="AU106" s="1768" t="str">
        <f>O112</f>
        <v>2-bedroom</v>
      </c>
      <c r="AV106" s="930">
        <f t="array" ref="AV106">SUM(IF(Application!B728:F752="2 Bedrooms",Application!G728:J752))</f>
        <v>45</v>
      </c>
      <c r="AW106" s="1803">
        <f>AV106/AV110</f>
        <v>0.13353115727002968</v>
      </c>
    </row>
    <row r="107" spans="1:49" s="930" customFormat="1" ht="12.75"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t="str">
        <f>Application!B735</f>
        <v>2 Bedrooms</v>
      </c>
      <c r="AQ107" s="930">
        <f>Application!O735</f>
        <v>1238</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t="str">
        <f>Application!B736</f>
        <v>2 Bedrooms</v>
      </c>
      <c r="AQ108" s="930">
        <f>Application!O736</f>
        <v>2036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337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6" t="s">
        <v>1886</v>
      </c>
      <c r="F112" s="3207"/>
      <c r="G112" s="3207"/>
      <c r="H112" s="3207"/>
      <c r="I112" s="1473"/>
      <c r="J112" s="3207" t="s">
        <v>1979</v>
      </c>
      <c r="K112" s="3207"/>
      <c r="L112" s="3207"/>
      <c r="M112" s="3207"/>
      <c r="N112" s="1473"/>
      <c r="O112" s="3207" t="s">
        <v>1980</v>
      </c>
      <c r="P112" s="3207"/>
      <c r="Q112" s="3207"/>
      <c r="R112" s="3207"/>
      <c r="S112" s="1473"/>
      <c r="T112" s="3207" t="s">
        <v>1604</v>
      </c>
      <c r="U112" s="3207"/>
      <c r="V112" s="3207"/>
      <c r="W112" s="3207"/>
      <c r="X112" s="1473"/>
      <c r="Y112" s="3207" t="s">
        <v>1981</v>
      </c>
      <c r="Z112" s="3207"/>
      <c r="AA112" s="3207"/>
      <c r="AB112" s="3207"/>
      <c r="AC112" s="1473"/>
      <c r="AD112" s="3207" t="s">
        <v>1982</v>
      </c>
      <c r="AE112" s="3207"/>
      <c r="AF112" s="3207"/>
      <c r="AG112" s="320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1">
        <v>2207</v>
      </c>
      <c r="F115" s="3212"/>
      <c r="G115" s="3212"/>
      <c r="H115" s="3212"/>
      <c r="I115" s="1475"/>
      <c r="J115" s="3212">
        <v>2410</v>
      </c>
      <c r="K115" s="3212"/>
      <c r="L115" s="3212"/>
      <c r="M115" s="3212"/>
      <c r="N115" s="1475"/>
      <c r="O115" s="3212">
        <v>3363</v>
      </c>
      <c r="P115" s="3212"/>
      <c r="Q115" s="3212"/>
      <c r="R115" s="3212"/>
      <c r="S115" s="1475"/>
      <c r="T115" s="3212"/>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3">
        <f>Application!DX663</f>
        <v>476.0625</v>
      </c>
      <c r="F118" s="3214"/>
      <c r="G118" s="3214"/>
      <c r="H118" s="3214"/>
      <c r="I118" s="1475"/>
      <c r="J118" s="3214">
        <f>Application!EC663</f>
        <v>1235.7230769230769</v>
      </c>
      <c r="K118" s="3214"/>
      <c r="L118" s="3214"/>
      <c r="M118" s="3214"/>
      <c r="N118" s="1475"/>
      <c r="O118" s="3214">
        <f>Application!EH663</f>
        <v>1947.333333333333</v>
      </c>
      <c r="P118" s="3214"/>
      <c r="Q118" s="3214"/>
      <c r="R118" s="3214"/>
      <c r="S118" s="1479"/>
      <c r="T118" s="3214">
        <f>Application!EM663</f>
        <v>0</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9">
        <f>(E115-E118)/E115</f>
        <v>0.78429429089261438</v>
      </c>
      <c r="F121" s="3000"/>
      <c r="G121" s="3000"/>
      <c r="H121" s="3001"/>
      <c r="I121" s="971"/>
      <c r="J121" s="2999">
        <f>(J115-J118)/J115</f>
        <v>0.48725183530162786</v>
      </c>
      <c r="K121" s="3000"/>
      <c r="L121" s="3000"/>
      <c r="M121" s="3001"/>
      <c r="N121" s="971"/>
      <c r="O121" s="2999">
        <f>(O115-O118)/O115</f>
        <v>0.42095351372782247</v>
      </c>
      <c r="P121" s="3000"/>
      <c r="Q121" s="3000"/>
      <c r="R121" s="3001"/>
      <c r="S121" s="971"/>
      <c r="T121" s="2999" t="e">
        <f>(T115-T118)/T115</f>
        <v>#DIV/0!</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5">
        <f>IF(((E121-0.1)*AW104)&gt;0,((E121-0.1)*AW104),0)</f>
        <v>6.4977499431939645E-2</v>
      </c>
      <c r="F124" s="3256"/>
      <c r="G124" s="3256"/>
      <c r="H124" s="3257"/>
      <c r="I124" s="971"/>
      <c r="J124" s="3255">
        <f>IF(((J121-0.1)*AW105)&gt;0,((J121-0.1)*AW105),0)</f>
        <v>0.2987699619537782</v>
      </c>
      <c r="K124" s="3256"/>
      <c r="L124" s="3256"/>
      <c r="M124" s="3257"/>
      <c r="N124" s="971"/>
      <c r="O124" s="3255">
        <f>IF(((O121-0.1)*AW106)&gt;0,((O121-0.1)*AW106),0)</f>
        <v>4.2857294117958487E-2</v>
      </c>
      <c r="P124" s="3256"/>
      <c r="Q124" s="3256"/>
      <c r="R124" s="3257"/>
      <c r="S124" s="971"/>
      <c r="T124" s="3255" t="e">
        <f>IF(((T121-0.1)*AW107)&gt;0,((T121-0.1)*AW107),0)</f>
        <v>#DIV/0!</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9">
        <f>ROUNDDOWN(SUMIF(E124:AG124,"&gt;0"),2)</f>
        <v>0.4</v>
      </c>
      <c r="F126" s="3000"/>
      <c r="G126" s="3000"/>
      <c r="H126" s="3001"/>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2">
        <f>IF((E126*100)&gt;10,10,E126*100)</f>
        <v>10</v>
      </c>
      <c r="F127" s="3193"/>
      <c r="G127" s="3193"/>
      <c r="H127" s="319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2">
        <f>E127</f>
        <v>10</v>
      </c>
      <c r="AL131" s="3193"/>
      <c r="AM131" s="319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08" t="s">
        <v>1584</v>
      </c>
      <c r="AF134" s="3208"/>
      <c r="AG134" s="3208"/>
      <c r="AH134" s="3208"/>
      <c r="AI134" s="3208"/>
      <c r="AJ134" s="3208"/>
      <c r="AK134" s="320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1608</v>
      </c>
      <c r="AG136" s="3138"/>
      <c r="AH136" s="3138"/>
      <c r="AI136" s="3138"/>
      <c r="AJ136" s="3138"/>
      <c r="AK136" s="3138"/>
      <c r="AL136" s="3138"/>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7" t="s">
        <v>2520</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198" t="s">
        <v>1611</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3" t="s">
        <v>625</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198" t="s">
        <v>1613</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99">
        <f>IF($AB$143="N/A",VLOOKUP($B$141,$AO$139:$AP$142,2,FALSE),VLOOKUP($B$146,$AO$144:$AP$147,2,FALSE))</f>
        <v>7</v>
      </c>
      <c r="AK149" s="319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1622</v>
      </c>
      <c r="AG151" s="3138"/>
      <c r="AH151" s="3138"/>
      <c r="AI151" s="3138"/>
      <c r="AJ151" s="3138"/>
      <c r="AK151" s="3138"/>
      <c r="AL151" s="3138"/>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8" t="s">
        <v>1620</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625</v>
      </c>
      <c r="AD155" s="314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198" t="s">
        <v>1613</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197" t="s">
        <v>2551</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6">
        <f>IF($AC$155="N/A",VLOOKUP($C$153,$AO$153:$AP$156,2,FALSE),VLOOKUP($C$157,$AO$160:$AP$162,2,FALSE))</f>
        <v>3</v>
      </c>
      <c r="AK163" s="305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2">
        <f>$AJ$149+$AJ$163</f>
        <v>10</v>
      </c>
      <c r="AL166" s="3193"/>
      <c r="AM166" s="319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1584</v>
      </c>
      <c r="AF169" s="3103"/>
      <c r="AG169" s="3103"/>
      <c r="AH169" s="3103"/>
      <c r="AI169" s="3103"/>
      <c r="AJ169" s="3103"/>
      <c r="AK169" s="310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5" t="s">
        <v>1639</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1633</v>
      </c>
      <c r="AG171" s="3138"/>
      <c r="AH171" s="3138"/>
      <c r="AI171" s="3138"/>
      <c r="AJ171" s="3138"/>
      <c r="AK171" s="3138"/>
      <c r="AL171" s="3138"/>
      <c r="AN171" s="1000"/>
      <c r="AP171" s="943" t="s">
        <v>1156</v>
      </c>
      <c r="AQ171" s="943">
        <v>10</v>
      </c>
    </row>
    <row r="172" spans="1:81" s="943" customFormat="1" ht="12.75" customHeight="1">
      <c r="A172" s="927"/>
      <c r="B172" s="3196" t="s">
        <v>2224</v>
      </c>
      <c r="C172" s="3196"/>
      <c r="D172" s="3196"/>
      <c r="E172" s="3196"/>
      <c r="F172" s="3196"/>
      <c r="G172" s="3196"/>
      <c r="H172" s="3196"/>
      <c r="I172" s="3196"/>
      <c r="J172" s="3196"/>
      <c r="K172" s="3196"/>
      <c r="L172" s="3196"/>
      <c r="M172" s="3196"/>
      <c r="N172" s="3196"/>
      <c r="O172" s="3196"/>
      <c r="P172" s="3196"/>
      <c r="Q172" s="3196"/>
      <c r="R172" s="3196"/>
      <c r="S172" s="3196"/>
      <c r="T172" s="3197" t="s">
        <v>625</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1">
        <f>IF(AK72&gt;0,VLOOKUP($B$171,AP168:AQ175,2,FALSE),0)</f>
        <v>10</v>
      </c>
      <c r="AL174" s="3022"/>
      <c r="AM174" s="3023"/>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1642</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2675</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12400000</v>
      </c>
      <c r="AE182" s="3179"/>
      <c r="AF182" s="3179"/>
      <c r="AG182" s="3179"/>
      <c r="AH182" s="3179"/>
      <c r="AI182" s="3179"/>
      <c r="AJ182" s="3179"/>
      <c r="AK182" s="1024"/>
    </row>
    <row r="183" spans="1:37">
      <c r="A183" s="1016"/>
      <c r="B183" s="3189" t="s">
        <v>2676</v>
      </c>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v>10000000</v>
      </c>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1930</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1893</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3">
        <f>SUM(AD182:AJ192)-AD193</f>
        <v>22400000</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1910</v>
      </c>
      <c r="J205" s="3204"/>
      <c r="K205" s="3204"/>
      <c r="L205" s="991"/>
      <c r="M205" s="991"/>
      <c r="N205" s="991"/>
      <c r="O205" s="991"/>
      <c r="P205" s="991"/>
      <c r="Q205" s="991"/>
      <c r="R205" s="991"/>
      <c r="S205" s="991"/>
      <c r="T205" s="3004" t="s">
        <v>1904</v>
      </c>
      <c r="U205" s="3004"/>
      <c r="V205" s="3004"/>
      <c r="W205" s="3004"/>
      <c r="X205" s="3004"/>
      <c r="Y205" s="3004"/>
      <c r="Z205" s="1401"/>
      <c r="AA205" s="1402"/>
      <c r="AB205" s="3200" t="s">
        <v>1905</v>
      </c>
      <c r="AC205" s="3200"/>
      <c r="AD205" s="3200"/>
      <c r="AE205" s="3200"/>
      <c r="AF205" s="3200"/>
      <c r="AG205" s="3200"/>
      <c r="AH205" s="1371"/>
      <c r="AI205" s="1371"/>
      <c r="AJ205" s="1371"/>
      <c r="AK205" s="1024"/>
    </row>
    <row r="206" spans="1:37">
      <c r="A206" s="1016"/>
      <c r="B206" s="3202" t="s">
        <v>1883</v>
      </c>
      <c r="C206" s="3202"/>
      <c r="D206" s="3202"/>
      <c r="E206" s="3202"/>
      <c r="F206" s="3202"/>
      <c r="G206" s="3202"/>
      <c r="I206" s="3203" t="s">
        <v>1911</v>
      </c>
      <c r="J206" s="3203"/>
      <c r="K206" s="3203"/>
      <c r="L206" s="1799"/>
      <c r="N206" s="3042" t="s">
        <v>1906</v>
      </c>
      <c r="O206" s="3042"/>
      <c r="P206" s="3042"/>
      <c r="Q206" s="3042"/>
      <c r="R206" s="3042"/>
      <c r="T206" s="3042" t="s">
        <v>1907</v>
      </c>
      <c r="U206" s="3042"/>
      <c r="V206" s="3042"/>
      <c r="W206" s="3042"/>
      <c r="X206" s="3042"/>
      <c r="Y206" s="3042"/>
      <c r="Z206" s="1403"/>
      <c r="AA206" s="1402"/>
      <c r="AB206" s="3045" t="s">
        <v>1908</v>
      </c>
      <c r="AC206" s="3045"/>
      <c r="AD206" s="3045"/>
      <c r="AE206" s="3045"/>
      <c r="AF206" s="3045"/>
      <c r="AG206" s="3045"/>
      <c r="AH206" s="1371"/>
      <c r="AI206" s="1371"/>
      <c r="AJ206" s="1371"/>
      <c r="AK206" s="1024"/>
    </row>
    <row r="207" spans="1:37">
      <c r="A207" s="1016"/>
      <c r="B207" s="3044" t="s">
        <v>1383</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1383</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1383</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1383</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1383</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1383</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1383</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1383</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1383</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1383</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0</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22400000</v>
      </c>
      <c r="AH251" s="3018"/>
      <c r="AI251" s="3018"/>
      <c r="AJ251" s="3018"/>
      <c r="AK251" s="301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149446817</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0.14000000000000001</v>
      </c>
      <c r="AH253" s="3176"/>
      <c r="AI253" s="3176"/>
      <c r="AJ253" s="3176"/>
      <c r="AK253" s="3176"/>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69">
        <f>IF(AG253=0,0,IF((AG253*100)&gt;8,8,(AG253*100)))</f>
        <v>8</v>
      </c>
      <c r="AL256" s="3169"/>
      <c r="AM256" s="317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5" t="s">
        <v>577</v>
      </c>
      <c r="D261" s="3035"/>
      <c r="E261" s="940"/>
      <c r="F261" s="2986" t="s">
        <v>2414</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1633</v>
      </c>
      <c r="AH261" s="3174"/>
      <c r="AI261" s="3174"/>
      <c r="AJ261" s="3174"/>
      <c r="AK261" s="1026"/>
      <c r="AL261" s="1026"/>
      <c r="AM261" s="1026"/>
      <c r="AN261" s="1061"/>
      <c r="AO261" s="943"/>
      <c r="AS261" s="21"/>
      <c r="AT261" s="21"/>
    </row>
    <row r="262" spans="1:81" ht="13.7"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69">
        <f>IF($C$261="yes",10,0)</f>
        <v>10</v>
      </c>
      <c r="AL267" s="3169"/>
      <c r="AM267" s="317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7" t="s">
        <v>1652</v>
      </c>
      <c r="B274" s="3147"/>
      <c r="C274" s="3035" t="s">
        <v>625</v>
      </c>
      <c r="D274" s="3035"/>
      <c r="E274" s="940"/>
      <c r="F274" s="3171" t="s">
        <v>1653</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4" t="s">
        <v>1655</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4" t="s">
        <v>1656</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4" t="s">
        <v>1657</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7" t="s">
        <v>1658</v>
      </c>
      <c r="B284" s="3147"/>
      <c r="C284" s="3035" t="s">
        <v>625</v>
      </c>
      <c r="D284" s="3035"/>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4" t="s">
        <v>1661</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1656</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1662</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1663</v>
      </c>
      <c r="B292" s="3147"/>
      <c r="C292" s="3035" t="s">
        <v>625</v>
      </c>
      <c r="D292" s="3035"/>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4" t="s">
        <v>1664</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1383</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4" t="s">
        <v>1383</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0" t="s">
        <v>1383</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0" t="s">
        <v>1383</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47" t="s">
        <v>1667</v>
      </c>
      <c r="B315" s="3147"/>
      <c r="C315" s="3035" t="s">
        <v>577</v>
      </c>
      <c r="D315" s="3035"/>
      <c r="E315" s="940"/>
      <c r="F315" s="3148" t="s">
        <v>1668</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1">
        <f>AP279</f>
        <v>9</v>
      </c>
      <c r="AL320" s="3022"/>
      <c r="AM320" s="302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1584</v>
      </c>
      <c r="AF323" s="3103"/>
      <c r="AG323" s="3103"/>
      <c r="AH323" s="3103"/>
      <c r="AI323" s="3103"/>
      <c r="AJ323" s="3103"/>
      <c r="AK323" s="310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9" t="s">
        <v>2191</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75"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75"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75"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75"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75"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75"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75"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75"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1608</v>
      </c>
      <c r="AG339" s="3138"/>
      <c r="AH339" s="3138"/>
      <c r="AI339" s="3138"/>
      <c r="AJ339" s="3138"/>
      <c r="AK339" s="3138"/>
      <c r="AL339" s="3138"/>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1674</v>
      </c>
      <c r="AG346" s="3138"/>
      <c r="AH346" s="3138"/>
      <c r="AI346" s="3138"/>
      <c r="AJ346" s="3138"/>
      <c r="AK346" s="3138"/>
      <c r="AL346" s="3138"/>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283</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1648</v>
      </c>
      <c r="AG352" s="3138"/>
      <c r="AH352" s="3138"/>
      <c r="AI352" s="3138"/>
      <c r="AJ352" s="3138"/>
      <c r="AK352" s="3138"/>
      <c r="AL352" s="3138"/>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1677</v>
      </c>
      <c r="AG358" s="3138"/>
      <c r="AH358" s="3138"/>
      <c r="AI358" s="3138"/>
      <c r="AJ358" s="3138"/>
      <c r="AK358" s="3138"/>
      <c r="AL358" s="3138"/>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6" t="s">
        <v>1383</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1622</v>
      </c>
      <c r="AG364" s="3138"/>
      <c r="AH364" s="3138"/>
      <c r="AI364" s="3138"/>
      <c r="AJ364" s="3138"/>
      <c r="AK364" s="3138"/>
      <c r="AL364" s="3138"/>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38" t="s">
        <v>724</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45" t="s">
        <v>625</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3" t="s">
        <v>625</v>
      </c>
      <c r="C377" s="3143"/>
      <c r="D377" s="1644"/>
      <c r="E377" s="3039" t="s">
        <v>1681</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75"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75"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75"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1">
        <f>VLOOKUP($H$367,$AO$347:$AP$352,2,FALSE)+VLOOKUP($I$375,$AO$374:$AP$376,2,FALSE)</f>
        <v>7</v>
      </c>
      <c r="AK382" s="302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4" t="s">
        <v>2192</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1622</v>
      </c>
      <c r="AG386" s="3138"/>
      <c r="AH386" s="3138"/>
      <c r="AI386" s="3138"/>
      <c r="AJ386" s="3138"/>
      <c r="AK386" s="3138"/>
      <c r="AL386" s="3138"/>
      <c r="AM386" s="1026"/>
      <c r="AN386" s="1125"/>
    </row>
    <row r="387" spans="1:42" s="943" customFormat="1" ht="12.75"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3" t="s">
        <v>625</v>
      </c>
      <c r="Y395" s="314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1686</v>
      </c>
      <c r="AG397" s="3138"/>
      <c r="AH397" s="3138"/>
      <c r="AI397" s="3138"/>
      <c r="AJ397" s="3138"/>
      <c r="AK397" s="3138"/>
      <c r="AL397" s="3138"/>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38" t="s">
        <v>724</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1">
        <f>VLOOKUP($H$399,$AO$366:$AP$368,2,FALSE)</f>
        <v>3</v>
      </c>
      <c r="AK401" s="3023"/>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1622</v>
      </c>
      <c r="AG405" s="3138"/>
      <c r="AH405" s="3138"/>
      <c r="AI405" s="3138"/>
      <c r="AJ405" s="3138"/>
      <c r="AK405" s="3138"/>
      <c r="AL405" s="3138"/>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1686</v>
      </c>
      <c r="AG408" s="3138"/>
      <c r="AH408" s="3138"/>
      <c r="AI408" s="3138"/>
      <c r="AJ408" s="3138"/>
      <c r="AK408" s="3138"/>
      <c r="AL408" s="3138"/>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38" t="s">
        <v>541</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1">
        <f>VLOOKUP(H411,AT366:AU368,2,FALSE)</f>
        <v>2</v>
      </c>
      <c r="AK413" s="302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39" t="s">
        <v>1698</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1648</v>
      </c>
      <c r="AG418" s="3138"/>
      <c r="AH418" s="3138"/>
      <c r="AI418" s="3138"/>
      <c r="AJ418" s="3138"/>
      <c r="AK418" s="3138"/>
      <c r="AL418" s="3138"/>
      <c r="AN418" s="1000"/>
    </row>
    <row r="419" spans="1:42" s="943" customFormat="1" ht="12.75"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75"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39" t="s">
        <v>1699</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1677</v>
      </c>
      <c r="AG422" s="3138"/>
      <c r="AH422" s="3138"/>
      <c r="AI422" s="3138"/>
      <c r="AJ422" s="3138"/>
      <c r="AK422" s="3138"/>
      <c r="AL422" s="3138"/>
      <c r="AN422" s="1000"/>
    </row>
    <row r="423" spans="1:42" s="943" customFormat="1" ht="12.75"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39" t="s">
        <v>1700</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1622</v>
      </c>
      <c r="AG426" s="3138"/>
      <c r="AH426" s="3138"/>
      <c r="AI426" s="3138"/>
      <c r="AJ426" s="3138"/>
      <c r="AK426" s="3138"/>
      <c r="AL426" s="3138"/>
      <c r="AN426" s="1000"/>
    </row>
    <row r="427" spans="1:42" s="943" customFormat="1" ht="12.75"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625</v>
      </c>
      <c r="AP427" s="1120">
        <v>0</v>
      </c>
    </row>
    <row r="428" spans="1:42" s="943" customFormat="1" ht="12.75"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39" t="s">
        <v>1701</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1677</v>
      </c>
      <c r="AG430" s="3138"/>
      <c r="AH430" s="3138"/>
      <c r="AI430" s="3138"/>
      <c r="AJ430" s="3138"/>
      <c r="AK430" s="3138"/>
      <c r="AL430" s="3138"/>
      <c r="AN430" s="1000"/>
    </row>
    <row r="431" spans="1:42" s="943" customFormat="1" ht="12.75"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39" t="s">
        <v>1702</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1622</v>
      </c>
      <c r="AG434" s="3138"/>
      <c r="AH434" s="3138"/>
      <c r="AI434" s="3138"/>
      <c r="AJ434" s="3138"/>
      <c r="AK434" s="3138"/>
      <c r="AL434" s="3138"/>
      <c r="AM434" s="1065"/>
      <c r="AN434" s="1000"/>
    </row>
    <row r="435" spans="1:42" s="943" customFormat="1" ht="12.75"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39" t="s">
        <v>1703</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1686</v>
      </c>
      <c r="AG438" s="3138"/>
      <c r="AH438" s="3138"/>
      <c r="AI438" s="3138"/>
      <c r="AJ438" s="3138"/>
      <c r="AK438" s="3138"/>
      <c r="AL438" s="3138"/>
      <c r="AM438" s="1065"/>
      <c r="AN438" s="1000"/>
    </row>
    <row r="439" spans="1:42" s="943" customFormat="1" ht="12.75"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39" t="s">
        <v>1704</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1705</v>
      </c>
      <c r="AG442" s="3138"/>
      <c r="AH442" s="3138"/>
      <c r="AI442" s="3138"/>
      <c r="AJ442" s="3138"/>
      <c r="AK442" s="3138"/>
      <c r="AL442" s="3138"/>
      <c r="AM442" s="1065"/>
      <c r="AN442" s="1000"/>
      <c r="AO442" s="1118" t="s">
        <v>724</v>
      </c>
      <c r="AP442" s="943">
        <v>3</v>
      </c>
    </row>
    <row r="443" spans="1:42" s="943" customFormat="1" ht="12.75"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38" t="s">
        <v>541</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1">
        <f>VLOOKUP($H$446,$AO$394:$AP$401,2,FALSE)</f>
        <v>4</v>
      </c>
      <c r="AK448" s="302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39" t="s">
        <v>2188</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1622</v>
      </c>
      <c r="AG452" s="3138"/>
      <c r="AH452" s="3138"/>
      <c r="AI452" s="3138"/>
      <c r="AJ452" s="3138"/>
      <c r="AK452" s="3138"/>
      <c r="AL452" s="3138"/>
      <c r="AM452" s="1026"/>
      <c r="AN452" s="1001"/>
    </row>
    <row r="453" spans="1:42" s="1002" customFormat="1" ht="12.75"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75"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39" t="s">
        <v>2190</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1686</v>
      </c>
      <c r="AG457" s="3138"/>
      <c r="AH457" s="3138"/>
      <c r="AI457" s="3138"/>
      <c r="AJ457" s="3138"/>
      <c r="AK457" s="3138"/>
      <c r="AL457" s="3138"/>
      <c r="AM457" s="1026"/>
      <c r="AN457" s="1000"/>
      <c r="AO457" s="1118" t="s">
        <v>541</v>
      </c>
      <c r="AP457" s="943">
        <v>1</v>
      </c>
    </row>
    <row r="458" spans="1:42" s="943" customFormat="1" ht="12"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9" t="s">
        <v>2189</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38" t="s">
        <v>625</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1">
        <f>VLOOKUP($H$466,$AO$413:$AP$415,2,FALSE)</f>
        <v>0</v>
      </c>
      <c r="AK468" s="3023"/>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0" t="s">
        <v>2193</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1622</v>
      </c>
      <c r="AG472" s="3138"/>
      <c r="AH472" s="3138"/>
      <c r="AI472" s="3138"/>
      <c r="AJ472" s="3138"/>
      <c r="AK472" s="3138"/>
      <c r="AL472" s="3138"/>
      <c r="AM472" s="1026"/>
      <c r="AN472" s="1133"/>
      <c r="AP472" s="1135" t="s">
        <v>1714</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41" t="s">
        <v>1717</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1686</v>
      </c>
      <c r="AG476" s="3138"/>
      <c r="AH476" s="3138"/>
      <c r="AI476" s="3138"/>
      <c r="AJ476" s="3138"/>
      <c r="AK476" s="3138"/>
      <c r="AL476" s="3138"/>
      <c r="AM476" s="1026"/>
      <c r="AN476" s="1136"/>
    </row>
    <row r="477" spans="1:43" s="1134" customFormat="1" ht="12.75"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038" t="s">
        <v>625</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9" t="s">
        <v>2194</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1622</v>
      </c>
      <c r="AG486" s="3138"/>
      <c r="AH486" s="3138"/>
      <c r="AI486" s="3138"/>
      <c r="AJ486" s="3138"/>
      <c r="AK486" s="3138"/>
      <c r="AL486" s="3138"/>
      <c r="AM486" s="1026"/>
      <c r="AN486" s="1133"/>
      <c r="AT486" s="51"/>
      <c r="AU486" s="51"/>
      <c r="AV486" s="51"/>
      <c r="AW486" s="51"/>
      <c r="AX486" s="51"/>
      <c r="AY486" s="51"/>
      <c r="AZ486" s="51"/>
    </row>
    <row r="487" spans="1:81" s="1134" customFormat="1">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39" t="s">
        <v>1721</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1686</v>
      </c>
      <c r="AG489" s="3138"/>
      <c r="AH489" s="3138"/>
      <c r="AI489" s="3138"/>
      <c r="AJ489" s="3138"/>
      <c r="AK489" s="3138"/>
      <c r="AL489" s="3138"/>
      <c r="AM489" s="1026"/>
      <c r="AN489" s="1133"/>
      <c r="AT489" s="51"/>
      <c r="AU489" s="51"/>
      <c r="AV489" s="51"/>
      <c r="AW489" s="51"/>
      <c r="AX489" s="51"/>
      <c r="AY489" s="51"/>
      <c r="AZ489" s="51"/>
    </row>
    <row r="490" spans="1:81" s="1134" customFormat="1">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38" t="s">
        <v>625</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9" t="s">
        <v>1724</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1622</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39" t="s">
        <v>1725</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1686</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38" t="s">
        <v>541</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1">
        <f>VLOOKUP($H$508,$AO$441:$AP$443,2,FALSE)</f>
        <v>2</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9" t="s">
        <v>1727</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1686</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39" t="s">
        <v>1728</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1705</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38" t="s">
        <v>724</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1">
        <f>VLOOKUP($H$520,$AO$455:$AP$457,2,FALSE)</f>
        <v>2</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39" t="s">
        <v>2187</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1686</v>
      </c>
      <c r="AG526" s="3138"/>
      <c r="AH526" s="3138"/>
      <c r="AI526" s="3138"/>
      <c r="AJ526" s="3138"/>
      <c r="AK526" s="3138"/>
      <c r="AL526" s="3138"/>
      <c r="AM526" s="1031"/>
      <c r="AN526" s="1133"/>
    </row>
    <row r="527" spans="1:74" s="1134" customFormat="1" ht="13.7"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9" t="s">
        <v>2195</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1622</v>
      </c>
      <c r="AG531" s="3138"/>
      <c r="AH531" s="3138"/>
      <c r="AI531" s="3138"/>
      <c r="AJ531" s="3138"/>
      <c r="AK531" s="3138"/>
      <c r="AL531" s="3138"/>
      <c r="AM531" s="1031"/>
      <c r="AN531" s="1000"/>
    </row>
    <row r="532" spans="1:81" s="943" customFormat="1" ht="12.75"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38" t="s">
        <v>625</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39" t="s">
        <v>2186</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1732</v>
      </c>
      <c r="AG542" s="3138"/>
      <c r="AH542" s="3138"/>
      <c r="AI542" s="3138"/>
      <c r="AJ542" s="3138"/>
      <c r="AK542" s="3138"/>
      <c r="AL542" s="3138"/>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38" t="s">
        <v>625</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1">
        <f>IF(($AJ$382+$AJ$401+$AJ$413+$AJ$448+$AJ$468+$AJ$482+$AJ$494+$AJ$510+$AJ$522+$AJ$538+AJ549)&gt;10,10,($AJ$382+$AJ$401+$AJ$413+$AJ$448+$AJ$468+$AJ$482+$AJ$494+$AJ$510+$AJ$522+$AJ$538+AJ549))</f>
        <v>10</v>
      </c>
      <c r="AL551" s="3022"/>
      <c r="AM551" s="302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1">
        <f>IF((AK320+AK551)&gt;20,20,(AK320+AK551))</f>
        <v>19</v>
      </c>
      <c r="AL553" s="3022"/>
      <c r="AM553" s="302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1584</v>
      </c>
      <c r="AF556" s="3103"/>
      <c r="AG556" s="3103"/>
      <c r="AH556" s="3103"/>
      <c r="AI556" s="3103"/>
      <c r="AJ556" s="3103"/>
      <c r="AK556" s="310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0" t="s">
        <v>1737</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75"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75"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75"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4.95" customHeight="1">
      <c r="A563" s="1027"/>
      <c r="B563" s="1118"/>
      <c r="C563" s="3030" t="s">
        <v>1738</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0" t="s">
        <v>2392</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30"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75"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75" customHeight="1">
      <c r="A568" s="1027"/>
      <c r="B568" s="1118"/>
      <c r="C568" s="3030" t="s">
        <v>1739</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75"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15"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75"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5</v>
      </c>
      <c r="AQ572" s="1002"/>
      <c r="AR572" s="1002"/>
      <c r="AS572" s="932" t="s">
        <v>1740</v>
      </c>
    </row>
    <row r="573" spans="1:46" s="943" customFormat="1" ht="12.75"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75"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0</v>
      </c>
      <c r="AS574" s="932" t="s">
        <v>1741</v>
      </c>
    </row>
    <row r="575" spans="1:46" s="943" customFormat="1" ht="12.75"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5</v>
      </c>
      <c r="AS575" s="2995">
        <f>IF(AND(AQ581&gt;0,AQ590&gt;0),(AQ581+AQ590)/2,0)</f>
        <v>0</v>
      </c>
      <c r="AT575" s="2995"/>
    </row>
    <row r="576" spans="1:46" s="943" customFormat="1" ht="12.75"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7" t="s">
        <v>1742</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0</v>
      </c>
      <c r="AS577" s="2995">
        <f>IF(AQ581=0,AQ590,AQ581)</f>
        <v>10</v>
      </c>
      <c r="AT577" s="2995"/>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820</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618</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0" t="s">
        <v>1743</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487</v>
      </c>
      <c r="AP584" s="1152">
        <f>IF(C657="Yes",5,0)</f>
        <v>0</v>
      </c>
    </row>
    <row r="585" spans="1:81" s="943" customFormat="1" ht="12.75"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493</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382</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5" t="s">
        <v>1748</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4" t="s">
        <v>577</v>
      </c>
      <c r="D596" s="3035"/>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1750</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5" t="s">
        <v>1751</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4" t="s">
        <v>625</v>
      </c>
      <c r="D604" s="3035"/>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1750</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5" t="s">
        <v>1753</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4" t="s">
        <v>625</v>
      </c>
      <c r="D612" s="3035"/>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1755</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4" t="s">
        <v>577</v>
      </c>
      <c r="D614" s="3035"/>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1750</v>
      </c>
      <c r="AG614" s="3036"/>
      <c r="AH614" s="3036"/>
      <c r="AI614" s="3036"/>
      <c r="AJ614" s="3036"/>
      <c r="AK614" s="3036"/>
      <c r="AL614" s="30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5" t="s">
        <v>1759</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4" t="s">
        <v>625</v>
      </c>
      <c r="D622" s="3035"/>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1750</v>
      </c>
      <c r="AG622" s="3036"/>
      <c r="AH622" s="3036"/>
      <c r="AI622" s="3036"/>
      <c r="AJ622" s="3036"/>
      <c r="AK622" s="3036"/>
      <c r="AL622" s="30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4" t="s">
        <v>625</v>
      </c>
      <c r="D624" s="3035"/>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1762</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4" t="s">
        <v>625</v>
      </c>
      <c r="D627" s="3035"/>
      <c r="E627" s="1174" t="s">
        <v>1763</v>
      </c>
      <c r="F627" s="3025" t="s">
        <v>1764</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1750</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1" t="s">
        <v>1766</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034" t="s">
        <v>625</v>
      </c>
      <c r="D636" s="3035"/>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1750</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4" t="s">
        <v>625</v>
      </c>
      <c r="D638" s="3035"/>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1762</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5" t="s">
        <v>1771</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75" customHeight="1">
      <c r="A645" s="927"/>
      <c r="B645" s="51"/>
      <c r="C645" s="3034" t="s">
        <v>625</v>
      </c>
      <c r="D645" s="3035"/>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1750</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25" t="s">
        <v>1774</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75"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75"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5"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75" customHeight="1">
      <c r="A657" s="927"/>
      <c r="B657" s="51"/>
      <c r="C657" s="3034" t="s">
        <v>625</v>
      </c>
      <c r="D657" s="3035"/>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1750</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5" t="s">
        <v>1777</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4" t="s">
        <v>625</v>
      </c>
      <c r="D664" s="3035"/>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1750</v>
      </c>
      <c r="AG664" s="3133"/>
      <c r="AH664" s="3133"/>
      <c r="AI664" s="3133"/>
      <c r="AJ664" s="3133"/>
      <c r="AK664" s="3133"/>
      <c r="AL664" s="313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5" t="s">
        <v>625</v>
      </c>
      <c r="D668" s="3136"/>
      <c r="E668" s="1174" t="s">
        <v>1786</v>
      </c>
      <c r="F668" s="3025" t="s">
        <v>1787</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1750</v>
      </c>
      <c r="AG668" s="3129"/>
      <c r="AH668" s="3129"/>
      <c r="AI668" s="3129"/>
      <c r="AJ668" s="3129"/>
      <c r="AK668" s="3129"/>
      <c r="AL668" s="313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4" t="s">
        <v>625</v>
      </c>
      <c r="D672" s="3035"/>
      <c r="E672" s="1174" t="s">
        <v>1792</v>
      </c>
      <c r="F672" s="3025" t="s">
        <v>1793</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1750</v>
      </c>
      <c r="AG672" s="3129"/>
      <c r="AH672" s="3129"/>
      <c r="AI672" s="3129"/>
      <c r="AJ672" s="3129"/>
      <c r="AK672" s="3129"/>
      <c r="AL672" s="313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1" t="s">
        <v>1796</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034" t="s">
        <v>625</v>
      </c>
      <c r="D681" s="3035"/>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1750</v>
      </c>
      <c r="AG681" s="3036"/>
      <c r="AH681" s="3036"/>
      <c r="AI681" s="3036"/>
      <c r="AJ681" s="3036"/>
      <c r="AK681" s="3036"/>
      <c r="AL681" s="30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1">
        <f>IF(Application!D213="N/A",AS573,AS575)</f>
        <v>10</v>
      </c>
      <c r="AL684" s="3022"/>
      <c r="AM684" s="302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1800</v>
      </c>
      <c r="AF687" s="3024"/>
      <c r="AG687" s="3024"/>
      <c r="AH687" s="3024"/>
      <c r="AI687" s="3024"/>
      <c r="AJ687" s="3024"/>
      <c r="AK687" s="3024"/>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0" t="s">
        <v>625</v>
      </c>
      <c r="D693" s="3111"/>
      <c r="E693" s="1248" t="s">
        <v>539</v>
      </c>
      <c r="F693" s="3119" t="s">
        <v>1806</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5" t="s">
        <v>625</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6" t="s">
        <v>577</v>
      </c>
      <c r="D697" s="3127"/>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29" t="s">
        <v>625</v>
      </c>
      <c r="W700" s="3029"/>
      <c r="X700" s="3029"/>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29" t="s">
        <v>625</v>
      </c>
      <c r="W702" s="3029"/>
      <c r="X702" s="3029"/>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29" t="s">
        <v>625</v>
      </c>
      <c r="W707" s="3029"/>
      <c r="X707" s="3029"/>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3"/>
      <c r="E710" s="3113"/>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29" t="s">
        <v>625</v>
      </c>
      <c r="W711" s="3029"/>
      <c r="X711" s="3029"/>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29" t="s">
        <v>625</v>
      </c>
      <c r="W713" s="3029"/>
      <c r="X713" s="3029"/>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0" t="s">
        <v>625</v>
      </c>
      <c r="D716" s="3111"/>
      <c r="E716" s="1248" t="s">
        <v>539</v>
      </c>
      <c r="F716" s="3119" t="s">
        <v>1806</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1" t="s">
        <v>625</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0" t="s">
        <v>625</v>
      </c>
      <c r="D720" s="3111"/>
      <c r="E720" s="1248" t="s">
        <v>797</v>
      </c>
      <c r="F720" s="3122" t="s">
        <v>1828</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4" t="s">
        <v>625</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0" t="s">
        <v>625</v>
      </c>
      <c r="D725" s="311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2"/>
      <c r="D727" s="3113"/>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4" t="s">
        <v>625</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5" t="s">
        <v>625</v>
      </c>
      <c r="D730" s="311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5" t="s">
        <v>625</v>
      </c>
      <c r="D734" s="3116"/>
      <c r="E734" s="1025"/>
      <c r="F734" s="1290" t="s">
        <v>1836</v>
      </c>
      <c r="G734" s="3117" t="s">
        <v>1837</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9" t="s">
        <v>625</v>
      </c>
      <c r="D738" s="3100"/>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1" t="s">
        <v>625</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1851</v>
      </c>
      <c r="AF753" s="3103"/>
      <c r="AG753" s="3103"/>
      <c r="AH753" s="3103"/>
      <c r="AI753" s="3103"/>
      <c r="AJ753" s="3103"/>
      <c r="AK753" s="310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5" t="s">
        <v>577</v>
      </c>
      <c r="D756" s="3035"/>
      <c r="E756" s="944"/>
      <c r="F756" s="3104" t="s">
        <v>1852</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75"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5" t="s">
        <v>625</v>
      </c>
      <c r="D759" s="3035"/>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3" t="s">
        <v>1854</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75"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3" t="s">
        <v>1856</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75"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130436708</v>
      </c>
      <c r="AQ765" s="3007"/>
      <c r="AR765" s="300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131070723</v>
      </c>
      <c r="AG766" s="3018"/>
      <c r="AH766" s="3018"/>
      <c r="AI766" s="3018"/>
      <c r="AJ766" s="301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229684184.51999998</v>
      </c>
      <c r="AG767" s="3019"/>
      <c r="AH767" s="3019"/>
      <c r="AI767" s="3019"/>
      <c r="AJ767" s="3019"/>
      <c r="AK767" s="1005"/>
      <c r="AL767" s="1005"/>
      <c r="AM767" s="1005"/>
      <c r="AN767" s="1000"/>
      <c r="AP767" s="3007">
        <f>Application!AJ1024</f>
        <v>31304809.919999998</v>
      </c>
      <c r="AQ767" s="3007"/>
      <c r="AR767" s="300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0.42</v>
      </c>
      <c r="AG768" s="3020"/>
      <c r="AH768" s="3020"/>
      <c r="AI768" s="3020"/>
      <c r="AJ768" s="3020"/>
      <c r="AK768" s="1005"/>
      <c r="AL768" s="1005"/>
      <c r="AM768" s="1005"/>
      <c r="AN768" s="1000"/>
      <c r="AP768" s="3008">
        <f>Application!AJ1028</f>
        <v>26087341.600000001</v>
      </c>
      <c r="AQ768" s="3008"/>
      <c r="AR768" s="300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0.43999999999999995</v>
      </c>
      <c r="AQ769" s="3027"/>
      <c r="AR769" s="3027"/>
    </row>
    <row r="770" spans="1:44" s="943" customFormat="1" ht="12.75" customHeight="1">
      <c r="A770" s="1048"/>
      <c r="B770" s="3079" t="s">
        <v>1859</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75"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172292033</v>
      </c>
      <c r="AQ771" s="3028"/>
      <c r="AR771" s="3028"/>
    </row>
    <row r="772" spans="1:44" s="943" customFormat="1" ht="12.75"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229684184.51999998</v>
      </c>
      <c r="AQ772" s="3007"/>
      <c r="AR772" s="300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88">
        <f>IF(AF768=0,0,IF((AF768*100)&gt;12,12,(AF768*100)))</f>
        <v>12</v>
      </c>
      <c r="AL774" s="3088"/>
      <c r="AM774" s="3089"/>
      <c r="AN774" s="1000"/>
      <c r="AP774" s="2996">
        <f>AP771+(AP765*AP769)</f>
        <v>229684184.51999998</v>
      </c>
      <c r="AQ774" s="2997"/>
      <c r="AR774" s="299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1861</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1862</v>
      </c>
      <c r="U782" s="3094"/>
      <c r="V782" s="3094"/>
      <c r="W782" s="3094"/>
      <c r="X782" s="3094"/>
      <c r="Y782" s="3095"/>
      <c r="Z782" s="3093" t="s">
        <v>1863</v>
      </c>
      <c r="AA782" s="3094"/>
      <c r="AB782" s="3094"/>
      <c r="AC782" s="3094"/>
      <c r="AD782" s="3094"/>
      <c r="AE782" s="3095"/>
      <c r="AF782" s="3093" t="s">
        <v>1864</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797</v>
      </c>
      <c r="B784" s="3047" t="s">
        <v>1562</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1830</v>
      </c>
      <c r="B785" s="3047" t="s">
        <v>1583</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1839</v>
      </c>
      <c r="B786" s="3047" t="s">
        <v>1593</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1865</v>
      </c>
      <c r="B787" s="3047" t="s">
        <v>1603</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1866</v>
      </c>
      <c r="B788" s="3047" t="s">
        <v>1867</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1868</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1869</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1631</v>
      </c>
      <c r="B791" s="3047" t="s">
        <v>1870</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1640</v>
      </c>
      <c r="B792" s="3047" t="s">
        <v>1641</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623</v>
      </c>
      <c r="B793" s="3047" t="s">
        <v>1871</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7" t="s">
        <v>1872</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7" t="s">
        <v>1651</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7" t="s">
        <v>907</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7" t="s">
        <v>1850</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1875</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1876</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6" t="s">
        <v>1877</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2021-04-23T23:58:28Z</cp:lastPrinted>
  <dcterms:created xsi:type="dcterms:W3CDTF">2007-12-27T18:26:28Z</dcterms:created>
  <dcterms:modified xsi:type="dcterms:W3CDTF">2021-09-02T05:33:39Z</dcterms:modified>
</cp:coreProperties>
</file>